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680D9D5D-B79A-47AC-8885-AB3E108B95DD}" xr6:coauthVersionLast="45" xr6:coauthVersionMax="45" xr10:uidLastSave="{00000000-0000-0000-0000-000000000000}"/>
  <bookViews>
    <workbookView xWindow="28680" yWindow="-120" windowWidth="29040" windowHeight="15840" xr2:uid="{65F2C864-8B90-49E7-8FF1-D3414BBAEA47}"/>
  </bookViews>
  <sheets>
    <sheet name="9A-Non-MISO ATRR" sheetId="15" r:id="rId1"/>
    <sheet name="9B-Non-MISO Project Rev Req" sheetId="16" r:id="rId2"/>
    <sheet name="9C-Non-MISO Project True-up" sheetId="17" r:id="rId3"/>
    <sheet name="Attachment O" sheetId="1" r:id="rId4"/>
    <sheet name="1-Project Rev Req" sheetId="2" r:id="rId5"/>
    <sheet name="2-Incentive ROE" sheetId="3" r:id="rId6"/>
    <sheet name="3-Project True-up" sheetId="4" r:id="rId7"/>
    <sheet name="4- Rate Base" sheetId="5" r:id="rId8"/>
    <sheet name="5-P3 Support" sheetId="6" r:id="rId9"/>
    <sheet name="6-Dep Rates" sheetId="7" r:id="rId10"/>
    <sheet name="7 - PBOP" sheetId="8" r:id="rId11"/>
    <sheet name="8a-ADIT Projection" sheetId="9" r:id="rId12"/>
    <sheet name="8b-ADIT Projection Proration" sheetId="10" r:id="rId13"/>
    <sheet name="8c- ADIT BOY" sheetId="11" r:id="rId14"/>
    <sheet name="8d- ADIT EOY" sheetId="12" r:id="rId15"/>
    <sheet name="8e-ADIT True-up" sheetId="13" r:id="rId16"/>
    <sheet name="8f-ADIT True-up Proration" sheetId="14" r:id="rId17"/>
    <sheet name="10 - Income Tax Allowance " sheetId="18" r:id="rId18"/>
    <sheet name="10a - Actual ownership" sheetId="19" r:id="rId19"/>
  </sheets>
  <externalReferences>
    <externalReference r:id="rId20"/>
    <externalReference r:id="rId21"/>
    <externalReference r:id="rId22"/>
  </externalReferences>
  <definedNames>
    <definedName name="_Fill" localSheetId="11" hidden="1">#REF!</definedName>
    <definedName name="_Fill" localSheetId="12" hidden="1">#REF!</definedName>
    <definedName name="_Fill" localSheetId="15" hidden="1">#REF!</definedName>
    <definedName name="_Fill" localSheetId="16" hidden="1">#REF!</definedName>
    <definedName name="_Fill" localSheetId="0" hidden="1">#REF!</definedName>
    <definedName name="_Fill" localSheetId="2" hidden="1">#REF!</definedName>
    <definedName name="_Fill" localSheetId="3" hidden="1">#REF!</definedName>
    <definedName name="_Fill" hidden="1">#REF!</definedName>
    <definedName name="aaa" localSheetId="16" hidden="1">{#N/A,#N/A,FALSE,"O&amp;M by processes";#N/A,#N/A,FALSE,"Elec Act vs Bud";#N/A,#N/A,FALSE,"G&amp;A";#N/A,#N/A,FALSE,"BGS";#N/A,#N/A,FALSE,"Res Cost"}</definedName>
    <definedName name="aaa" localSheetId="0" hidden="1">{#N/A,#N/A,FALSE,"O&amp;M by processes";#N/A,#N/A,FALSE,"Elec Act vs Bud";#N/A,#N/A,FALSE,"G&amp;A";#N/A,#N/A,FALSE,"BGS";#N/A,#N/A,FALSE,"Res Cost"}</definedName>
    <definedName name="aaa" localSheetId="3"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16" hidden="1">{#N/A,#N/A,FALSE,"O&amp;M by processes";#N/A,#N/A,FALSE,"Elec Act vs Bud";#N/A,#N/A,FALSE,"G&amp;A";#N/A,#N/A,FALSE,"BGS";#N/A,#N/A,FALSE,"Res Cost"}</definedName>
    <definedName name="aaaaaaaaaaaaaaa" localSheetId="0" hidden="1">{#N/A,#N/A,FALSE,"O&amp;M by processes";#N/A,#N/A,FALSE,"Elec Act vs Bud";#N/A,#N/A,FALSE,"G&amp;A";#N/A,#N/A,FALSE,"BGS";#N/A,#N/A,FALSE,"Res Cost"}</definedName>
    <definedName name="aaaaaaaaaaaaaaa" localSheetId="3" hidden="1">{#N/A,#N/A,FALSE,"O&amp;M by processes";#N/A,#N/A,FALSE,"Elec Act vs Bud";#N/A,#N/A,FALSE,"G&amp;A";#N/A,#N/A,FALSE,"BGS";#N/A,#N/A,FALSE,"Res Cost"}</definedName>
    <definedName name="aaaaaaaaaaaaaaa" hidden="1">{#N/A,#N/A,FALSE,"O&amp;M by processes";#N/A,#N/A,FALSE,"Elec Act vs Bud";#N/A,#N/A,FALSE,"G&amp;A";#N/A,#N/A,FALSE,"BGS";#N/A,#N/A,FALSE,"Res Cost"}</definedName>
    <definedName name="Alignment" hidden="1">"a1"</definedName>
    <definedName name="anscount" hidden="1">1</definedName>
    <definedName name="AS2DocOpenMode" hidden="1">"AS2DocumentEdit"</definedName>
    <definedName name="bbb" localSheetId="16" hidden="1">{#N/A,#N/A,FALSE,"O&amp;M by processes";#N/A,#N/A,FALSE,"Elec Act vs Bud";#N/A,#N/A,FALSE,"G&amp;A";#N/A,#N/A,FALSE,"BGS";#N/A,#N/A,FALSE,"Res Cost"}</definedName>
    <definedName name="bbb" localSheetId="0" hidden="1">{#N/A,#N/A,FALSE,"O&amp;M by processes";#N/A,#N/A,FALSE,"Elec Act vs Bud";#N/A,#N/A,FALSE,"G&amp;A";#N/A,#N/A,FALSE,"BGS";#N/A,#N/A,FALSE,"Res Cost"}</definedName>
    <definedName name="bbb" localSheetId="3"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6" hidden="1">{#N/A,#N/A,FALSE,"O&amp;M by processes";#N/A,#N/A,FALSE,"Elec Act vs Bud";#N/A,#N/A,FALSE,"G&amp;A";#N/A,#N/A,FALSE,"BGS";#N/A,#N/A,FALSE,"Res Cost"}</definedName>
    <definedName name="bbbb" localSheetId="0" hidden="1">{#N/A,#N/A,FALSE,"O&amp;M by processes";#N/A,#N/A,FALSE,"Elec Act vs Bud";#N/A,#N/A,FALSE,"G&amp;A";#N/A,#N/A,FALSE,"BGS";#N/A,#N/A,FALSE,"Res Cost"}</definedName>
    <definedName name="bbbb" localSheetId="3"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6" hidden="1">{#N/A,#N/A,FALSE,"O&amp;M by processes";#N/A,#N/A,FALSE,"Elec Act vs Bud";#N/A,#N/A,FALSE,"G&amp;A";#N/A,#N/A,FALSE,"BGS";#N/A,#N/A,FALSE,"Res Cost"}</definedName>
    <definedName name="bbbbb" localSheetId="0" hidden="1">{#N/A,#N/A,FALSE,"O&amp;M by processes";#N/A,#N/A,FALSE,"Elec Act vs Bud";#N/A,#N/A,FALSE,"G&amp;A";#N/A,#N/A,FALSE,"BGS";#N/A,#N/A,FALSE,"Res Cost"}</definedName>
    <definedName name="bbbbb" localSheetId="3"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6" hidden="1">{#N/A,#N/A,FALSE,"O&amp;M by processes";#N/A,#N/A,FALSE,"Elec Act vs Bud";#N/A,#N/A,FALSE,"G&amp;A";#N/A,#N/A,FALSE,"BGS";#N/A,#N/A,FALSE,"Res Cost"}</definedName>
    <definedName name="bbc" localSheetId="0" hidden="1">{#N/A,#N/A,FALSE,"O&amp;M by processes";#N/A,#N/A,FALSE,"Elec Act vs Bud";#N/A,#N/A,FALSE,"G&amp;A";#N/A,#N/A,FALSE,"BGS";#N/A,#N/A,FALSE,"Res Cost"}</definedName>
    <definedName name="bbc" localSheetId="3" hidden="1">{#N/A,#N/A,FALSE,"O&amp;M by processes";#N/A,#N/A,FALSE,"Elec Act vs Bud";#N/A,#N/A,FALSE,"G&amp;A";#N/A,#N/A,FALSE,"BGS";#N/A,#N/A,FALSE,"Res Cost"}</definedName>
    <definedName name="bbc" hidden="1">{#N/A,#N/A,FALSE,"O&amp;M by processes";#N/A,#N/A,FALSE,"Elec Act vs Bud";#N/A,#N/A,FALSE,"G&amp;A";#N/A,#N/A,FALSE,"BGS";#N/A,#N/A,FALSE,"Res Cost"}</definedName>
    <definedName name="can" localSheetId="16" hidden="1">{#N/A,#N/A,FALSE,"O&amp;M by processes";#N/A,#N/A,FALSE,"Elec Act vs Bud";#N/A,#N/A,FALSE,"G&amp;A";#N/A,#N/A,FALSE,"BGS";#N/A,#N/A,FALSE,"Res Cost"}</definedName>
    <definedName name="can" localSheetId="0" hidden="1">{#N/A,#N/A,FALSE,"O&amp;M by processes";#N/A,#N/A,FALSE,"Elec Act vs Bud";#N/A,#N/A,FALSE,"G&amp;A";#N/A,#N/A,FALSE,"BGS";#N/A,#N/A,FALSE,"Res Cost"}</definedName>
    <definedName name="can" localSheetId="3" hidden="1">{#N/A,#N/A,FALSE,"O&amp;M by processes";#N/A,#N/A,FALSE,"Elec Act vs Bud";#N/A,#N/A,FALSE,"G&amp;A";#N/A,#N/A,FALSE,"BGS";#N/A,#N/A,FALSE,"Res Cost"}</definedName>
    <definedName name="can" hidden="1">{#N/A,#N/A,FALSE,"O&amp;M by processes";#N/A,#N/A,FALSE,"Elec Act vs Bud";#N/A,#N/A,FALSE,"G&amp;A";#N/A,#N/A,FALSE,"BGS";#N/A,#N/A,FALSE,"Res Cost"}</definedName>
    <definedName name="ccc" localSheetId="16" hidden="1">{#N/A,#N/A,FALSE,"O&amp;M by processes";#N/A,#N/A,FALSE,"Elec Act vs Bud";#N/A,#N/A,FALSE,"G&amp;A";#N/A,#N/A,FALSE,"BGS";#N/A,#N/A,FALSE,"Res Cost"}</definedName>
    <definedName name="ccc" localSheetId="0" hidden="1">{#N/A,#N/A,FALSE,"O&amp;M by processes";#N/A,#N/A,FALSE,"Elec Act vs Bud";#N/A,#N/A,FALSE,"G&amp;A";#N/A,#N/A,FALSE,"BGS";#N/A,#N/A,FALSE,"Res Cost"}</definedName>
    <definedName name="ccc" localSheetId="3"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6" hidden="1">{#N/A,#N/A,FALSE,"O&amp;M by processes";#N/A,#N/A,FALSE,"Elec Act vs Bud";#N/A,#N/A,FALSE,"G&amp;A";#N/A,#N/A,FALSE,"BGS";#N/A,#N/A,FALSE,"Res Cost"}</definedName>
    <definedName name="cccc" localSheetId="0" hidden="1">{#N/A,#N/A,FALSE,"O&amp;M by processes";#N/A,#N/A,FALSE,"Elec Act vs Bud";#N/A,#N/A,FALSE,"G&amp;A";#N/A,#N/A,FALSE,"BGS";#N/A,#N/A,FALSE,"Res Cost"}</definedName>
    <definedName name="cccc" localSheetId="3" hidden="1">{#N/A,#N/A,FALSE,"O&amp;M by processes";#N/A,#N/A,FALSE,"Elec Act vs Bud";#N/A,#N/A,FALSE,"G&amp;A";#N/A,#N/A,FALSE,"BGS";#N/A,#N/A,FALSE,"Res Cost"}</definedName>
    <definedName name="cccc" hidden="1">{#N/A,#N/A,FALSE,"O&amp;M by processes";#N/A,#N/A,FALSE,"Elec Act vs Bud";#N/A,#N/A,FALSE,"G&amp;A";#N/A,#N/A,FALSE,"BGS";#N/A,#N/A,FALSE,"Res Cost"}</definedName>
    <definedName name="ClientMatter" hidden="1">"b1"</definedName>
    <definedName name="Consolid" localSheetId="16" hidden="1">{#N/A,#N/A,FALSE,"O&amp;M by processes";#N/A,#N/A,FALSE,"Elec Act vs Bud";#N/A,#N/A,FALSE,"G&amp;A";#N/A,#N/A,FALSE,"BGS";#N/A,#N/A,FALSE,"Res Cost"}</definedName>
    <definedName name="Consolid" localSheetId="0" hidden="1">{#N/A,#N/A,FALSE,"O&amp;M by processes";#N/A,#N/A,FALSE,"Elec Act vs Bud";#N/A,#N/A,FALSE,"G&amp;A";#N/A,#N/A,FALSE,"BGS";#N/A,#N/A,FALSE,"Res Cost"}</definedName>
    <definedName name="Consolid" localSheetId="3"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6" hidden="1">{#N/A,#N/A,FALSE,"O&amp;M by processes";#N/A,#N/A,FALSE,"Elec Act vs Bud";#N/A,#N/A,FALSE,"G&amp;A";#N/A,#N/A,FALSE,"BGS";#N/A,#N/A,FALSE,"Res Cost"}</definedName>
    <definedName name="Consolidated" localSheetId="0" hidden="1">{#N/A,#N/A,FALSE,"O&amp;M by processes";#N/A,#N/A,FALSE,"Elec Act vs Bud";#N/A,#N/A,FALSE,"G&amp;A";#N/A,#N/A,FALSE,"BGS";#N/A,#N/A,FALSE,"Res Cost"}</definedName>
    <definedName name="Consolidated" localSheetId="3" hidden="1">{#N/A,#N/A,FALSE,"O&amp;M by processes";#N/A,#N/A,FALSE,"Elec Act vs Bud";#N/A,#N/A,FALSE,"G&amp;A";#N/A,#N/A,FALSE,"BGS";#N/A,#N/A,FALSE,"Res Cost"}</definedName>
    <definedName name="Consolidated" hidden="1">{#N/A,#N/A,FALSE,"O&amp;M by processes";#N/A,#N/A,FALSE,"Elec Act vs Bud";#N/A,#N/A,FALSE,"G&amp;A";#N/A,#N/A,FALSE,"BGS";#N/A,#N/A,FALSE,"Res Cost"}</definedName>
    <definedName name="da" localSheetId="16" hidden="1">{#N/A,#N/A,FALSE,"O&amp;M by processes";#N/A,#N/A,FALSE,"Elec Act vs Bud";#N/A,#N/A,FALSE,"G&amp;A";#N/A,#N/A,FALSE,"BGS";#N/A,#N/A,FALSE,"Res Cost"}</definedName>
    <definedName name="da" localSheetId="0" hidden="1">{#N/A,#N/A,FALSE,"O&amp;M by processes";#N/A,#N/A,FALSE,"Elec Act vs Bud";#N/A,#N/A,FALSE,"G&amp;A";#N/A,#N/A,FALSE,"BGS";#N/A,#N/A,FALSE,"Res Cost"}</definedName>
    <definedName name="da" localSheetId="3"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6" hidden="1">{#N/A,#N/A,FALSE,"O&amp;M by processes";#N/A,#N/A,FALSE,"Elec Act vs Bud";#N/A,#N/A,FALSE,"G&amp;A";#N/A,#N/A,FALSE,"BGS";#N/A,#N/A,FALSE,"Res Cost"}</definedName>
    <definedName name="dada" localSheetId="0" hidden="1">{#N/A,#N/A,FALSE,"O&amp;M by processes";#N/A,#N/A,FALSE,"Elec Act vs Bud";#N/A,#N/A,FALSE,"G&amp;A";#N/A,#N/A,FALSE,"BGS";#N/A,#N/A,FALSE,"Res Cost"}</definedName>
    <definedName name="dada" localSheetId="3" hidden="1">{#N/A,#N/A,FALSE,"O&amp;M by processes";#N/A,#N/A,FALSE,"Elec Act vs Bud";#N/A,#N/A,FALSE,"G&amp;A";#N/A,#N/A,FALSE,"BGS";#N/A,#N/A,FALSE,"Res Cost"}</definedName>
    <definedName name="dada" hidden="1">{#N/A,#N/A,FALSE,"O&amp;M by processes";#N/A,#N/A,FALSE,"Elec Act vs Bud";#N/A,#N/A,FALSE,"G&amp;A";#N/A,#N/A,FALSE,"BGS";#N/A,#N/A,FALSE,"Res Cost"}</definedName>
    <definedName name="data_3">[1]Permanent!$A$9:$O$20</definedName>
    <definedName name="Date" hidden="1">"b1"</definedName>
    <definedName name="delete" localSheetId="16" hidden="1">{#N/A,#N/A,FALSE,"CURRENT"}</definedName>
    <definedName name="delete" localSheetId="0" hidden="1">{#N/A,#N/A,FALSE,"CURRENT"}</definedName>
    <definedName name="delete" localSheetId="3" hidden="1">{#N/A,#N/A,FALSE,"CURRENT"}</definedName>
    <definedName name="delete" hidden="1">{#N/A,#N/A,FALSE,"CURRENT"}</definedName>
    <definedName name="DocumentName" hidden="1">"b1"</definedName>
    <definedName name="DocumentNum" hidden="1">"a1"</definedName>
    <definedName name="eeee" localSheetId="16" hidden="1">{#N/A,#N/A,FALSE,"O&amp;M by processes";#N/A,#N/A,FALSE,"Elec Act vs Bud";#N/A,#N/A,FALSE,"G&amp;A";#N/A,#N/A,FALSE,"BGS";#N/A,#N/A,FALSE,"Res Cost"}</definedName>
    <definedName name="eeee" localSheetId="0" hidden="1">{#N/A,#N/A,FALSE,"O&amp;M by processes";#N/A,#N/A,FALSE,"Elec Act vs Bud";#N/A,#N/A,FALSE,"G&amp;A";#N/A,#N/A,FALSE,"BGS";#N/A,#N/A,FALSE,"Res Cost"}</definedName>
    <definedName name="eeee" localSheetId="3" hidden="1">{#N/A,#N/A,FALSE,"O&amp;M by processes";#N/A,#N/A,FALSE,"Elec Act vs Bud";#N/A,#N/A,FALSE,"G&amp;A";#N/A,#N/A,FALSE,"BGS";#N/A,#N/A,FALSE,"Res Cost"}</definedName>
    <definedName name="eeee" hidden="1">{#N/A,#N/A,FALSE,"O&amp;M by processes";#N/A,#N/A,FALSE,"Elec Act vs Bud";#N/A,#N/A,FALSE,"G&amp;A";#N/A,#N/A,FALSE,"BGS";#N/A,#N/A,FALSE,"Res Cost"}</definedName>
    <definedName name="EV__LASTREFTIME__" hidden="1">39826.8319444444</definedName>
    <definedName name="gita" localSheetId="16" hidden="1">{#N/A,#N/A,FALSE,"O&amp;M by processes";#N/A,#N/A,FALSE,"Elec Act vs Bud";#N/A,#N/A,FALSE,"G&amp;A";#N/A,#N/A,FALSE,"BGS";#N/A,#N/A,FALSE,"Res Cost"}</definedName>
    <definedName name="gita" localSheetId="0" hidden="1">{#N/A,#N/A,FALSE,"O&amp;M by processes";#N/A,#N/A,FALSE,"Elec Act vs Bud";#N/A,#N/A,FALSE,"G&amp;A";#N/A,#N/A,FALSE,"BGS";#N/A,#N/A,FALSE,"Res Cost"}</definedName>
    <definedName name="gita" localSheetId="3"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6" hidden="1">{#N/A,#N/A,FALSE,"O&amp;M by processes";#N/A,#N/A,FALSE,"Elec Act vs Bud";#N/A,#N/A,FALSE,"G&amp;A";#N/A,#N/A,FALSE,"BGS";#N/A,#N/A,FALSE,"Res Cost"}</definedName>
    <definedName name="gitah" localSheetId="0" hidden="1">{#N/A,#N/A,FALSE,"O&amp;M by processes";#N/A,#N/A,FALSE,"Elec Act vs Bud";#N/A,#N/A,FALSE,"G&amp;A";#N/A,#N/A,FALSE,"BGS";#N/A,#N/A,FALSE,"Res Cost"}</definedName>
    <definedName name="gitah" localSheetId="3" hidden="1">{#N/A,#N/A,FALSE,"O&amp;M by processes";#N/A,#N/A,FALSE,"Elec Act vs Bud";#N/A,#N/A,FALSE,"G&amp;A";#N/A,#N/A,FALSE,"BGS";#N/A,#N/A,FALSE,"Res Cost"}</definedName>
    <definedName name="gitah" hidden="1">{#N/A,#N/A,FALSE,"O&amp;M by processes";#N/A,#N/A,FALSE,"Elec Act vs Bud";#N/A,#N/A,FALSE,"G&amp;A";#N/A,#N/A,FALSE,"BGS";#N/A,#N/A,FALSE,"Res Cost"}</definedName>
    <definedName name="Library" hidden="1">"a1"</definedName>
    <definedName name="limcount" hidden="1">1</definedName>
    <definedName name="million">1000000</definedName>
    <definedName name="months">[1]Permanent!$A$24:$A$35</definedName>
    <definedName name="one">1</definedName>
    <definedName name="_xlnm.Print_Area" localSheetId="4">'1-Project Rev Req'!$A$1:$L$58,'1-Project Rev Req'!$A$59:$W$114</definedName>
    <definedName name="_xlnm.Print_Area" localSheetId="6">'3-Project True-up'!$A$1:$K$47</definedName>
    <definedName name="_xlnm.Print_Area" localSheetId="7">'4- Rate Base'!$A$1:$P$71</definedName>
    <definedName name="_xlnm.Print_Area" localSheetId="8">'5-P3 Support'!$A$1:$N$78</definedName>
    <definedName name="_xlnm.Print_Area" localSheetId="9">'6-Dep Rates'!$A$1:$C$41</definedName>
    <definedName name="_xlnm.Print_Area" localSheetId="10">'7 - PBOP'!$A$1:$F$22</definedName>
    <definedName name="_xlnm.Print_Area" localSheetId="11">'8a-ADIT Projection'!$A$1:$I$38</definedName>
    <definedName name="_xlnm.Print_Area" localSheetId="12">'8b-ADIT Projection Proration'!$A$1:$L$61</definedName>
    <definedName name="_xlnm.Print_Area" localSheetId="13">'8c- ADIT BOY'!$A$1:$H$83</definedName>
    <definedName name="_xlnm.Print_Area" localSheetId="14">'8d- ADIT EOY'!$A$1:$H$86</definedName>
    <definedName name="_xlnm.Print_Area" localSheetId="15">'8e-ADIT True-up'!$A$1:$I$37</definedName>
    <definedName name="_xlnm.Print_Area" localSheetId="16">'8f-ADIT True-up Proration'!$A$1:$AF$61</definedName>
    <definedName name="_xlnm.Print_Area" localSheetId="0">'9A-Non-MISO ATRR'!$A$1:$K$311</definedName>
    <definedName name="_xlnm.Print_Area" localSheetId="1">'9B-Non-MISO Project Rev Req'!$A$1:$L$58,'9B-Non-MISO Project Rev Req'!$A$59:$W$114</definedName>
    <definedName name="_xlnm.Print_Area" localSheetId="2">'9C-Non-MISO Project True-up'!$A$1:$K$49</definedName>
    <definedName name="_xlnm.Print_Area" localSheetId="3">'Attachment O'!$A$1:$K$311</definedName>
    <definedName name="_xlnm.Print_Titles" localSheetId="11">'8a-ADIT Projection'!$19:$20</definedName>
    <definedName name="_xlnm.Print_Titles" localSheetId="12">'8b-ADIT Projection Proration'!$6:$7</definedName>
    <definedName name="_xlnm.Print_Titles" localSheetId="15">'8e-ADIT True-up'!$19:$20</definedName>
    <definedName name="_xlnm.Print_Titles" localSheetId="16">'8f-ADIT True-up Proration'!$6:$7</definedName>
    <definedName name="rrrr" localSheetId="16" hidden="1">{#N/A,#N/A,FALSE,"O&amp;M by processes";#N/A,#N/A,FALSE,"Elec Act vs Bud";#N/A,#N/A,FALSE,"G&amp;A";#N/A,#N/A,FALSE,"BGS";#N/A,#N/A,FALSE,"Res Cost"}</definedName>
    <definedName name="rrrr" localSheetId="0" hidden="1">{#N/A,#N/A,FALSE,"O&amp;M by processes";#N/A,#N/A,FALSE,"Elec Act vs Bud";#N/A,#N/A,FALSE,"G&amp;A";#N/A,#N/A,FALSE,"BGS";#N/A,#N/A,FALSE,"Res Cost"}</definedName>
    <definedName name="rrrr" localSheetId="3" hidden="1">{#N/A,#N/A,FALSE,"O&amp;M by processes";#N/A,#N/A,FALSE,"Elec Act vs Bud";#N/A,#N/A,FALSE,"G&amp;A";#N/A,#N/A,FALSE,"BGS";#N/A,#N/A,FALSE,"Res Cost"}</definedName>
    <definedName name="rrrr" hidden="1">{#N/A,#N/A,FALSE,"O&amp;M by processes";#N/A,#N/A,FALSE,"Elec Act vs Bud";#N/A,#N/A,FALSE,"G&amp;A";#N/A,#N/A,FALSE,"BGS";#N/A,#N/A,FALSE,"Res Cost"}</definedName>
    <definedName name="shiva" localSheetId="16" hidden="1">{#N/A,#N/A,FALSE,"O&amp;M by processes";#N/A,#N/A,FALSE,"Elec Act vs Bud";#N/A,#N/A,FALSE,"G&amp;A";#N/A,#N/A,FALSE,"BGS";#N/A,#N/A,FALSE,"Res Cost"}</definedName>
    <definedName name="shiva" localSheetId="0" hidden="1">{#N/A,#N/A,FALSE,"O&amp;M by processes";#N/A,#N/A,FALSE,"Elec Act vs Bud";#N/A,#N/A,FALSE,"G&amp;A";#N/A,#N/A,FALSE,"BGS";#N/A,#N/A,FALSE,"Res Cost"}</definedName>
    <definedName name="shiva" localSheetId="3" hidden="1">{#N/A,#N/A,FALSE,"O&amp;M by processes";#N/A,#N/A,FALSE,"Elec Act vs Bud";#N/A,#N/A,FALSE,"G&amp;A";#N/A,#N/A,FALSE,"BGS";#N/A,#N/A,FALSE,"Res Cost"}</definedName>
    <definedName name="shiva" hidden="1">{#N/A,#N/A,FALSE,"O&amp;M by processes";#N/A,#N/A,FALSE,"Elec Act vs Bud";#N/A,#N/A,FALSE,"G&amp;A";#N/A,#N/A,FALSE,"BGS";#N/A,#N/A,FALSE,"Res Cost"}</definedName>
    <definedName name="statsrevised" localSheetId="16" hidden="1">{#N/A,#N/A,FALSE,"O&amp;M by processes";#N/A,#N/A,FALSE,"Elec Act vs Bud";#N/A,#N/A,FALSE,"G&amp;A";#N/A,#N/A,FALSE,"BGS";#N/A,#N/A,FALSE,"Res Cost"}</definedName>
    <definedName name="statsrevised" localSheetId="0" hidden="1">{#N/A,#N/A,FALSE,"O&amp;M by processes";#N/A,#N/A,FALSE,"Elec Act vs Bud";#N/A,#N/A,FALSE,"G&amp;A";#N/A,#N/A,FALSE,"BGS";#N/A,#N/A,FALSE,"Res Cost"}</definedName>
    <definedName name="statsrevised" localSheetId="3" hidden="1">{#N/A,#N/A,FALSE,"O&amp;M by processes";#N/A,#N/A,FALSE,"Elec Act vs Bud";#N/A,#N/A,FALSE,"G&amp;A";#N/A,#N/A,FALSE,"BGS";#N/A,#N/A,FALSE,"Res Cost"}</definedName>
    <definedName name="statsrevised" hidden="1">{#N/A,#N/A,FALSE,"O&amp;M by processes";#N/A,#N/A,FALSE,"Elec Act vs Bud";#N/A,#N/A,FALSE,"G&amp;A";#N/A,#N/A,FALSE,"BGS";#N/A,#N/A,FALSE,"Res Cost"}</definedName>
    <definedName name="support" localSheetId="16" hidden="1">{#N/A,#N/A,FALSE,"O&amp;M by processes";#N/A,#N/A,FALSE,"Elec Act vs Bud";#N/A,#N/A,FALSE,"G&amp;A";#N/A,#N/A,FALSE,"BGS";#N/A,#N/A,FALSE,"Res Cost"}</definedName>
    <definedName name="support" localSheetId="0" hidden="1">{#N/A,#N/A,FALSE,"O&amp;M by processes";#N/A,#N/A,FALSE,"Elec Act vs Bud";#N/A,#N/A,FALSE,"G&amp;A";#N/A,#N/A,FALSE,"BGS";#N/A,#N/A,FALSE,"Res Cost"}</definedName>
    <definedName name="support" localSheetId="3"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6" hidden="1">{#N/A,#N/A,FALSE,"O&amp;M by processes";#N/A,#N/A,FALSE,"Elec Act vs Bud";#N/A,#N/A,FALSE,"G&amp;A";#N/A,#N/A,FALSE,"BGS";#N/A,#N/A,FALSE,"Res Cost"}</definedName>
    <definedName name="supporti" localSheetId="0" hidden="1">{#N/A,#N/A,FALSE,"O&amp;M by processes";#N/A,#N/A,FALSE,"Elec Act vs Bud";#N/A,#N/A,FALSE,"G&amp;A";#N/A,#N/A,FALSE,"BGS";#N/A,#N/A,FALSE,"Res Cost"}</definedName>
    <definedName name="supporti" localSheetId="3" hidden="1">{#N/A,#N/A,FALSE,"O&amp;M by processes";#N/A,#N/A,FALSE,"Elec Act vs Bud";#N/A,#N/A,FALSE,"G&amp;A";#N/A,#N/A,FALSE,"BGS";#N/A,#N/A,FALSE,"Res Cost"}</definedName>
    <definedName name="supporti" hidden="1">{#N/A,#N/A,FALSE,"O&amp;M by processes";#N/A,#N/A,FALSE,"Elec Act vs Bud";#N/A,#N/A,FALSE,"G&amp;A";#N/A,#N/A,FALSE,"BGS";#N/A,#N/A,FALSE,"Res Cost"}</definedName>
    <definedName name="thousand">1000</definedName>
    <definedName name="Time" hidden="1">"b1"</definedName>
    <definedName name="toma" localSheetId="16" hidden="1">{#N/A,#N/A,FALSE,"O&amp;M by processes";#N/A,#N/A,FALSE,"Elec Act vs Bud";#N/A,#N/A,FALSE,"G&amp;A";#N/A,#N/A,FALSE,"BGS";#N/A,#N/A,FALSE,"Res Cost"}</definedName>
    <definedName name="toma" localSheetId="0" hidden="1">{#N/A,#N/A,FALSE,"O&amp;M by processes";#N/A,#N/A,FALSE,"Elec Act vs Bud";#N/A,#N/A,FALSE,"G&amp;A";#N/A,#N/A,FALSE,"BGS";#N/A,#N/A,FALSE,"Res Cost"}</definedName>
    <definedName name="toma" localSheetId="3"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6" hidden="1">{#N/A,#N/A,FALSE,"O&amp;M by processes";#N/A,#N/A,FALSE,"Elec Act vs Bud";#N/A,#N/A,FALSE,"G&amp;A";#N/A,#N/A,FALSE,"BGS";#N/A,#N/A,FALSE,"Res Cost"}</definedName>
    <definedName name="tomb" localSheetId="0" hidden="1">{#N/A,#N/A,FALSE,"O&amp;M by processes";#N/A,#N/A,FALSE,"Elec Act vs Bud";#N/A,#N/A,FALSE,"G&amp;A";#N/A,#N/A,FALSE,"BGS";#N/A,#N/A,FALSE,"Res Cost"}</definedName>
    <definedName name="tomb" localSheetId="3"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6" hidden="1">{#N/A,#N/A,FALSE,"O&amp;M by processes";#N/A,#N/A,FALSE,"Elec Act vs Bud";#N/A,#N/A,FALSE,"G&amp;A";#N/A,#N/A,FALSE,"BGS";#N/A,#N/A,FALSE,"Res Cost"}</definedName>
    <definedName name="tomc" localSheetId="0" hidden="1">{#N/A,#N/A,FALSE,"O&amp;M by processes";#N/A,#N/A,FALSE,"Elec Act vs Bud";#N/A,#N/A,FALSE,"G&amp;A";#N/A,#N/A,FALSE,"BGS";#N/A,#N/A,FALSE,"Res Cost"}</definedName>
    <definedName name="tomc" localSheetId="3"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6" hidden="1">{#N/A,#N/A,FALSE,"O&amp;M by processes";#N/A,#N/A,FALSE,"Elec Act vs Bud";#N/A,#N/A,FALSE,"G&amp;A";#N/A,#N/A,FALSE,"BGS";#N/A,#N/A,FALSE,"Res Cost"}</definedName>
    <definedName name="tomd" localSheetId="0" hidden="1">{#N/A,#N/A,FALSE,"O&amp;M by processes";#N/A,#N/A,FALSE,"Elec Act vs Bud";#N/A,#N/A,FALSE,"G&amp;A";#N/A,#N/A,FALSE,"BGS";#N/A,#N/A,FALSE,"Res Cost"}</definedName>
    <definedName name="tomd" localSheetId="3"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6" hidden="1">{#N/A,#N/A,FALSE,"O&amp;M by processes";#N/A,#N/A,FALSE,"Elec Act vs Bud";#N/A,#N/A,FALSE,"G&amp;A";#N/A,#N/A,FALSE,"BGS";#N/A,#N/A,FALSE,"Res Cost"}</definedName>
    <definedName name="tomx" localSheetId="0" hidden="1">{#N/A,#N/A,FALSE,"O&amp;M by processes";#N/A,#N/A,FALSE,"Elec Act vs Bud";#N/A,#N/A,FALSE,"G&amp;A";#N/A,#N/A,FALSE,"BGS";#N/A,#N/A,FALSE,"Res Cost"}</definedName>
    <definedName name="tomx" localSheetId="3"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6" hidden="1">{#N/A,#N/A,FALSE,"O&amp;M by processes";#N/A,#N/A,FALSE,"Elec Act vs Bud";#N/A,#N/A,FALSE,"G&amp;A";#N/A,#N/A,FALSE,"BGS";#N/A,#N/A,FALSE,"Res Cost"}</definedName>
    <definedName name="tomy" localSheetId="0" hidden="1">{#N/A,#N/A,FALSE,"O&amp;M by processes";#N/A,#N/A,FALSE,"Elec Act vs Bud";#N/A,#N/A,FALSE,"G&amp;A";#N/A,#N/A,FALSE,"BGS";#N/A,#N/A,FALSE,"Res Cost"}</definedName>
    <definedName name="tomy" localSheetId="3"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6" hidden="1">{#N/A,#N/A,FALSE,"O&amp;M by processes";#N/A,#N/A,FALSE,"Elec Act vs Bud";#N/A,#N/A,FALSE,"G&amp;A";#N/A,#N/A,FALSE,"BGS";#N/A,#N/A,FALSE,"Res Cost"}</definedName>
    <definedName name="tomz" localSheetId="0" hidden="1">{#N/A,#N/A,FALSE,"O&amp;M by processes";#N/A,#N/A,FALSE,"Elec Act vs Bud";#N/A,#N/A,FALSE,"G&amp;A";#N/A,#N/A,FALSE,"BGS";#N/A,#N/A,FALSE,"Res Cost"}</definedName>
    <definedName name="tomz" localSheetId="3" hidden="1">{#N/A,#N/A,FALSE,"O&amp;M by processes";#N/A,#N/A,FALSE,"Elec Act vs Bud";#N/A,#N/A,FALSE,"G&amp;A";#N/A,#N/A,FALSE,"BGS";#N/A,#N/A,FALSE,"Res Cost"}</definedName>
    <definedName name="tomz" hidden="1">{#N/A,#N/A,FALSE,"O&amp;M by processes";#N/A,#N/A,FALSE,"Elec Act vs Bud";#N/A,#N/A,FALSE,"G&amp;A";#N/A,#N/A,FALSE,"BGS";#N/A,#N/A,FALSE,"Res Cost"}</definedName>
    <definedName name="Typist" hidden="1">"b1"</definedName>
    <definedName name="Version" hidden="1">"a1"</definedName>
    <definedName name="wh" localSheetId="16" hidden="1">{#N/A,#N/A,FALSE,"O&amp;M by processes";#N/A,#N/A,FALSE,"Elec Act vs Bud";#N/A,#N/A,FALSE,"G&amp;A";#N/A,#N/A,FALSE,"BGS";#N/A,#N/A,FALSE,"Res Cost"}</definedName>
    <definedName name="wh" localSheetId="0" hidden="1">{#N/A,#N/A,FALSE,"O&amp;M by processes";#N/A,#N/A,FALSE,"Elec Act vs Bud";#N/A,#N/A,FALSE,"G&amp;A";#N/A,#N/A,FALSE,"BGS";#N/A,#N/A,FALSE,"Res Cost"}</definedName>
    <definedName name="wh" localSheetId="3"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6" hidden="1">{#N/A,#N/A,FALSE,"O&amp;M by processes";#N/A,#N/A,FALSE,"Elec Act vs Bud";#N/A,#N/A,FALSE,"G&amp;A";#N/A,#N/A,FALSE,"BGS";#N/A,#N/A,FALSE,"Res Cost"}</definedName>
    <definedName name="what" localSheetId="0" hidden="1">{#N/A,#N/A,FALSE,"O&amp;M by processes";#N/A,#N/A,FALSE,"Elec Act vs Bud";#N/A,#N/A,FALSE,"G&amp;A";#N/A,#N/A,FALSE,"BGS";#N/A,#N/A,FALSE,"Res Cost"}</definedName>
    <definedName name="what" localSheetId="3"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6" hidden="1">{#N/A,#N/A,FALSE,"O&amp;M by processes";#N/A,#N/A,FALSE,"Elec Act vs Bud";#N/A,#N/A,FALSE,"G&amp;A";#N/A,#N/A,FALSE,"BGS";#N/A,#N/A,FALSE,"Res Cost"}</definedName>
    <definedName name="Whatwhat" localSheetId="0" hidden="1">{#N/A,#N/A,FALSE,"O&amp;M by processes";#N/A,#N/A,FALSE,"Elec Act vs Bud";#N/A,#N/A,FALSE,"G&amp;A";#N/A,#N/A,FALSE,"BGS";#N/A,#N/A,FALSE,"Res Cost"}</definedName>
    <definedName name="Whatwhat" localSheetId="3"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6" hidden="1">{#N/A,#N/A,FALSE,"O&amp;M by processes";#N/A,#N/A,FALSE,"Elec Act vs Bud";#N/A,#N/A,FALSE,"G&amp;A";#N/A,#N/A,FALSE,"BGS";#N/A,#N/A,FALSE,"Res Cost"}</definedName>
    <definedName name="who" localSheetId="0" hidden="1">{#N/A,#N/A,FALSE,"O&amp;M by processes";#N/A,#N/A,FALSE,"Elec Act vs Bud";#N/A,#N/A,FALSE,"G&amp;A";#N/A,#N/A,FALSE,"BGS";#N/A,#N/A,FALSE,"Res Cost"}</definedName>
    <definedName name="who" localSheetId="3"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6" hidden="1">{#N/A,#N/A,FALSE,"O&amp;M by processes";#N/A,#N/A,FALSE,"Elec Act vs Bud";#N/A,#N/A,FALSE,"G&amp;A";#N/A,#N/A,FALSE,"BGS";#N/A,#N/A,FALSE,"Res Cost"}</definedName>
    <definedName name="whowho" localSheetId="0" hidden="1">{#N/A,#N/A,FALSE,"O&amp;M by processes";#N/A,#N/A,FALSE,"Elec Act vs Bud";#N/A,#N/A,FALSE,"G&amp;A";#N/A,#N/A,FALSE,"BGS";#N/A,#N/A,FALSE,"Res Cost"}</definedName>
    <definedName name="whowho" localSheetId="3"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6" hidden="1">{#N/A,#N/A,FALSE,"O&amp;M by processes";#N/A,#N/A,FALSE,"Elec Act vs Bud";#N/A,#N/A,FALSE,"G&amp;A";#N/A,#N/A,FALSE,"BGS";#N/A,#N/A,FALSE,"Res Cost"}</definedName>
    <definedName name="whwh" localSheetId="0" hidden="1">{#N/A,#N/A,FALSE,"O&amp;M by processes";#N/A,#N/A,FALSE,"Elec Act vs Bud";#N/A,#N/A,FALSE,"G&amp;A";#N/A,#N/A,FALSE,"BGS";#N/A,#N/A,FALSE,"Res Cost"}</definedName>
    <definedName name="whwh" localSheetId="3"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6" hidden="1">{#N/A,#N/A,FALSE,"O&amp;M by processes";#N/A,#N/A,FALSE,"Elec Act vs Bud";#N/A,#N/A,FALSE,"G&amp;A";#N/A,#N/A,FALSE,"BGS";#N/A,#N/A,FALSE,"Res Cost"}</definedName>
    <definedName name="why" localSheetId="0" hidden="1">{#N/A,#N/A,FALSE,"O&amp;M by processes";#N/A,#N/A,FALSE,"Elec Act vs Bud";#N/A,#N/A,FALSE,"G&amp;A";#N/A,#N/A,FALSE,"BGS";#N/A,#N/A,FALSE,"Res Cost"}</definedName>
    <definedName name="why" localSheetId="3"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6" hidden="1">{#N/A,#N/A,FALSE,"O&amp;M by processes";#N/A,#N/A,FALSE,"Elec Act vs Bud";#N/A,#N/A,FALSE,"G&amp;A";#N/A,#N/A,FALSE,"BGS";#N/A,#N/A,FALSE,"Res Cost"}</definedName>
    <definedName name="wrn" localSheetId="0" hidden="1">{#N/A,#N/A,FALSE,"O&amp;M by processes";#N/A,#N/A,FALSE,"Elec Act vs Bud";#N/A,#N/A,FALSE,"G&amp;A";#N/A,#N/A,FALSE,"BGS";#N/A,#N/A,FALSE,"Res Cost"}</definedName>
    <definedName name="wrn" localSheetId="3"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16" hidden="1">{#N/A,#N/A,FALSE,"CURRENT"}</definedName>
    <definedName name="wrn.722." localSheetId="0" hidden="1">{#N/A,#N/A,FALSE,"CURRENT"}</definedName>
    <definedName name="wrn.722." localSheetId="3" hidden="1">{#N/A,#N/A,FALSE,"CURRENT"}</definedName>
    <definedName name="wrn.722." hidden="1">{#N/A,#N/A,FALSE,"CURRENT"}</definedName>
    <definedName name="wrn.AGT." localSheetId="16" hidden="1">{"AGT",#N/A,FALSE,"Revenue"}</definedName>
    <definedName name="wrn.AGT." localSheetId="0" hidden="1">{"AGT",#N/A,FALSE,"Revenue"}</definedName>
    <definedName name="wrn.AGT." localSheetId="3" hidden="1">{"AGT",#N/A,FALSE,"Revenue"}</definedName>
    <definedName name="wrn.AGT." hidden="1">{"AGT",#N/A,FALSE,"Revenue"}</definedName>
    <definedName name="wrn.August._.1._.2003._.Rate._.Change." localSheetId="16"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16" hidden="1">{#N/A,#N/A,FALSE,"O&amp;M by processes";#N/A,#N/A,FALSE,"Elec Act vs Bud";#N/A,#N/A,FALSE,"G&amp;A";#N/A,#N/A,FALSE,"BGS";#N/A,#N/A,FALSE,"Res Cost"}</definedName>
    <definedName name="wrn.Basic." localSheetId="0" hidden="1">{#N/A,#N/A,FALSE,"O&amp;M by processes";#N/A,#N/A,FALSE,"Elec Act vs Bud";#N/A,#N/A,FALSE,"G&amp;A";#N/A,#N/A,FALSE,"BGS";#N/A,#N/A,FALSE,"Res Cost"}</definedName>
    <definedName name="wrn.Basic." localSheetId="3"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16" hidden="1">{#N/A,#N/A,FALSE,"Elec Deliv";#N/A,#N/A,FALSE,"Atlantic Pie";#N/A,#N/A,FALSE,"Bay Pie";#N/A,#N/A,FALSE,"New Castle Pie";#N/A,#N/A,FALSE,"Transmission Pie"}</definedName>
    <definedName name="wrn.ChartSet." localSheetId="0" hidden="1">{#N/A,#N/A,FALSE,"Elec Deliv";#N/A,#N/A,FALSE,"Atlantic Pie";#N/A,#N/A,FALSE,"Bay Pie";#N/A,#N/A,FALSE,"New Castle Pie";#N/A,#N/A,FALSE,"Transmission Pie"}</definedName>
    <definedName name="wrn.ChartSet." localSheetId="3"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Data._.dump." localSheetId="16" hidden="1">{"Input Data",#N/A,FALSE,"Input";"Income and Cash Flow",#N/A,FALSE,"Calculations"}</definedName>
    <definedName name="wrn.Data._.dump." localSheetId="0" hidden="1">{"Input Data",#N/A,FALSE,"Input";"Income and Cash Flow",#N/A,FALSE,"Calculations"}</definedName>
    <definedName name="wrn.Data._.dump." localSheetId="3" hidden="1">{"Input Data",#N/A,FALSE,"Input";"Income and Cash Flow",#N/A,FALSE,"Calculations"}</definedName>
    <definedName name="wrn.Data._.dump." hidden="1">{"Input Data",#N/A,FALSE,"Input";"Income and Cash Flow",#N/A,FALSE,"Calculations"}</definedName>
    <definedName name="wrn.Deferral._.Forecast." localSheetId="16" hidden="1">{"Summary Deferral Forecast",#N/A,FALSE,"Deferral Forecast";"BGS Deferral Forecast",#N/A,FALSE,"BGS Deferral";"NNC Deferral Forecast",#N/A,FALSE,"NNC Deferral";"MTCDeferralForecast",#N/A,FALSE,"MTC Deferral";"SBC Deferral Forecast",#N/A,FALSE,"SBC Deferral"}</definedName>
    <definedName name="wrn.Deferral._.Forecast." localSheetId="0" hidden="1">{"Summary Deferral Forecast",#N/A,FALSE,"Deferral Forecast";"BGS Deferral Forecast",#N/A,FALSE,"BGS Deferral";"NNC Deferral Forecast",#N/A,FALSE,"NNC Deferral";"MTCDeferralForecast",#N/A,FALSE,"MTC Deferral";"SBC Deferral Forecast",#N/A,FALSE,"SBC Deferral"}</definedName>
    <definedName name="wrn.Deferral._.Forecast." localSheetId="3"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localSheetId="16"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16" hidden="1">{"Print Empty Template",#N/A,FALSE,"Input"}</definedName>
    <definedName name="wrn.For._.filling._.out._.assessments." localSheetId="0" hidden="1">{"Print Empty Template",#N/A,FALSE,"Input"}</definedName>
    <definedName name="wrn.For._.filling._.out._.assessments." localSheetId="3" hidden="1">{"Print Empty Template",#N/A,FALSE,"Input"}</definedName>
    <definedName name="wrn.For._.filling._.out._.assessments." hidden="1">{"Print Empty Template",#N/A,FALSE,"Input"}</definedName>
    <definedName name="wrn.HLP._.Detail." localSheetId="16" hidden="1">{"2002 - 2006 Detail Income Statement",#N/A,FALSE,"TUB Income Statement wo DW";"BGS Deferral",#N/A,FALSE,"BGS Deferral";"NNC Deferral",#N/A,FALSE,"NNC Deferral";"MTC Deferral",#N/A,FALSE,"MTC Deferral";#N/A,#N/A,FALSE,"Schedule D"}</definedName>
    <definedName name="wrn.HLP._.Detail." localSheetId="0" hidden="1">{"2002 - 2006 Detail Income Statement",#N/A,FALSE,"TUB Income Statement wo DW";"BGS Deferral",#N/A,FALSE,"BGS Deferral";"NNC Deferral",#N/A,FALSE,"NNC Deferral";"MTC Deferral",#N/A,FALSE,"MTC Deferral";#N/A,#N/A,FALSE,"Schedule D"}</definedName>
    <definedName name="wrn.HLP._.Detail." localSheetId="3"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Report." localSheetId="16" hidden="1">{#N/A,#N/A,FALSE,"Work performed";#N/A,#N/A,FALSE,"Resources"}</definedName>
    <definedName name="wrn.Report." localSheetId="0" hidden="1">{#N/A,#N/A,FALSE,"Work performed";#N/A,#N/A,FALSE,"Resources"}</definedName>
    <definedName name="wrn.Report." localSheetId="3" hidden="1">{#N/A,#N/A,FALSE,"Work performed";#N/A,#N/A,FALSE,"Resources"}</definedName>
    <definedName name="wrn.Report." hidden="1">{#N/A,#N/A,FALSE,"Work performed";#N/A,#N/A,FALSE,"Resources"}</definedName>
    <definedName name="wrn.Revenue._.Analysis." localSheetId="16"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16" hidden="1">{#N/A,#N/A,FALSE,"Work performed";#N/A,#N/A,FALSE,"Resources"}</definedName>
    <definedName name="wrn.Supporting._.Calculations." localSheetId="0" hidden="1">{#N/A,#N/A,FALSE,"Work performed";#N/A,#N/A,FALSE,"Resources"}</definedName>
    <definedName name="wrn.Supporting._.Calculations." localSheetId="3" hidden="1">{#N/A,#N/A,FALSE,"Work performed";#N/A,#N/A,FALSE,"Resources"}</definedName>
    <definedName name="wrn.Supporting._.Calculations." hidden="1">{#N/A,#N/A,FALSE,"Work performed";#N/A,#N/A,FALSE,"Resources"}</definedName>
    <definedName name="wrn.Tax._.Accrual." localSheetId="16" hidden="1">{#N/A,#N/A,TRUE,"TAXPROV";#N/A,#N/A,TRUE,"FLOWTHRU";#N/A,#N/A,TRUE,"SCHEDULE M'S";#N/A,#N/A,TRUE,"PLANT M'S";#N/A,#N/A,TRUE,"TAXJE"}</definedName>
    <definedName name="wrn.Tax._.Accrual." localSheetId="0" hidden="1">{#N/A,#N/A,TRUE,"TAXPROV";#N/A,#N/A,TRUE,"FLOWTHRU";#N/A,#N/A,TRUE,"SCHEDULE M'S";#N/A,#N/A,TRUE,"PLANT M'S";#N/A,#N/A,TRUE,"TAXJE"}</definedName>
    <definedName name="wrn.Tax._.Accrual." localSheetId="3" hidden="1">{#N/A,#N/A,TRUE,"TAXPROV";#N/A,#N/A,TRUE,"FLOWTHRU";#N/A,#N/A,TRUE,"SCHEDULE M'S";#N/A,#N/A,TRUE,"PLANT M'S";#N/A,#N/A,TRUE,"TAXJE"}</definedName>
    <definedName name="wrn.Tax._.Accrual." hidden="1">{#N/A,#N/A,TRUE,"TAXPROV";#N/A,#N/A,TRUE,"FLOWTHRU";#N/A,#N/A,TRUE,"SCHEDULE M'S";#N/A,#N/A,TRUE,"PLANT M'S";#N/A,#N/A,TRUE,"TAXJE"}</definedName>
    <definedName name="xxx" localSheetId="16" hidden="1">{#N/A,#N/A,FALSE,"O&amp;M by processes";#N/A,#N/A,FALSE,"Elec Act vs Bud";#N/A,#N/A,FALSE,"G&amp;A";#N/A,#N/A,FALSE,"BGS";#N/A,#N/A,FALSE,"Res Cost"}</definedName>
    <definedName name="xxx" localSheetId="0" hidden="1">{#N/A,#N/A,FALSE,"O&amp;M by processes";#N/A,#N/A,FALSE,"Elec Act vs Bud";#N/A,#N/A,FALSE,"G&amp;A";#N/A,#N/A,FALSE,"BGS";#N/A,#N/A,FALSE,"Res Cost"}</definedName>
    <definedName name="xxx" localSheetId="3"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6" hidden="1">{#N/A,#N/A,FALSE,"O&amp;M by processes";#N/A,#N/A,FALSE,"Elec Act vs Bud";#N/A,#N/A,FALSE,"G&amp;A";#N/A,#N/A,FALSE,"BGS";#N/A,#N/A,FALSE,"Res Cost"}</definedName>
    <definedName name="xxxx" localSheetId="0" hidden="1">{#N/A,#N/A,FALSE,"O&amp;M by processes";#N/A,#N/A,FALSE,"Elec Act vs Bud";#N/A,#N/A,FALSE,"G&amp;A";#N/A,#N/A,FALSE,"BGS";#N/A,#N/A,FALSE,"Res Cost"}</definedName>
    <definedName name="xxxx" localSheetId="3" hidden="1">{#N/A,#N/A,FALSE,"O&amp;M by processes";#N/A,#N/A,FALSE,"Elec Act vs Bud";#N/A,#N/A,FALSE,"G&amp;A";#N/A,#N/A,FALSE,"BGS";#N/A,#N/A,FALSE,"Res Cost"}</definedName>
    <definedName name="xxxx" hidden="1">{#N/A,#N/A,FALSE,"O&amp;M by processes";#N/A,#N/A,FALSE,"Elec Act vs Bud";#N/A,#N/A,FALSE,"G&amp;A";#N/A,#N/A,FALSE,"BGS";#N/A,#N/A,FALSE,"Res Cost"}</definedName>
    <definedName name="Z_28948E05_8F34_4F1E_96FB_A80A6A844600_.wvu.Cols" localSheetId="11" hidden="1">#REF!</definedName>
    <definedName name="Z_28948E05_8F34_4F1E_96FB_A80A6A844600_.wvu.Cols" localSheetId="12" hidden="1">#REF!</definedName>
    <definedName name="Z_28948E05_8F34_4F1E_96FB_A80A6A844600_.wvu.Cols" localSheetId="13" hidden="1">#REF!</definedName>
    <definedName name="Z_28948E05_8F34_4F1E_96FB_A80A6A844600_.wvu.Cols" localSheetId="14" hidden="1">#REF!</definedName>
    <definedName name="Z_28948E05_8F34_4F1E_96FB_A80A6A844600_.wvu.Cols" localSheetId="15" hidden="1">#REF!</definedName>
    <definedName name="Z_28948E05_8F34_4F1E_96FB_A80A6A844600_.wvu.Cols" localSheetId="16" hidden="1">#REF!</definedName>
    <definedName name="Z_28948E05_8F34_4F1E_96FB_A80A6A844600_.wvu.PrintArea" localSheetId="11" hidden="1">'8a-ADIT Projection'!$B$1:$G$53</definedName>
    <definedName name="Z_28948E05_8F34_4F1E_96FB_A80A6A844600_.wvu.PrintArea" localSheetId="12" hidden="1">'8b-ADIT Projection Proration'!$B$1:$H$74</definedName>
    <definedName name="Z_28948E05_8F34_4F1E_96FB_A80A6A844600_.wvu.PrintArea" localSheetId="13" hidden="1">'8c- ADIT BOY'!$B$1:$H$105</definedName>
    <definedName name="Z_28948E05_8F34_4F1E_96FB_A80A6A844600_.wvu.PrintArea" localSheetId="14" hidden="1">'8d- ADIT EOY'!$B$1:$H$108</definedName>
    <definedName name="Z_28948E05_8F34_4F1E_96FB_A80A6A844600_.wvu.PrintArea" localSheetId="15" hidden="1">'8e-ADIT True-up'!$B$1:$G$48</definedName>
    <definedName name="Z_28948E05_8F34_4F1E_96FB_A80A6A844600_.wvu.PrintArea" localSheetId="16" hidden="1">'8f-ADIT True-up Proration'!$B$1:$F$74</definedName>
    <definedName name="Z_63011E91_4609_4523_98FE_FD252E915668_.wvu.Cols" localSheetId="11" hidden="1">#REF!</definedName>
    <definedName name="Z_63011E91_4609_4523_98FE_FD252E915668_.wvu.Cols" localSheetId="12" hidden="1">#REF!</definedName>
    <definedName name="Z_63011E91_4609_4523_98FE_FD252E915668_.wvu.Cols" localSheetId="13" hidden="1">#REF!</definedName>
    <definedName name="Z_63011E91_4609_4523_98FE_FD252E915668_.wvu.Cols" localSheetId="14" hidden="1">#REF!</definedName>
    <definedName name="Z_63011E91_4609_4523_98FE_FD252E915668_.wvu.Cols" localSheetId="15" hidden="1">#REF!</definedName>
    <definedName name="Z_63011E91_4609_4523_98FE_FD252E915668_.wvu.Cols" localSheetId="16" hidden="1">#REF!</definedName>
    <definedName name="Z_63011E91_4609_4523_98FE_FD252E915668_.wvu.PrintArea" localSheetId="11" hidden="1">'8a-ADIT Projection'!$B$1:$G$53</definedName>
    <definedName name="Z_63011E91_4609_4523_98FE_FD252E915668_.wvu.PrintArea" localSheetId="12" hidden="1">'8b-ADIT Projection Proration'!$B$1:$H$74</definedName>
    <definedName name="Z_63011E91_4609_4523_98FE_FD252E915668_.wvu.PrintArea" localSheetId="13" hidden="1">'8c- ADIT BOY'!$B$1:$H$105</definedName>
    <definedName name="Z_63011E91_4609_4523_98FE_FD252E915668_.wvu.PrintArea" localSheetId="14" hidden="1">'8d- ADIT EOY'!$B$1:$H$108</definedName>
    <definedName name="Z_63011E91_4609_4523_98FE_FD252E915668_.wvu.PrintArea" localSheetId="15" hidden="1">'8e-ADIT True-up'!$B$1:$G$48</definedName>
    <definedName name="Z_63011E91_4609_4523_98FE_FD252E915668_.wvu.PrintArea" localSheetId="16" hidden="1">'8f-ADIT True-up Proration'!$B$1:$F$74</definedName>
    <definedName name="Z_6928E596_79BD_4CEC_9F0D_07E62D69B2A5_.wvu.Cols" localSheetId="11" hidden="1">#REF!</definedName>
    <definedName name="Z_6928E596_79BD_4CEC_9F0D_07E62D69B2A5_.wvu.Cols" localSheetId="12" hidden="1">#REF!</definedName>
    <definedName name="Z_6928E596_79BD_4CEC_9F0D_07E62D69B2A5_.wvu.Cols" localSheetId="13" hidden="1">#REF!</definedName>
    <definedName name="Z_6928E596_79BD_4CEC_9F0D_07E62D69B2A5_.wvu.Cols" localSheetId="14" hidden="1">#REF!</definedName>
    <definedName name="Z_6928E596_79BD_4CEC_9F0D_07E62D69B2A5_.wvu.Cols" localSheetId="15" hidden="1">#REF!</definedName>
    <definedName name="Z_6928E596_79BD_4CEC_9F0D_07E62D69B2A5_.wvu.Cols" localSheetId="16" hidden="1">#REF!</definedName>
    <definedName name="Z_6928E596_79BD_4CEC_9F0D_07E62D69B2A5_.wvu.PrintArea" localSheetId="11" hidden="1">'8a-ADIT Projection'!$B$1:$G$53</definedName>
    <definedName name="Z_6928E596_79BD_4CEC_9F0D_07E62D69B2A5_.wvu.PrintArea" localSheetId="12" hidden="1">'8b-ADIT Projection Proration'!$B$1:$H$74</definedName>
    <definedName name="Z_6928E596_79BD_4CEC_9F0D_07E62D69B2A5_.wvu.PrintArea" localSheetId="13" hidden="1">'8c- ADIT BOY'!$B$1:$H$105</definedName>
    <definedName name="Z_6928E596_79BD_4CEC_9F0D_07E62D69B2A5_.wvu.PrintArea" localSheetId="14" hidden="1">'8d- ADIT EOY'!$B$1:$H$108</definedName>
    <definedName name="Z_6928E596_79BD_4CEC_9F0D_07E62D69B2A5_.wvu.PrintArea" localSheetId="15" hidden="1">'8e-ADIT True-up'!$B$1:$G$48</definedName>
    <definedName name="Z_6928E596_79BD_4CEC_9F0D_07E62D69B2A5_.wvu.PrintArea" localSheetId="16" hidden="1">'8f-ADIT True-up Proration'!$B$1:$F$74</definedName>
    <definedName name="Z_71B42B22_A376_44B5_B0C1_23FC1AA3DBA2_.wvu.Cols" localSheetId="11" hidden="1">#REF!</definedName>
    <definedName name="Z_71B42B22_A376_44B5_B0C1_23FC1AA3DBA2_.wvu.Cols" localSheetId="12" hidden="1">#REF!</definedName>
    <definedName name="Z_71B42B22_A376_44B5_B0C1_23FC1AA3DBA2_.wvu.Cols" localSheetId="13" hidden="1">#REF!</definedName>
    <definedName name="Z_71B42B22_A376_44B5_B0C1_23FC1AA3DBA2_.wvu.Cols" localSheetId="14" hidden="1">#REF!</definedName>
    <definedName name="Z_71B42B22_A376_44B5_B0C1_23FC1AA3DBA2_.wvu.Cols" localSheetId="15" hidden="1">#REF!</definedName>
    <definedName name="Z_71B42B22_A376_44B5_B0C1_23FC1AA3DBA2_.wvu.Cols" localSheetId="16" hidden="1">#REF!</definedName>
    <definedName name="Z_71B42B22_A376_44B5_B0C1_23FC1AA3DBA2_.wvu.PrintArea" localSheetId="11" hidden="1">'8a-ADIT Projection'!$B$1:$G$53</definedName>
    <definedName name="Z_71B42B22_A376_44B5_B0C1_23FC1AA3DBA2_.wvu.PrintArea" localSheetId="12" hidden="1">'8b-ADIT Projection Proration'!$B$1:$H$74</definedName>
    <definedName name="Z_71B42B22_A376_44B5_B0C1_23FC1AA3DBA2_.wvu.PrintArea" localSheetId="13" hidden="1">'8c- ADIT BOY'!$B$1:$H$105</definedName>
    <definedName name="Z_71B42B22_A376_44B5_B0C1_23FC1AA3DBA2_.wvu.PrintArea" localSheetId="14" hidden="1">'8d- ADIT EOY'!$B$1:$H$108</definedName>
    <definedName name="Z_71B42B22_A376_44B5_B0C1_23FC1AA3DBA2_.wvu.PrintArea" localSheetId="15" hidden="1">'8e-ADIT True-up'!$B$1:$G$48</definedName>
    <definedName name="Z_71B42B22_A376_44B5_B0C1_23FC1AA3DBA2_.wvu.PrintArea" localSheetId="16" hidden="1">'8f-ADIT True-up Proration'!$B$1:$F$74</definedName>
    <definedName name="Z_8FBB4DC9_2D51_4AB9_80D8_F8474B404C29_.wvu.Cols" localSheetId="11" hidden="1">#REF!</definedName>
    <definedName name="Z_8FBB4DC9_2D51_4AB9_80D8_F8474B404C29_.wvu.Cols" localSheetId="12" hidden="1">#REF!</definedName>
    <definedName name="Z_8FBB4DC9_2D51_4AB9_80D8_F8474B404C29_.wvu.Cols" localSheetId="13" hidden="1">#REF!</definedName>
    <definedName name="Z_8FBB4DC9_2D51_4AB9_80D8_F8474B404C29_.wvu.Cols" localSheetId="14" hidden="1">#REF!</definedName>
    <definedName name="Z_8FBB4DC9_2D51_4AB9_80D8_F8474B404C29_.wvu.Cols" localSheetId="15" hidden="1">#REF!</definedName>
    <definedName name="Z_8FBB4DC9_2D51_4AB9_80D8_F8474B404C29_.wvu.Cols" localSheetId="16" hidden="1">#REF!</definedName>
    <definedName name="Z_8FBB4DC9_2D51_4AB9_80D8_F8474B404C29_.wvu.PrintArea" localSheetId="11" hidden="1">'8a-ADIT Projection'!$B$1:$G$53</definedName>
    <definedName name="Z_8FBB4DC9_2D51_4AB9_80D8_F8474B404C29_.wvu.PrintArea" localSheetId="12" hidden="1">'8b-ADIT Projection Proration'!$B$1:$H$74</definedName>
    <definedName name="Z_8FBB4DC9_2D51_4AB9_80D8_F8474B404C29_.wvu.PrintArea" localSheetId="13" hidden="1">'8c- ADIT BOY'!$B$1:$H$105</definedName>
    <definedName name="Z_8FBB4DC9_2D51_4AB9_80D8_F8474B404C29_.wvu.PrintArea" localSheetId="14" hidden="1">'8d- ADIT EOY'!$B$1:$H$108</definedName>
    <definedName name="Z_8FBB4DC9_2D51_4AB9_80D8_F8474B404C29_.wvu.PrintArea" localSheetId="15" hidden="1">'8e-ADIT True-up'!$B$1:$G$48</definedName>
    <definedName name="Z_8FBB4DC9_2D51_4AB9_80D8_F8474B404C29_.wvu.PrintArea" localSheetId="16" hidden="1">'8f-ADIT True-up Proration'!$B$1:$F$74</definedName>
    <definedName name="Z_B647CB7F_C846_4278_B6B1_1EF7F3C004F5_.wvu.Cols" localSheetId="11" hidden="1">#REF!</definedName>
    <definedName name="Z_B647CB7F_C846_4278_B6B1_1EF7F3C004F5_.wvu.Cols" localSheetId="12" hidden="1">#REF!</definedName>
    <definedName name="Z_B647CB7F_C846_4278_B6B1_1EF7F3C004F5_.wvu.Cols" localSheetId="13" hidden="1">#REF!</definedName>
    <definedName name="Z_B647CB7F_C846_4278_B6B1_1EF7F3C004F5_.wvu.Cols" localSheetId="14" hidden="1">#REF!</definedName>
    <definedName name="Z_B647CB7F_C846_4278_B6B1_1EF7F3C004F5_.wvu.Cols" localSheetId="15" hidden="1">#REF!</definedName>
    <definedName name="Z_B647CB7F_C846_4278_B6B1_1EF7F3C004F5_.wvu.Cols" localSheetId="16" hidden="1">#REF!</definedName>
    <definedName name="Z_B647CB7F_C846_4278_B6B1_1EF7F3C004F5_.wvu.PrintArea" localSheetId="11" hidden="1">'8a-ADIT Projection'!$B$1:$G$53</definedName>
    <definedName name="Z_B647CB7F_C846_4278_B6B1_1EF7F3C004F5_.wvu.PrintArea" localSheetId="12" hidden="1">'8b-ADIT Projection Proration'!$B$1:$H$74</definedName>
    <definedName name="Z_B647CB7F_C846_4278_B6B1_1EF7F3C004F5_.wvu.PrintArea" localSheetId="13" hidden="1">'8c- ADIT BOY'!$B$1:$H$105</definedName>
    <definedName name="Z_B647CB7F_C846_4278_B6B1_1EF7F3C004F5_.wvu.PrintArea" localSheetId="14" hidden="1">'8d- ADIT EOY'!$B$1:$H$108</definedName>
    <definedName name="Z_B647CB7F_C846_4278_B6B1_1EF7F3C004F5_.wvu.PrintArea" localSheetId="15" hidden="1">'8e-ADIT True-up'!$B$1:$G$48</definedName>
    <definedName name="Z_B647CB7F_C846_4278_B6B1_1EF7F3C004F5_.wvu.PrintArea" localSheetId="16" hidden="1">'8f-ADIT True-up Proration'!$B$1:$F$74</definedName>
    <definedName name="Z_DC91DEF3_837B_4BB9_A81E_3B78C5914E6C_.wvu.Cols" localSheetId="11" hidden="1">#REF!</definedName>
    <definedName name="Z_DC91DEF3_837B_4BB9_A81E_3B78C5914E6C_.wvu.Cols" localSheetId="12" hidden="1">#REF!</definedName>
    <definedName name="Z_DC91DEF3_837B_4BB9_A81E_3B78C5914E6C_.wvu.Cols" localSheetId="13" hidden="1">#REF!</definedName>
    <definedName name="Z_DC91DEF3_837B_4BB9_A81E_3B78C5914E6C_.wvu.Cols" localSheetId="14" hidden="1">#REF!</definedName>
    <definedName name="Z_DC91DEF3_837B_4BB9_A81E_3B78C5914E6C_.wvu.Cols" localSheetId="15" hidden="1">#REF!</definedName>
    <definedName name="Z_DC91DEF3_837B_4BB9_A81E_3B78C5914E6C_.wvu.Cols" localSheetId="16" hidden="1">#REF!</definedName>
    <definedName name="Z_DC91DEF3_837B_4BB9_A81E_3B78C5914E6C_.wvu.PrintArea" localSheetId="11" hidden="1">'8a-ADIT Projection'!$B$1:$G$53</definedName>
    <definedName name="Z_DC91DEF3_837B_4BB9_A81E_3B78C5914E6C_.wvu.PrintArea" localSheetId="12" hidden="1">'8b-ADIT Projection Proration'!$B$1:$H$74</definedName>
    <definedName name="Z_DC91DEF3_837B_4BB9_A81E_3B78C5914E6C_.wvu.PrintArea" localSheetId="13" hidden="1">'8c- ADIT BOY'!$B$1:$H$105</definedName>
    <definedName name="Z_DC91DEF3_837B_4BB9_A81E_3B78C5914E6C_.wvu.PrintArea" localSheetId="14" hidden="1">'8d- ADIT EOY'!$B$1:$H$108</definedName>
    <definedName name="Z_DC91DEF3_837B_4BB9_A81E_3B78C5914E6C_.wvu.PrintArea" localSheetId="15" hidden="1">'8e-ADIT True-up'!$B$1:$G$48</definedName>
    <definedName name="Z_DC91DEF3_837B_4BB9_A81E_3B78C5914E6C_.wvu.PrintArea" localSheetId="16" hidden="1">'8f-ADIT True-up Proration'!$B$1:$F$74</definedName>
    <definedName name="Z_F04A2B9A_C6FE_4FEB_AD1E_2CF9AC309BE4_.wvu.PrintArea" localSheetId="4" hidden="1">'1-Project Rev Req'!$A$1:$Q$102</definedName>
    <definedName name="Z_F04A2B9A_C6FE_4FEB_AD1E_2CF9AC309BE4_.wvu.PrintArea" localSheetId="6" hidden="1">'3-Project True-up'!$A$1:$L$31</definedName>
    <definedName name="Z_F04A2B9A_C6FE_4FEB_AD1E_2CF9AC309BE4_.wvu.PrintArea" localSheetId="7" hidden="1">'4- Rate Base'!$A$1:$L$69</definedName>
    <definedName name="Z_F04A2B9A_C6FE_4FEB_AD1E_2CF9AC309BE4_.wvu.PrintArea" localSheetId="0" hidden="1">'9A-Non-MISO ATRR'!$A$1:$K$280</definedName>
    <definedName name="Z_F04A2B9A_C6FE_4FEB_AD1E_2CF9AC309BE4_.wvu.PrintArea" localSheetId="1" hidden="1">'9B-Non-MISO Project Rev Req'!$A$1:$Q$102</definedName>
    <definedName name="Z_F04A2B9A_C6FE_4FEB_AD1E_2CF9AC309BE4_.wvu.PrintArea" localSheetId="2" hidden="1">'9C-Non-MISO Project True-up'!$A$1:$L$31</definedName>
    <definedName name="Z_F04A2B9A_C6FE_4FEB_AD1E_2CF9AC309BE4_.wvu.PrintArea" localSheetId="3" hidden="1">'Attachment O'!$A$1:$K$280</definedName>
    <definedName name="Z_FAAD9AAC_1337_43AB_BF1F_CCF9DFCF5B78_.wvu.Cols" localSheetId="11" hidden="1">#REF!</definedName>
    <definedName name="Z_FAAD9AAC_1337_43AB_BF1F_CCF9DFCF5B78_.wvu.Cols" localSheetId="12" hidden="1">#REF!</definedName>
    <definedName name="Z_FAAD9AAC_1337_43AB_BF1F_CCF9DFCF5B78_.wvu.Cols" localSheetId="13" hidden="1">#REF!</definedName>
    <definedName name="Z_FAAD9AAC_1337_43AB_BF1F_CCF9DFCF5B78_.wvu.Cols" localSheetId="14" hidden="1">#REF!</definedName>
    <definedName name="Z_FAAD9AAC_1337_43AB_BF1F_CCF9DFCF5B78_.wvu.Cols" localSheetId="15" hidden="1">#REF!</definedName>
    <definedName name="Z_FAAD9AAC_1337_43AB_BF1F_CCF9DFCF5B78_.wvu.Cols" localSheetId="16" hidden="1">#REF!</definedName>
    <definedName name="Z_FAAD9AAC_1337_43AB_BF1F_CCF9DFCF5B78_.wvu.PrintArea" localSheetId="11" hidden="1">'8a-ADIT Projection'!$B$1:$G$53</definedName>
    <definedName name="Z_FAAD9AAC_1337_43AB_BF1F_CCF9DFCF5B78_.wvu.PrintArea" localSheetId="12" hidden="1">'8b-ADIT Projection Proration'!$B$1:$H$74</definedName>
    <definedName name="Z_FAAD9AAC_1337_43AB_BF1F_CCF9DFCF5B78_.wvu.PrintArea" localSheetId="13" hidden="1">'8c- ADIT BOY'!$B$1:$H$105</definedName>
    <definedName name="Z_FAAD9AAC_1337_43AB_BF1F_CCF9DFCF5B78_.wvu.PrintArea" localSheetId="14" hidden="1">'8d- ADIT EOY'!$B$1:$H$108</definedName>
    <definedName name="Z_FAAD9AAC_1337_43AB_BF1F_CCF9DFCF5B78_.wvu.PrintArea" localSheetId="15" hidden="1">'8e-ADIT True-up'!$B$1:$G$48</definedName>
    <definedName name="Z_FAAD9AAC_1337_43AB_BF1F_CCF9DFCF5B78_.wvu.PrintArea" localSheetId="16" hidden="1">'8f-ADIT True-up Proration'!$B$1:$F$74</definedName>
    <definedName name="zero">0</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0" i="15" l="1"/>
  <c r="I230" i="15" s="1"/>
  <c r="E229" i="15"/>
  <c r="G21" i="10" l="1"/>
  <c r="G20" i="10"/>
  <c r="G19" i="10"/>
  <c r="G18" i="10"/>
  <c r="G17" i="10"/>
  <c r="G16" i="10"/>
  <c r="G15" i="10"/>
  <c r="G14" i="10"/>
  <c r="G13" i="10"/>
  <c r="G12" i="10"/>
  <c r="G11" i="10"/>
  <c r="G10" i="10"/>
  <c r="D53" i="10"/>
  <c r="D52" i="10"/>
  <c r="D51" i="10"/>
  <c r="D50" i="10"/>
  <c r="D49" i="10"/>
  <c r="D48" i="10"/>
  <c r="D47" i="10"/>
  <c r="D46" i="10"/>
  <c r="D45" i="10"/>
  <c r="D44" i="10"/>
  <c r="D43" i="10"/>
  <c r="D42" i="10"/>
  <c r="D41" i="10"/>
  <c r="D37" i="10"/>
  <c r="D36" i="10"/>
  <c r="D35" i="10"/>
  <c r="D34" i="10"/>
  <c r="D33" i="10"/>
  <c r="D32" i="10"/>
  <c r="D31" i="10"/>
  <c r="D30" i="10"/>
  <c r="D29" i="10"/>
  <c r="D28" i="10"/>
  <c r="D27" i="10"/>
  <c r="D26" i="10"/>
  <c r="D25" i="10"/>
  <c r="F76" i="16" l="1"/>
  <c r="E76" i="16"/>
  <c r="G230" i="15" l="1"/>
  <c r="F76" i="2"/>
  <c r="E76" i="2"/>
  <c r="D220" i="1"/>
  <c r="N21" i="6"/>
  <c r="N20" i="6"/>
  <c r="N19" i="6"/>
  <c r="N18" i="6"/>
  <c r="N17" i="6"/>
  <c r="N16" i="6"/>
  <c r="N15" i="6"/>
  <c r="N14" i="6"/>
  <c r="N13" i="6"/>
  <c r="N12" i="6"/>
  <c r="N11" i="6"/>
  <c r="N10" i="6"/>
  <c r="G64" i="6"/>
  <c r="G63" i="6"/>
  <c r="D24" i="9" l="1"/>
  <c r="A23" i="3" l="1"/>
  <c r="D163" i="1"/>
  <c r="D163" i="15"/>
  <c r="E19" i="3" l="1"/>
  <c r="D19" i="3"/>
  <c r="D159" i="1"/>
  <c r="D159" i="15"/>
  <c r="L90" i="19" l="1"/>
  <c r="J90" i="19"/>
  <c r="L89" i="19"/>
  <c r="J89" i="19"/>
  <c r="L88" i="19"/>
  <c r="J88" i="19"/>
  <c r="L87" i="19"/>
  <c r="J87" i="19"/>
  <c r="A87" i="19"/>
  <c r="A88" i="19" s="1"/>
  <c r="A89" i="19" s="1"/>
  <c r="A90" i="19" s="1"/>
  <c r="A91" i="19" s="1"/>
  <c r="D16" i="19" s="1"/>
  <c r="L86" i="19"/>
  <c r="L91" i="19" s="1"/>
  <c r="J86" i="19"/>
  <c r="J91" i="19" s="1"/>
  <c r="G80" i="19"/>
  <c r="G79" i="19"/>
  <c r="G78" i="19"/>
  <c r="J66" i="19"/>
  <c r="F52" i="19"/>
  <c r="J51" i="19"/>
  <c r="N51" i="19" s="1"/>
  <c r="I51" i="19"/>
  <c r="H51" i="19"/>
  <c r="G51" i="19"/>
  <c r="F51" i="19"/>
  <c r="J50" i="19"/>
  <c r="N50" i="19" s="1"/>
  <c r="I50" i="19"/>
  <c r="H50" i="19"/>
  <c r="G50" i="19"/>
  <c r="F50" i="19"/>
  <c r="J49" i="19"/>
  <c r="N49" i="19" s="1"/>
  <c r="I49" i="19"/>
  <c r="H49" i="19"/>
  <c r="G49" i="19"/>
  <c r="F49" i="19"/>
  <c r="J48" i="19"/>
  <c r="N48" i="19" s="1"/>
  <c r="I48" i="19"/>
  <c r="H48" i="19"/>
  <c r="G48" i="19"/>
  <c r="F48" i="19"/>
  <c r="J47" i="19"/>
  <c r="N47" i="19" s="1"/>
  <c r="I47" i="19"/>
  <c r="H47" i="19"/>
  <c r="G47" i="19"/>
  <c r="F47" i="19"/>
  <c r="J46" i="19"/>
  <c r="N46" i="19" s="1"/>
  <c r="I46" i="19"/>
  <c r="H46" i="19"/>
  <c r="G46" i="19"/>
  <c r="F46" i="19"/>
  <c r="J45" i="19"/>
  <c r="N45" i="19" s="1"/>
  <c r="I45" i="19"/>
  <c r="I52" i="19" s="1"/>
  <c r="H45" i="19"/>
  <c r="H52" i="19" s="1"/>
  <c r="G45" i="19"/>
  <c r="G52" i="19" s="1"/>
  <c r="F45" i="19"/>
  <c r="J44" i="19"/>
  <c r="I44" i="19"/>
  <c r="H44" i="19"/>
  <c r="G44" i="19"/>
  <c r="F44" i="19"/>
  <c r="J41" i="19"/>
  <c r="I41" i="19"/>
  <c r="H41" i="19"/>
  <c r="G41" i="19"/>
  <c r="F41" i="19"/>
  <c r="N40" i="19"/>
  <c r="N39" i="19"/>
  <c r="N38" i="19"/>
  <c r="N37" i="19"/>
  <c r="N36" i="19"/>
  <c r="N35" i="19"/>
  <c r="N41" i="19" s="1"/>
  <c r="N34" i="19"/>
  <c r="N32" i="19"/>
  <c r="A13" i="19"/>
  <c r="D14" i="19" s="1"/>
  <c r="L90" i="18"/>
  <c r="J90" i="18"/>
  <c r="L89" i="18"/>
  <c r="J89" i="18"/>
  <c r="L88" i="18"/>
  <c r="J88" i="18"/>
  <c r="L87" i="18"/>
  <c r="J87" i="18"/>
  <c r="A87" i="18"/>
  <c r="A88" i="18" s="1"/>
  <c r="A89" i="18" s="1"/>
  <c r="A90" i="18" s="1"/>
  <c r="A91" i="18" s="1"/>
  <c r="D16" i="18" s="1"/>
  <c r="L86" i="18"/>
  <c r="L91" i="18" s="1"/>
  <c r="J86" i="18"/>
  <c r="J91" i="18" s="1"/>
  <c r="G80" i="18"/>
  <c r="G79" i="18"/>
  <c r="G78" i="18"/>
  <c r="I52" i="18"/>
  <c r="H52" i="18"/>
  <c r="F52" i="18"/>
  <c r="J51" i="18"/>
  <c r="I51" i="18"/>
  <c r="H51" i="18"/>
  <c r="G51" i="18"/>
  <c r="F51" i="18"/>
  <c r="N51" i="18" s="1"/>
  <c r="J50" i="18"/>
  <c r="I50" i="18"/>
  <c r="H50" i="18"/>
  <c r="G50" i="18"/>
  <c r="F50" i="18"/>
  <c r="N50" i="18" s="1"/>
  <c r="J49" i="18"/>
  <c r="I49" i="18"/>
  <c r="H49" i="18"/>
  <c r="G49" i="18"/>
  <c r="F49" i="18"/>
  <c r="N49" i="18" s="1"/>
  <c r="J48" i="18"/>
  <c r="I48" i="18"/>
  <c r="H48" i="18"/>
  <c r="G48" i="18"/>
  <c r="F48" i="18"/>
  <c r="N48" i="18" s="1"/>
  <c r="J47" i="18"/>
  <c r="I47" i="18"/>
  <c r="H47" i="18"/>
  <c r="G47" i="18"/>
  <c r="F47" i="18"/>
  <c r="N47" i="18" s="1"/>
  <c r="J46" i="18"/>
  <c r="I46" i="18"/>
  <c r="H46" i="18"/>
  <c r="G46" i="18"/>
  <c r="F46" i="18"/>
  <c r="N46" i="18" s="1"/>
  <c r="J45" i="18"/>
  <c r="J52" i="18" s="1"/>
  <c r="I45" i="18"/>
  <c r="H45" i="18"/>
  <c r="G45" i="18"/>
  <c r="G52" i="18" s="1"/>
  <c r="F45" i="18"/>
  <c r="N45" i="18" s="1"/>
  <c r="J41" i="18"/>
  <c r="I41" i="18"/>
  <c r="H41" i="18"/>
  <c r="G41" i="18"/>
  <c r="F41" i="18"/>
  <c r="N40" i="18"/>
  <c r="N39" i="18"/>
  <c r="N38" i="18"/>
  <c r="N37" i="18"/>
  <c r="N36" i="18"/>
  <c r="N35" i="18"/>
  <c r="N34" i="18"/>
  <c r="N41" i="18" s="1"/>
  <c r="N32" i="18"/>
  <c r="A13" i="18"/>
  <c r="A14" i="18" s="1"/>
  <c r="A16" i="18" s="1"/>
  <c r="D18" i="18" l="1"/>
  <c r="A17" i="18"/>
  <c r="A18" i="18" s="1"/>
  <c r="A20" i="18" s="1"/>
  <c r="H17" i="18"/>
  <c r="G59" i="18"/>
  <c r="J59" i="18" s="1"/>
  <c r="K59" i="18" s="1"/>
  <c r="H24" i="18" s="1"/>
  <c r="H21" i="18"/>
  <c r="H13" i="18"/>
  <c r="H14" i="18" s="1"/>
  <c r="I20" i="18"/>
  <c r="H20" i="18"/>
  <c r="G20" i="18"/>
  <c r="F20" i="18"/>
  <c r="J20" i="18"/>
  <c r="K20" i="18"/>
  <c r="G60" i="19"/>
  <c r="J60" i="19" s="1"/>
  <c r="K60" i="19" s="1"/>
  <c r="I24" i="19" s="1"/>
  <c r="I21" i="19"/>
  <c r="I17" i="19"/>
  <c r="I13" i="19"/>
  <c r="I14" i="19" s="1"/>
  <c r="F13" i="19"/>
  <c r="F14" i="19" s="1"/>
  <c r="N52" i="19"/>
  <c r="G57" i="19"/>
  <c r="F21" i="19"/>
  <c r="F17" i="19"/>
  <c r="G59" i="19"/>
  <c r="J59" i="19" s="1"/>
  <c r="K59" i="19" s="1"/>
  <c r="H24" i="19" s="1"/>
  <c r="H21" i="19"/>
  <c r="H17" i="19"/>
  <c r="H13" i="19"/>
  <c r="H14" i="19" s="1"/>
  <c r="L13" i="18"/>
  <c r="L14" i="18" s="1"/>
  <c r="L17" i="18"/>
  <c r="L18" i="18" s="1"/>
  <c r="G63" i="18"/>
  <c r="J63" i="18" s="1"/>
  <c r="K63" i="18" s="1"/>
  <c r="L24" i="18" s="1"/>
  <c r="L21" i="18"/>
  <c r="L22" i="18" s="1"/>
  <c r="K13" i="18"/>
  <c r="K14" i="18" s="1"/>
  <c r="G62" i="18"/>
  <c r="J62" i="18" s="1"/>
  <c r="K62" i="18" s="1"/>
  <c r="K24" i="18" s="1"/>
  <c r="K17" i="18"/>
  <c r="K21" i="18"/>
  <c r="H16" i="18"/>
  <c r="H18" i="18" s="1"/>
  <c r="I16" i="18"/>
  <c r="G16" i="18"/>
  <c r="F16" i="18"/>
  <c r="K16" i="18"/>
  <c r="K18" i="18" s="1"/>
  <c r="J16" i="18"/>
  <c r="L17" i="19"/>
  <c r="L18" i="19" s="1"/>
  <c r="L13" i="19"/>
  <c r="L14" i="19" s="1"/>
  <c r="G63" i="19"/>
  <c r="J63" i="19" s="1"/>
  <c r="K63" i="19" s="1"/>
  <c r="L24" i="19" s="1"/>
  <c r="L21" i="19"/>
  <c r="L22" i="19" s="1"/>
  <c r="G62" i="19"/>
  <c r="J62" i="19" s="1"/>
  <c r="K62" i="19" s="1"/>
  <c r="K24" i="19" s="1"/>
  <c r="K21" i="19"/>
  <c r="K17" i="19"/>
  <c r="K13" i="19"/>
  <c r="K14" i="19" s="1"/>
  <c r="G58" i="18"/>
  <c r="J58" i="18" s="1"/>
  <c r="K58" i="18" s="1"/>
  <c r="G24" i="18" s="1"/>
  <c r="G21" i="18"/>
  <c r="G17" i="18"/>
  <c r="G13" i="18"/>
  <c r="G14" i="18" s="1"/>
  <c r="I21" i="18"/>
  <c r="G60" i="18"/>
  <c r="J60" i="18" s="1"/>
  <c r="K60" i="18" s="1"/>
  <c r="I24" i="18" s="1"/>
  <c r="I13" i="18"/>
  <c r="I14" i="18" s="1"/>
  <c r="I17" i="18"/>
  <c r="J21" i="19"/>
  <c r="J17" i="19"/>
  <c r="G61" i="19"/>
  <c r="J61" i="19" s="1"/>
  <c r="K61" i="19" s="1"/>
  <c r="J24" i="19" s="1"/>
  <c r="J13" i="19"/>
  <c r="J14" i="19" s="1"/>
  <c r="K16" i="19"/>
  <c r="J16" i="19"/>
  <c r="I16" i="19"/>
  <c r="I18" i="19" s="1"/>
  <c r="I28" i="19" s="1"/>
  <c r="H16" i="19"/>
  <c r="H18" i="19" s="1"/>
  <c r="G16" i="19"/>
  <c r="F16" i="19"/>
  <c r="F18" i="19" s="1"/>
  <c r="J17" i="18"/>
  <c r="J13" i="18"/>
  <c r="J14" i="18" s="1"/>
  <c r="J21" i="18"/>
  <c r="G61" i="18"/>
  <c r="J61" i="18" s="1"/>
  <c r="K61" i="18" s="1"/>
  <c r="J24" i="18" s="1"/>
  <c r="F13" i="18"/>
  <c r="F14" i="18" s="1"/>
  <c r="M14" i="18" s="1"/>
  <c r="F21" i="18"/>
  <c r="N52" i="18"/>
  <c r="F17" i="18"/>
  <c r="G57" i="18"/>
  <c r="G58" i="19"/>
  <c r="J58" i="19" s="1"/>
  <c r="K58" i="19" s="1"/>
  <c r="G24" i="19" s="1"/>
  <c r="G21" i="19"/>
  <c r="G13" i="19"/>
  <c r="G14" i="19" s="1"/>
  <c r="G17" i="19"/>
  <c r="K20" i="19"/>
  <c r="K22" i="19" s="1"/>
  <c r="J20" i="19"/>
  <c r="J22" i="19" s="1"/>
  <c r="I20" i="19"/>
  <c r="I22" i="19" s="1"/>
  <c r="H20" i="19"/>
  <c r="H22" i="19" s="1"/>
  <c r="G20" i="19"/>
  <c r="G22" i="19" s="1"/>
  <c r="F20" i="19"/>
  <c r="F22" i="19" s="1"/>
  <c r="D14" i="18"/>
  <c r="J52" i="19"/>
  <c r="A14" i="19"/>
  <c r="A16" i="19" s="1"/>
  <c r="F28" i="19" l="1"/>
  <c r="G18" i="19"/>
  <c r="G28" i="19" s="1"/>
  <c r="L28" i="19"/>
  <c r="H22" i="18"/>
  <c r="K28" i="18"/>
  <c r="A17" i="19"/>
  <c r="A18" i="19" s="1"/>
  <c r="A20" i="19" s="1"/>
  <c r="H28" i="19"/>
  <c r="J18" i="18"/>
  <c r="I22" i="18"/>
  <c r="F18" i="18"/>
  <c r="J18" i="19"/>
  <c r="J28" i="19" s="1"/>
  <c r="M22" i="19"/>
  <c r="K18" i="19"/>
  <c r="K28" i="19" s="1"/>
  <c r="G18" i="18"/>
  <c r="K22" i="18"/>
  <c r="I18" i="18"/>
  <c r="I28" i="18" s="1"/>
  <c r="L28" i="18"/>
  <c r="G64" i="19"/>
  <c r="J57" i="19"/>
  <c r="K57" i="19" s="1"/>
  <c r="J22" i="18"/>
  <c r="G64" i="18"/>
  <c r="J57" i="18"/>
  <c r="H28" i="18"/>
  <c r="F22" i="18"/>
  <c r="A21" i="18"/>
  <c r="A22" i="18" s="1"/>
  <c r="A24" i="18" s="1"/>
  <c r="M14" i="19"/>
  <c r="G22" i="18"/>
  <c r="D259" i="15"/>
  <c r="D195" i="15"/>
  <c r="M28" i="19" l="1"/>
  <c r="J66" i="18"/>
  <c r="K57" i="18"/>
  <c r="G28" i="18"/>
  <c r="D18" i="19"/>
  <c r="A21" i="19"/>
  <c r="A22" i="19" s="1"/>
  <c r="A24" i="19" s="1"/>
  <c r="F28" i="18"/>
  <c r="M18" i="18"/>
  <c r="F24" i="19"/>
  <c r="N24" i="19" s="1"/>
  <c r="N26" i="19" s="1"/>
  <c r="D28" i="19" s="1"/>
  <c r="K64" i="19"/>
  <c r="D26" i="18"/>
  <c r="A26" i="18"/>
  <c r="A28" i="18" s="1"/>
  <c r="A32" i="18" s="1"/>
  <c r="D22" i="18"/>
  <c r="M22" i="18"/>
  <c r="J28" i="18"/>
  <c r="M18" i="19"/>
  <c r="D56" i="15"/>
  <c r="K257" i="15"/>
  <c r="K193" i="15"/>
  <c r="K112" i="15"/>
  <c r="D114" i="15"/>
  <c r="K53" i="15"/>
  <c r="D15" i="15"/>
  <c r="I15" i="15" s="1"/>
  <c r="C15" i="15"/>
  <c r="D51" i="18" l="1"/>
  <c r="D50" i="18"/>
  <c r="D48" i="18"/>
  <c r="D46" i="18"/>
  <c r="A34" i="18"/>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M28" i="18"/>
  <c r="D26" i="19"/>
  <c r="A26" i="19"/>
  <c r="A28" i="19" s="1"/>
  <c r="A32" i="19" s="1"/>
  <c r="D22" i="19"/>
  <c r="K64" i="18"/>
  <c r="F24" i="18"/>
  <c r="N24" i="18" s="1"/>
  <c r="N26" i="18" s="1"/>
  <c r="D28" i="18" s="1"/>
  <c r="E4" i="17"/>
  <c r="R94" i="16"/>
  <c r="R93" i="16"/>
  <c r="R92" i="16"/>
  <c r="R91" i="16"/>
  <c r="R90" i="16"/>
  <c r="R89" i="16"/>
  <c r="R88" i="16"/>
  <c r="R87" i="16"/>
  <c r="R86" i="16"/>
  <c r="R85" i="16"/>
  <c r="R84" i="16"/>
  <c r="R83" i="16"/>
  <c r="R82" i="16"/>
  <c r="R81" i="16"/>
  <c r="R80" i="16"/>
  <c r="D230" i="15"/>
  <c r="G229" i="15"/>
  <c r="D229" i="15"/>
  <c r="G228" i="15"/>
  <c r="D228" i="15"/>
  <c r="D220" i="15"/>
  <c r="D223" i="15" s="1"/>
  <c r="G221" i="15" s="1"/>
  <c r="D131" i="15"/>
  <c r="D93" i="15"/>
  <c r="D92" i="15"/>
  <c r="D91" i="15"/>
  <c r="E45" i="17"/>
  <c r="E47" i="17" s="1"/>
  <c r="D44" i="17"/>
  <c r="G23" i="17"/>
  <c r="E23" i="17"/>
  <c r="D23" i="17"/>
  <c r="F21" i="17"/>
  <c r="H21" i="17" s="1"/>
  <c r="H20" i="17"/>
  <c r="F20" i="17"/>
  <c r="H19" i="17"/>
  <c r="F19" i="17"/>
  <c r="F18" i="17"/>
  <c r="H18" i="17" s="1"/>
  <c r="F17" i="17"/>
  <c r="H17" i="17" s="1"/>
  <c r="F16" i="17"/>
  <c r="H16" i="17" s="1"/>
  <c r="V96" i="16"/>
  <c r="W95" i="16"/>
  <c r="M94" i="16"/>
  <c r="N94" i="16" s="1"/>
  <c r="M93" i="16"/>
  <c r="N93" i="16" s="1"/>
  <c r="M92" i="16"/>
  <c r="N92" i="16" s="1"/>
  <c r="M91" i="16"/>
  <c r="N91" i="16" s="1"/>
  <c r="M90" i="16"/>
  <c r="N90" i="16" s="1"/>
  <c r="M89" i="16"/>
  <c r="N89" i="16" s="1"/>
  <c r="M88" i="16"/>
  <c r="N88" i="16" s="1"/>
  <c r="M87" i="16"/>
  <c r="N87" i="16" s="1"/>
  <c r="M86" i="16"/>
  <c r="N86" i="16" s="1"/>
  <c r="M85" i="16"/>
  <c r="N85" i="16" s="1"/>
  <c r="M84" i="16"/>
  <c r="N84" i="16" s="1"/>
  <c r="M83" i="16"/>
  <c r="N83" i="16" s="1"/>
  <c r="M82" i="16"/>
  <c r="N82" i="16" s="1"/>
  <c r="M81" i="16"/>
  <c r="N81" i="16" s="1"/>
  <c r="M80" i="16"/>
  <c r="N80" i="16" s="1"/>
  <c r="L79" i="16"/>
  <c r="R79" i="16" s="1"/>
  <c r="L78" i="16"/>
  <c r="R78" i="16" s="1"/>
  <c r="L77" i="16"/>
  <c r="M77" i="16" s="1"/>
  <c r="N77" i="16" s="1"/>
  <c r="F64" i="16"/>
  <c r="Q64" i="16" s="1"/>
  <c r="F63" i="16"/>
  <c r="Q63" i="16" s="1"/>
  <c r="E6" i="16"/>
  <c r="F65" i="16" s="1"/>
  <c r="Q65" i="16" s="1"/>
  <c r="K259" i="15"/>
  <c r="I249" i="15"/>
  <c r="I238" i="15"/>
  <c r="A237" i="15"/>
  <c r="A238" i="15" s="1"/>
  <c r="A240" i="15" s="1"/>
  <c r="C14" i="15" s="1"/>
  <c r="A230" i="15"/>
  <c r="A231" i="15" s="1"/>
  <c r="A229" i="15"/>
  <c r="D217" i="15"/>
  <c r="G216" i="15"/>
  <c r="G215" i="15"/>
  <c r="A215" i="15"/>
  <c r="A216" i="15" s="1"/>
  <c r="A217" i="15" s="1"/>
  <c r="A220" i="15" s="1"/>
  <c r="A221" i="15" s="1"/>
  <c r="A222" i="15" s="1"/>
  <c r="A223" i="15" s="1"/>
  <c r="A214" i="15"/>
  <c r="G213" i="15"/>
  <c r="A206" i="15"/>
  <c r="A207" i="15" s="1"/>
  <c r="A209" i="15" s="1"/>
  <c r="A205" i="15"/>
  <c r="K195" i="15"/>
  <c r="I186" i="15"/>
  <c r="D186" i="15"/>
  <c r="I184" i="15"/>
  <c r="I180" i="15"/>
  <c r="A176" i="15"/>
  <c r="B163" i="15"/>
  <c r="A160" i="15"/>
  <c r="A163" i="15" s="1"/>
  <c r="A164" i="15" s="1"/>
  <c r="C158" i="15"/>
  <c r="A149" i="15"/>
  <c r="A150" i="15" s="1"/>
  <c r="A151" i="15" s="1"/>
  <c r="A152" i="15" s="1"/>
  <c r="A153" i="15" s="1"/>
  <c r="A154" i="15" s="1"/>
  <c r="A155" i="15" s="1"/>
  <c r="A156" i="15" s="1"/>
  <c r="A142" i="15"/>
  <c r="A143" i="15" s="1"/>
  <c r="A133" i="15"/>
  <c r="F131" i="15"/>
  <c r="F130" i="15"/>
  <c r="A127" i="15"/>
  <c r="A128" i="15" s="1"/>
  <c r="A126" i="15"/>
  <c r="F124" i="15"/>
  <c r="F123" i="15"/>
  <c r="F125" i="15" s="1"/>
  <c r="K114" i="15"/>
  <c r="A101" i="15"/>
  <c r="A104" i="15" s="1"/>
  <c r="A105" i="15" s="1"/>
  <c r="A106" i="15" s="1"/>
  <c r="A107" i="15" s="1"/>
  <c r="A109" i="15" s="1"/>
  <c r="G75" i="15"/>
  <c r="G73" i="15"/>
  <c r="A66" i="15"/>
  <c r="A67" i="15" s="1"/>
  <c r="A68" i="15" s="1"/>
  <c r="A69" i="15" s="1"/>
  <c r="A70" i="15" s="1"/>
  <c r="A73" i="15" s="1"/>
  <c r="D58" i="15"/>
  <c r="D116" i="15" s="1"/>
  <c r="D197" i="15" s="1"/>
  <c r="D261" i="15" s="1"/>
  <c r="K56" i="15"/>
  <c r="I51" i="15"/>
  <c r="I50" i="15"/>
  <c r="I38" i="15"/>
  <c r="D40" i="15" s="1"/>
  <c r="I46" i="15" s="1"/>
  <c r="I18" i="15"/>
  <c r="I17" i="15"/>
  <c r="D16" i="15"/>
  <c r="I16" i="15" s="1"/>
  <c r="C16" i="15"/>
  <c r="D14" i="15"/>
  <c r="I14" i="15" s="1"/>
  <c r="A14" i="15"/>
  <c r="A16" i="15" s="1"/>
  <c r="A17" i="15" s="1"/>
  <c r="A18" i="15" s="1"/>
  <c r="A19" i="15" s="1"/>
  <c r="D45" i="18" l="1"/>
  <c r="D48" i="19"/>
  <c r="D45" i="19"/>
  <c r="A34" i="19"/>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D49" i="19"/>
  <c r="D46" i="19"/>
  <c r="D47" i="18"/>
  <c r="D49" i="18"/>
  <c r="I19" i="15"/>
  <c r="M79" i="16"/>
  <c r="N79" i="16" s="1"/>
  <c r="D231" i="15"/>
  <c r="A74" i="15"/>
  <c r="A75" i="15" s="1"/>
  <c r="A76" i="15" s="1"/>
  <c r="A77" i="15" s="1"/>
  <c r="A78" i="15" s="1"/>
  <c r="A81" i="15" s="1"/>
  <c r="A82" i="15" s="1"/>
  <c r="A83" i="15" s="1"/>
  <c r="A84" i="15" s="1"/>
  <c r="A85" i="15" s="1"/>
  <c r="A86" i="15" s="1"/>
  <c r="A91" i="15" s="1"/>
  <c r="A92" i="15" s="1"/>
  <c r="A93" i="15" s="1"/>
  <c r="A94" i="15" s="1"/>
  <c r="A95" i="15" s="1"/>
  <c r="C81" i="15"/>
  <c r="I47" i="15"/>
  <c r="D47" i="15"/>
  <c r="D41" i="15"/>
  <c r="C83" i="15"/>
  <c r="D45" i="15"/>
  <c r="C84" i="15"/>
  <c r="H23" i="17"/>
  <c r="D25" i="15" s="1"/>
  <c r="I25" i="15" s="1"/>
  <c r="I45" i="15"/>
  <c r="D46" i="15"/>
  <c r="C82" i="15"/>
  <c r="F23" i="17"/>
  <c r="M78" i="16"/>
  <c r="N78" i="16" s="1"/>
  <c r="D50" i="19" l="1"/>
  <c r="D47" i="19"/>
  <c r="D51" i="19"/>
  <c r="C85" i="15"/>
  <c r="D15" i="1" l="1"/>
  <c r="I15" i="1" s="1"/>
  <c r="C15" i="1"/>
  <c r="X3" i="14" l="1"/>
  <c r="O3" i="14"/>
  <c r="X2" i="14"/>
  <c r="O2" i="14"/>
  <c r="A42" i="12" l="1"/>
  <c r="A39" i="11"/>
  <c r="AA54" i="14" l="1"/>
  <c r="R54" i="14"/>
  <c r="I54" i="14"/>
  <c r="X53" i="14"/>
  <c r="AB53" i="14" s="1"/>
  <c r="AC53" i="14" s="1"/>
  <c r="O53" i="14"/>
  <c r="S53" i="14" s="1"/>
  <c r="T53" i="14" s="1"/>
  <c r="F53" i="14"/>
  <c r="J53" i="14" s="1"/>
  <c r="K53" i="14" s="1"/>
  <c r="E53" i="14"/>
  <c r="X52" i="14"/>
  <c r="AB52" i="14" s="1"/>
  <c r="AC52" i="14" s="1"/>
  <c r="O52" i="14"/>
  <c r="S52" i="14" s="1"/>
  <c r="T52" i="14" s="1"/>
  <c r="F52" i="14"/>
  <c r="J52" i="14" s="1"/>
  <c r="K52" i="14" s="1"/>
  <c r="E52" i="14"/>
  <c r="X51" i="14"/>
  <c r="AB51" i="14" s="1"/>
  <c r="AC51" i="14" s="1"/>
  <c r="O51" i="14"/>
  <c r="S51" i="14" s="1"/>
  <c r="T51" i="14" s="1"/>
  <c r="F51" i="14"/>
  <c r="J51" i="14" s="1"/>
  <c r="K51" i="14" s="1"/>
  <c r="E51" i="14"/>
  <c r="X50" i="14"/>
  <c r="AB50" i="14" s="1"/>
  <c r="AC50" i="14" s="1"/>
  <c r="O50" i="14"/>
  <c r="S50" i="14" s="1"/>
  <c r="T50" i="14" s="1"/>
  <c r="F50" i="14"/>
  <c r="J50" i="14" s="1"/>
  <c r="K50" i="14" s="1"/>
  <c r="E50" i="14"/>
  <c r="X49" i="14"/>
  <c r="AB49" i="14" s="1"/>
  <c r="AC49" i="14" s="1"/>
  <c r="O49" i="14"/>
  <c r="S49" i="14" s="1"/>
  <c r="T49" i="14" s="1"/>
  <c r="F49" i="14"/>
  <c r="J49" i="14" s="1"/>
  <c r="K49" i="14" s="1"/>
  <c r="E49" i="14"/>
  <c r="X48" i="14"/>
  <c r="AB48" i="14" s="1"/>
  <c r="AC48" i="14" s="1"/>
  <c r="AE48" i="14" s="1"/>
  <c r="O48" i="14"/>
  <c r="S48" i="14" s="1"/>
  <c r="T48" i="14" s="1"/>
  <c r="V48" i="14" s="1"/>
  <c r="F48" i="14"/>
  <c r="J48" i="14" s="1"/>
  <c r="K48" i="14" s="1"/>
  <c r="E48" i="14"/>
  <c r="X47" i="14"/>
  <c r="AB47" i="14" s="1"/>
  <c r="AC47" i="14" s="1"/>
  <c r="O47" i="14"/>
  <c r="S47" i="14" s="1"/>
  <c r="T47" i="14" s="1"/>
  <c r="F47" i="14"/>
  <c r="J47" i="14" s="1"/>
  <c r="K47" i="14" s="1"/>
  <c r="E47" i="14"/>
  <c r="X46" i="14"/>
  <c r="AB46" i="14" s="1"/>
  <c r="AC46" i="14" s="1"/>
  <c r="O46" i="14"/>
  <c r="S46" i="14" s="1"/>
  <c r="T46" i="14" s="1"/>
  <c r="F46" i="14"/>
  <c r="J46" i="14" s="1"/>
  <c r="K46" i="14" s="1"/>
  <c r="E46" i="14"/>
  <c r="X45" i="14"/>
  <c r="AB45" i="14" s="1"/>
  <c r="AC45" i="14" s="1"/>
  <c r="O45" i="14"/>
  <c r="S45" i="14" s="1"/>
  <c r="T45" i="14" s="1"/>
  <c r="F45" i="14"/>
  <c r="J45" i="14" s="1"/>
  <c r="K45" i="14" s="1"/>
  <c r="E45" i="14"/>
  <c r="X44" i="14"/>
  <c r="AB44" i="14" s="1"/>
  <c r="AC44" i="14" s="1"/>
  <c r="O44" i="14"/>
  <c r="S44" i="14" s="1"/>
  <c r="T44" i="14" s="1"/>
  <c r="F44" i="14"/>
  <c r="J44" i="14" s="1"/>
  <c r="K44" i="14" s="1"/>
  <c r="M44" i="14" s="1"/>
  <c r="E44" i="14"/>
  <c r="X43" i="14"/>
  <c r="AB43" i="14" s="1"/>
  <c r="AC43" i="14" s="1"/>
  <c r="O43" i="14"/>
  <c r="S43" i="14" s="1"/>
  <c r="T43" i="14" s="1"/>
  <c r="F43" i="14"/>
  <c r="J43" i="14" s="1"/>
  <c r="K43" i="14" s="1"/>
  <c r="E43" i="14"/>
  <c r="AB42" i="14"/>
  <c r="AC42" i="14" s="1"/>
  <c r="X42" i="14"/>
  <c r="O42" i="14"/>
  <c r="S42" i="14" s="1"/>
  <c r="F42" i="14"/>
  <c r="J42" i="14" s="1"/>
  <c r="E42" i="14"/>
  <c r="Z41" i="14"/>
  <c r="Q41" i="14"/>
  <c r="H41" i="14"/>
  <c r="E41" i="14"/>
  <c r="AA38" i="14"/>
  <c r="R38" i="14"/>
  <c r="I38" i="14"/>
  <c r="X37" i="14"/>
  <c r="AB37" i="14" s="1"/>
  <c r="AC37" i="14" s="1"/>
  <c r="O37" i="14"/>
  <c r="S37" i="14" s="1"/>
  <c r="T37" i="14" s="1"/>
  <c r="F37" i="14"/>
  <c r="J37" i="14" s="1"/>
  <c r="K37" i="14" s="1"/>
  <c r="E37" i="14"/>
  <c r="X36" i="14"/>
  <c r="AB36" i="14" s="1"/>
  <c r="AC36" i="14" s="1"/>
  <c r="O36" i="14"/>
  <c r="S36" i="14" s="1"/>
  <c r="T36" i="14" s="1"/>
  <c r="F36" i="14"/>
  <c r="J36" i="14" s="1"/>
  <c r="K36" i="14" s="1"/>
  <c r="L36" i="14" s="1"/>
  <c r="E36" i="14"/>
  <c r="X35" i="14"/>
  <c r="AB35" i="14" s="1"/>
  <c r="AC35" i="14" s="1"/>
  <c r="O35" i="14"/>
  <c r="S35" i="14" s="1"/>
  <c r="T35" i="14" s="1"/>
  <c r="F35" i="14"/>
  <c r="J35" i="14" s="1"/>
  <c r="K35" i="14" s="1"/>
  <c r="E35" i="14"/>
  <c r="X34" i="14"/>
  <c r="AB34" i="14" s="1"/>
  <c r="AC34" i="14" s="1"/>
  <c r="O34" i="14"/>
  <c r="S34" i="14" s="1"/>
  <c r="T34" i="14" s="1"/>
  <c r="F34" i="14"/>
  <c r="J34" i="14" s="1"/>
  <c r="K34" i="14" s="1"/>
  <c r="E34" i="14"/>
  <c r="X33" i="14"/>
  <c r="AB33" i="14" s="1"/>
  <c r="AC33" i="14" s="1"/>
  <c r="O33" i="14"/>
  <c r="S33" i="14" s="1"/>
  <c r="T33" i="14" s="1"/>
  <c r="F33" i="14"/>
  <c r="J33" i="14" s="1"/>
  <c r="K33" i="14" s="1"/>
  <c r="E33" i="14"/>
  <c r="X32" i="14"/>
  <c r="AB32" i="14" s="1"/>
  <c r="AC32" i="14" s="1"/>
  <c r="O32" i="14"/>
  <c r="S32" i="14" s="1"/>
  <c r="T32" i="14" s="1"/>
  <c r="F32" i="14"/>
  <c r="J32" i="14" s="1"/>
  <c r="K32" i="14" s="1"/>
  <c r="E32" i="14"/>
  <c r="X31" i="14"/>
  <c r="AB31" i="14" s="1"/>
  <c r="AC31" i="14" s="1"/>
  <c r="O31" i="14"/>
  <c r="S31" i="14" s="1"/>
  <c r="T31" i="14" s="1"/>
  <c r="F31" i="14"/>
  <c r="J31" i="14" s="1"/>
  <c r="K31" i="14" s="1"/>
  <c r="E31" i="14"/>
  <c r="X30" i="14"/>
  <c r="AB30" i="14" s="1"/>
  <c r="AC30" i="14" s="1"/>
  <c r="O30" i="14"/>
  <c r="S30" i="14" s="1"/>
  <c r="T30" i="14" s="1"/>
  <c r="F30" i="14"/>
  <c r="J30" i="14" s="1"/>
  <c r="K30" i="14" s="1"/>
  <c r="E30" i="14"/>
  <c r="X29" i="14"/>
  <c r="AB29" i="14" s="1"/>
  <c r="AC29" i="14" s="1"/>
  <c r="O29" i="14"/>
  <c r="S29" i="14" s="1"/>
  <c r="T29" i="14" s="1"/>
  <c r="F29" i="14"/>
  <c r="J29" i="14" s="1"/>
  <c r="K29" i="14" s="1"/>
  <c r="E29" i="14"/>
  <c r="X28" i="14"/>
  <c r="AB28" i="14" s="1"/>
  <c r="AC28" i="14" s="1"/>
  <c r="O28" i="14"/>
  <c r="S28" i="14" s="1"/>
  <c r="T28" i="14" s="1"/>
  <c r="F28" i="14"/>
  <c r="E28" i="14"/>
  <c r="X27" i="14"/>
  <c r="AB27" i="14" s="1"/>
  <c r="AC27" i="14" s="1"/>
  <c r="O27" i="14"/>
  <c r="S27" i="14" s="1"/>
  <c r="T27" i="14" s="1"/>
  <c r="F27" i="14"/>
  <c r="J27" i="14" s="1"/>
  <c r="K27" i="14" s="1"/>
  <c r="E27" i="14"/>
  <c r="X26" i="14"/>
  <c r="O26" i="14"/>
  <c r="S26" i="14" s="1"/>
  <c r="F26" i="14"/>
  <c r="J26" i="14" s="1"/>
  <c r="E26" i="14"/>
  <c r="Z25" i="14"/>
  <c r="Q25" i="14"/>
  <c r="H25" i="14"/>
  <c r="E25" i="14"/>
  <c r="AA22" i="14"/>
  <c r="R22" i="14"/>
  <c r="I22" i="14"/>
  <c r="X21" i="14"/>
  <c r="AB21" i="14" s="1"/>
  <c r="AC21" i="14" s="1"/>
  <c r="O21" i="14"/>
  <c r="E21" i="14"/>
  <c r="Y21" i="14" s="1"/>
  <c r="D21" i="14"/>
  <c r="D37" i="14" s="1"/>
  <c r="D53" i="14" s="1"/>
  <c r="X20" i="14"/>
  <c r="AB20" i="14" s="1"/>
  <c r="AC20" i="14" s="1"/>
  <c r="O20" i="14"/>
  <c r="S20" i="14" s="1"/>
  <c r="T20" i="14" s="1"/>
  <c r="E20" i="14"/>
  <c r="D20" i="14"/>
  <c r="D36" i="14" s="1"/>
  <c r="D52" i="14" s="1"/>
  <c r="X19" i="14"/>
  <c r="AB19" i="14" s="1"/>
  <c r="AC19" i="14" s="1"/>
  <c r="O19" i="14"/>
  <c r="S19" i="14" s="1"/>
  <c r="T19" i="14" s="1"/>
  <c r="E19" i="14"/>
  <c r="D19" i="14"/>
  <c r="D35" i="14" s="1"/>
  <c r="D51" i="14" s="1"/>
  <c r="X18" i="14"/>
  <c r="AB18" i="14" s="1"/>
  <c r="AC18" i="14" s="1"/>
  <c r="O18" i="14"/>
  <c r="S18" i="14" s="1"/>
  <c r="T18" i="14" s="1"/>
  <c r="E18" i="14"/>
  <c r="D18" i="14"/>
  <c r="D34" i="14" s="1"/>
  <c r="D50" i="14" s="1"/>
  <c r="X17" i="14"/>
  <c r="AB17" i="14" s="1"/>
  <c r="AC17" i="14" s="1"/>
  <c r="O17" i="14"/>
  <c r="E17" i="14"/>
  <c r="D17" i="14"/>
  <c r="D33" i="14" s="1"/>
  <c r="D49" i="14" s="1"/>
  <c r="X16" i="14"/>
  <c r="AB16" i="14" s="1"/>
  <c r="AC16" i="14" s="1"/>
  <c r="O16" i="14"/>
  <c r="S16" i="14" s="1"/>
  <c r="T16" i="14" s="1"/>
  <c r="E16" i="14"/>
  <c r="D16" i="14"/>
  <c r="D32" i="14" s="1"/>
  <c r="D48" i="14" s="1"/>
  <c r="X15" i="14"/>
  <c r="AB15" i="14" s="1"/>
  <c r="AC15" i="14" s="1"/>
  <c r="O15" i="14"/>
  <c r="S15" i="14" s="1"/>
  <c r="T15" i="14" s="1"/>
  <c r="E15" i="14"/>
  <c r="D15" i="14"/>
  <c r="D31" i="14" s="1"/>
  <c r="D47" i="14" s="1"/>
  <c r="X14" i="14"/>
  <c r="AB14" i="14" s="1"/>
  <c r="AC14" i="14" s="1"/>
  <c r="O14" i="14"/>
  <c r="S14" i="14" s="1"/>
  <c r="T14" i="14" s="1"/>
  <c r="E14" i="14"/>
  <c r="D14" i="14"/>
  <c r="D30" i="14" s="1"/>
  <c r="D46" i="14" s="1"/>
  <c r="X13" i="14"/>
  <c r="AB13" i="14" s="1"/>
  <c r="AC13" i="14" s="1"/>
  <c r="O13" i="14"/>
  <c r="S13" i="14" s="1"/>
  <c r="T13" i="14" s="1"/>
  <c r="E13" i="14"/>
  <c r="D13" i="14"/>
  <c r="D29" i="14" s="1"/>
  <c r="D45" i="14" s="1"/>
  <c r="X12" i="14"/>
  <c r="AB12" i="14" s="1"/>
  <c r="AC12" i="14" s="1"/>
  <c r="O12" i="14"/>
  <c r="S12" i="14" s="1"/>
  <c r="T12" i="14" s="1"/>
  <c r="E12" i="14"/>
  <c r="D12" i="14"/>
  <c r="D28" i="14" s="1"/>
  <c r="D44" i="14" s="1"/>
  <c r="X11" i="14"/>
  <c r="AB11" i="14" s="1"/>
  <c r="AC11" i="14" s="1"/>
  <c r="O11" i="14"/>
  <c r="S11" i="14" s="1"/>
  <c r="T11" i="14" s="1"/>
  <c r="E11" i="14"/>
  <c r="D11" i="14"/>
  <c r="D27" i="14" s="1"/>
  <c r="D43" i="14" s="1"/>
  <c r="X10" i="14"/>
  <c r="AB10" i="14" s="1"/>
  <c r="O10" i="14"/>
  <c r="S10" i="14" s="1"/>
  <c r="E10" i="14"/>
  <c r="D10" i="14"/>
  <c r="D26" i="14" s="1"/>
  <c r="D42" i="14" s="1"/>
  <c r="A10" i="14"/>
  <c r="A11" i="14" s="1"/>
  <c r="A12" i="14" s="1"/>
  <c r="A13" i="14" s="1"/>
  <c r="A14" i="14" s="1"/>
  <c r="A15" i="14" s="1"/>
  <c r="A16" i="14" s="1"/>
  <c r="A17" i="14" s="1"/>
  <c r="A18" i="14" s="1"/>
  <c r="A19" i="14" s="1"/>
  <c r="A20" i="14" s="1"/>
  <c r="A21" i="14" s="1"/>
  <c r="A22" i="14" s="1"/>
  <c r="A25" i="14" s="1"/>
  <c r="A26" i="14" s="1"/>
  <c r="A27" i="14" s="1"/>
  <c r="A28" i="14" s="1"/>
  <c r="A29" i="14" s="1"/>
  <c r="A30" i="14" s="1"/>
  <c r="A31" i="14" s="1"/>
  <c r="A32" i="14" s="1"/>
  <c r="A33" i="14" s="1"/>
  <c r="A34" i="14" s="1"/>
  <c r="A35" i="14" s="1"/>
  <c r="A36" i="14" s="1"/>
  <c r="A37" i="14" s="1"/>
  <c r="A38" i="14" s="1"/>
  <c r="A41" i="14" s="1"/>
  <c r="A42" i="14" s="1"/>
  <c r="A43" i="14" s="1"/>
  <c r="A44" i="14" s="1"/>
  <c r="A45" i="14" s="1"/>
  <c r="A46" i="14" s="1"/>
  <c r="A47" i="14" s="1"/>
  <c r="A48" i="14" s="1"/>
  <c r="A49" i="14" s="1"/>
  <c r="A50" i="14" s="1"/>
  <c r="A51" i="14" s="1"/>
  <c r="A52" i="14" s="1"/>
  <c r="A53" i="14" s="1"/>
  <c r="A54" i="14" s="1"/>
  <c r="E9" i="14"/>
  <c r="D9" i="14"/>
  <c r="D25" i="14" s="1"/>
  <c r="D41" i="14" s="1"/>
  <c r="A3" i="14"/>
  <c r="A2" i="14"/>
  <c r="D24" i="13"/>
  <c r="D30" i="13" s="1"/>
  <c r="D36" i="13" s="1"/>
  <c r="D22" i="13"/>
  <c r="D28" i="13" s="1"/>
  <c r="D34" i="13" s="1"/>
  <c r="A10" i="13"/>
  <c r="A11" i="13" s="1"/>
  <c r="A12" i="13" s="1"/>
  <c r="A13" i="13" s="1"/>
  <c r="A14" i="13" s="1"/>
  <c r="A15" i="13" s="1"/>
  <c r="A16" i="13" s="1"/>
  <c r="A22" i="13" s="1"/>
  <c r="A23" i="13" s="1"/>
  <c r="A24" i="13" s="1"/>
  <c r="A25" i="13" s="1"/>
  <c r="A28" i="13" s="1"/>
  <c r="A29" i="13" s="1"/>
  <c r="A30" i="13" s="1"/>
  <c r="A31" i="13" s="1"/>
  <c r="A34" i="13" s="1"/>
  <c r="A35" i="13" s="1"/>
  <c r="A36" i="13" s="1"/>
  <c r="A37" i="13" s="1"/>
  <c r="A3" i="13"/>
  <c r="A2" i="13"/>
  <c r="G77" i="12"/>
  <c r="G80" i="12" s="1"/>
  <c r="F77" i="12"/>
  <c r="F80" i="12" s="1"/>
  <c r="G29" i="9" s="1"/>
  <c r="E77" i="12"/>
  <c r="E80" i="12" s="1"/>
  <c r="D77" i="12"/>
  <c r="D80" i="12" s="1"/>
  <c r="C77" i="12"/>
  <c r="C80" i="12" s="1"/>
  <c r="G54" i="12"/>
  <c r="G57" i="12" s="1"/>
  <c r="F54" i="12"/>
  <c r="F57" i="12" s="1"/>
  <c r="G23" i="13" s="1"/>
  <c r="D54" i="12"/>
  <c r="D57" i="12" s="1"/>
  <c r="C54" i="12"/>
  <c r="C57" i="12" s="1"/>
  <c r="G29" i="12"/>
  <c r="G32" i="12" s="1"/>
  <c r="H35" i="9" s="1"/>
  <c r="F29" i="12"/>
  <c r="F32" i="12" s="1"/>
  <c r="G35" i="9" s="1"/>
  <c r="E29" i="12"/>
  <c r="E32" i="12" s="1"/>
  <c r="D29" i="12"/>
  <c r="D32" i="12" s="1"/>
  <c r="C29" i="12"/>
  <c r="C32" i="12" s="1"/>
  <c r="E35" i="9" s="1"/>
  <c r="A10" i="12"/>
  <c r="A11" i="12" s="1"/>
  <c r="A12" i="12" s="1"/>
  <c r="A19" i="12" s="1"/>
  <c r="A20" i="12" s="1"/>
  <c r="A21" i="12" s="1"/>
  <c r="A22" i="12" s="1"/>
  <c r="A23" i="12" s="1"/>
  <c r="A24" i="12" s="1"/>
  <c r="A25" i="12" s="1"/>
  <c r="A26" i="12" s="1"/>
  <c r="A27" i="12" s="1"/>
  <c r="A28" i="12" s="1"/>
  <c r="A29" i="12" s="1"/>
  <c r="A30" i="12" s="1"/>
  <c r="A31" i="12" s="1"/>
  <c r="A32" i="12" s="1"/>
  <c r="A46" i="12" s="1"/>
  <c r="A47" i="12" s="1"/>
  <c r="A48" i="12" s="1"/>
  <c r="A49" i="12" s="1"/>
  <c r="A50" i="12" s="1"/>
  <c r="A51" i="12" s="1"/>
  <c r="A52" i="12" s="1"/>
  <c r="A53" i="12" s="1"/>
  <c r="A54" i="12" s="1"/>
  <c r="A55" i="12" s="1"/>
  <c r="A56" i="12" s="1"/>
  <c r="A57" i="12" s="1"/>
  <c r="A67" i="12" s="1"/>
  <c r="A68" i="12" s="1"/>
  <c r="A69" i="12" s="1"/>
  <c r="A70" i="12" s="1"/>
  <c r="A71" i="12" s="1"/>
  <c r="A72" i="12" s="1"/>
  <c r="A73" i="12" s="1"/>
  <c r="A74" i="12" s="1"/>
  <c r="A75" i="12" s="1"/>
  <c r="A76" i="12" s="1"/>
  <c r="A77" i="12" s="1"/>
  <c r="A78" i="12" s="1"/>
  <c r="A79" i="12" s="1"/>
  <c r="A80" i="12" s="1"/>
  <c r="B2" i="12"/>
  <c r="G74" i="11"/>
  <c r="G77" i="11" s="1"/>
  <c r="F74" i="11"/>
  <c r="F77" i="11" s="1"/>
  <c r="E74" i="11"/>
  <c r="E77" i="11" s="1"/>
  <c r="F28" i="13" s="1"/>
  <c r="D74" i="11"/>
  <c r="D77" i="11" s="1"/>
  <c r="C74" i="11"/>
  <c r="C77" i="11" s="1"/>
  <c r="G51" i="11"/>
  <c r="G54" i="11" s="1"/>
  <c r="K9" i="10" s="1"/>
  <c r="K22" i="10" s="1"/>
  <c r="F51" i="11"/>
  <c r="F54" i="11" s="1"/>
  <c r="Q9" i="14" s="1"/>
  <c r="D51" i="11"/>
  <c r="D54" i="11" s="1"/>
  <c r="G26" i="11"/>
  <c r="G29" i="11" s="1"/>
  <c r="F26" i="11"/>
  <c r="F29" i="11" s="1"/>
  <c r="I41" i="10" s="1"/>
  <c r="E26" i="11"/>
  <c r="E29" i="11" s="1"/>
  <c r="D26" i="11"/>
  <c r="D29" i="11" s="1"/>
  <c r="C26" i="11"/>
  <c r="C29" i="11" s="1"/>
  <c r="E34" i="9" s="1"/>
  <c r="A7" i="11"/>
  <c r="A8" i="11" s="1"/>
  <c r="A9" i="11" s="1"/>
  <c r="A16" i="11" s="1"/>
  <c r="A17" i="11" s="1"/>
  <c r="A18" i="11" s="1"/>
  <c r="A19" i="11" s="1"/>
  <c r="A20" i="11" s="1"/>
  <c r="A21" i="11" s="1"/>
  <c r="A22" i="11" s="1"/>
  <c r="A23" i="11" s="1"/>
  <c r="A24" i="11" s="1"/>
  <c r="A25" i="11" s="1"/>
  <c r="A26" i="11" s="1"/>
  <c r="A27" i="11" s="1"/>
  <c r="A28" i="11" s="1"/>
  <c r="A29" i="11" s="1"/>
  <c r="A43" i="11" s="1"/>
  <c r="A44" i="11" s="1"/>
  <c r="A45" i="11" s="1"/>
  <c r="A46" i="11" s="1"/>
  <c r="A47" i="11" s="1"/>
  <c r="A48" i="11" s="1"/>
  <c r="A49" i="11" s="1"/>
  <c r="A50" i="11" s="1"/>
  <c r="A51" i="11" s="1"/>
  <c r="A52" i="11" s="1"/>
  <c r="A53" i="11" s="1"/>
  <c r="A54" i="11" s="1"/>
  <c r="A64" i="11" s="1"/>
  <c r="A65" i="11" s="1"/>
  <c r="A66" i="11" s="1"/>
  <c r="A67" i="11" s="1"/>
  <c r="A68" i="11" s="1"/>
  <c r="A69" i="11" s="1"/>
  <c r="A70" i="11" s="1"/>
  <c r="A71" i="11" s="1"/>
  <c r="A72" i="11" s="1"/>
  <c r="A73" i="11" s="1"/>
  <c r="A74" i="11" s="1"/>
  <c r="A75" i="11" s="1"/>
  <c r="A76" i="11" s="1"/>
  <c r="A77" i="11" s="1"/>
  <c r="B2" i="11"/>
  <c r="E53" i="10"/>
  <c r="E52" i="10"/>
  <c r="L52" i="10" s="1"/>
  <c r="E51" i="10"/>
  <c r="L51" i="10" s="1"/>
  <c r="E50" i="10"/>
  <c r="L50" i="10" s="1"/>
  <c r="E49" i="10"/>
  <c r="E48" i="10"/>
  <c r="L48" i="10" s="1"/>
  <c r="E47" i="10"/>
  <c r="L47" i="10" s="1"/>
  <c r="E46" i="10"/>
  <c r="J46" i="10" s="1"/>
  <c r="E45" i="10"/>
  <c r="E44" i="10"/>
  <c r="L44" i="10" s="1"/>
  <c r="E43" i="10"/>
  <c r="L43" i="10" s="1"/>
  <c r="E42" i="10"/>
  <c r="L42" i="10" s="1"/>
  <c r="E41" i="10"/>
  <c r="E37" i="10"/>
  <c r="L37" i="10" s="1"/>
  <c r="E36" i="10"/>
  <c r="L36" i="10" s="1"/>
  <c r="E35" i="10"/>
  <c r="L35" i="10" s="1"/>
  <c r="E34" i="10"/>
  <c r="E33" i="10"/>
  <c r="L33" i="10" s="1"/>
  <c r="E32" i="10"/>
  <c r="L32" i="10" s="1"/>
  <c r="E31" i="10"/>
  <c r="J31" i="10" s="1"/>
  <c r="E30" i="10"/>
  <c r="E29" i="10"/>
  <c r="L29" i="10" s="1"/>
  <c r="J28" i="10"/>
  <c r="H28" i="10"/>
  <c r="E28" i="10"/>
  <c r="L28" i="10" s="1"/>
  <c r="E27" i="10"/>
  <c r="L27" i="10" s="1"/>
  <c r="E26" i="10"/>
  <c r="E25" i="10"/>
  <c r="F21" i="14"/>
  <c r="E21" i="10"/>
  <c r="J21" i="10" s="1"/>
  <c r="F20" i="14"/>
  <c r="J20" i="14" s="1"/>
  <c r="K20" i="14" s="1"/>
  <c r="E20" i="10"/>
  <c r="L20" i="10" s="1"/>
  <c r="E19" i="10"/>
  <c r="J19" i="10" s="1"/>
  <c r="F18" i="14"/>
  <c r="E18" i="10"/>
  <c r="J18" i="10" s="1"/>
  <c r="F17" i="14"/>
  <c r="E17" i="10"/>
  <c r="F16" i="14"/>
  <c r="J16" i="14" s="1"/>
  <c r="K16" i="14" s="1"/>
  <c r="E16" i="10"/>
  <c r="L16" i="10" s="1"/>
  <c r="F15" i="14"/>
  <c r="J15" i="14" s="1"/>
  <c r="K15" i="14" s="1"/>
  <c r="E15" i="10"/>
  <c r="J15" i="10" s="1"/>
  <c r="F14" i="14"/>
  <c r="E14" i="10"/>
  <c r="L14" i="10" s="1"/>
  <c r="F13" i="14"/>
  <c r="E13" i="10"/>
  <c r="L13" i="10" s="1"/>
  <c r="F12" i="14"/>
  <c r="J12" i="14" s="1"/>
  <c r="K12" i="14" s="1"/>
  <c r="E12" i="10"/>
  <c r="L12" i="10" s="1"/>
  <c r="F11" i="14"/>
  <c r="J11" i="14" s="1"/>
  <c r="K11" i="14" s="1"/>
  <c r="E11" i="10"/>
  <c r="J11" i="10" s="1"/>
  <c r="F10" i="14"/>
  <c r="J10" i="14" s="1"/>
  <c r="E10" i="10"/>
  <c r="A10" i="10"/>
  <c r="A11" i="10" s="1"/>
  <c r="A12" i="10" s="1"/>
  <c r="A13" i="10" s="1"/>
  <c r="A14" i="10" s="1"/>
  <c r="A15" i="10" s="1"/>
  <c r="A16" i="10" s="1"/>
  <c r="A17" i="10" s="1"/>
  <c r="A18" i="10" s="1"/>
  <c r="A19" i="10" s="1"/>
  <c r="A20" i="10" s="1"/>
  <c r="A21" i="10" s="1"/>
  <c r="A22" i="10" s="1"/>
  <c r="A25" i="10" s="1"/>
  <c r="A26" i="10" s="1"/>
  <c r="A27" i="10" s="1"/>
  <c r="A28" i="10" s="1"/>
  <c r="A29" i="10" s="1"/>
  <c r="A30" i="10" s="1"/>
  <c r="A31" i="10" s="1"/>
  <c r="A32" i="10" s="1"/>
  <c r="A33" i="10" s="1"/>
  <c r="A34" i="10" s="1"/>
  <c r="A35" i="10" s="1"/>
  <c r="A36" i="10" s="1"/>
  <c r="A37" i="10" s="1"/>
  <c r="A38" i="10" s="1"/>
  <c r="A41" i="10" s="1"/>
  <c r="A42" i="10" s="1"/>
  <c r="A43" i="10" s="1"/>
  <c r="A44" i="10" s="1"/>
  <c r="A45" i="10" s="1"/>
  <c r="A46" i="10" s="1"/>
  <c r="A47" i="10" s="1"/>
  <c r="A48" i="10" s="1"/>
  <c r="A49" i="10" s="1"/>
  <c r="A50" i="10" s="1"/>
  <c r="A51" i="10" s="1"/>
  <c r="A52" i="10" s="1"/>
  <c r="A53" i="10" s="1"/>
  <c r="A54" i="10" s="1"/>
  <c r="E9" i="10"/>
  <c r="A3" i="10"/>
  <c r="F22" i="9"/>
  <c r="D28" i="9"/>
  <c r="D34" i="9" s="1"/>
  <c r="A10" i="9"/>
  <c r="A11" i="9" s="1"/>
  <c r="A12" i="9" s="1"/>
  <c r="A13" i="9" s="1"/>
  <c r="A14" i="9" s="1"/>
  <c r="A15" i="9" s="1"/>
  <c r="A16" i="9" s="1"/>
  <c r="A22" i="9" s="1"/>
  <c r="A23" i="9" s="1"/>
  <c r="A24" i="9" s="1"/>
  <c r="A25" i="9" s="1"/>
  <c r="A28" i="9" s="1"/>
  <c r="A29" i="9" s="1"/>
  <c r="A30" i="9" s="1"/>
  <c r="A31" i="9" s="1"/>
  <c r="A34" i="9" s="1"/>
  <c r="A35" i="9" s="1"/>
  <c r="A36" i="9" s="1"/>
  <c r="A37" i="9" s="1"/>
  <c r="A3" i="9"/>
  <c r="A2" i="9"/>
  <c r="A2" i="10" s="1"/>
  <c r="D11" i="8"/>
  <c r="D13" i="8" s="1"/>
  <c r="D130" i="15" s="1"/>
  <c r="C10" i="8"/>
  <c r="A3" i="8"/>
  <c r="A3" i="7"/>
  <c r="F65" i="6"/>
  <c r="G228" i="1"/>
  <c r="H12" i="3" s="1"/>
  <c r="J55" i="6"/>
  <c r="J57" i="6" s="1"/>
  <c r="A45" i="6"/>
  <c r="A49" i="6" s="1"/>
  <c r="A51" i="6" s="1"/>
  <c r="A54" i="6" s="1"/>
  <c r="A55" i="6" s="1"/>
  <c r="A56" i="6" s="1"/>
  <c r="A57" i="6" s="1"/>
  <c r="A62" i="6" s="1"/>
  <c r="A63" i="6" s="1"/>
  <c r="A64" i="6" s="1"/>
  <c r="A65" i="6" s="1"/>
  <c r="G41" i="6"/>
  <c r="D152" i="15" s="1"/>
  <c r="N41" i="6"/>
  <c r="D143" i="15" s="1"/>
  <c r="M41" i="6"/>
  <c r="D166" i="15" s="1"/>
  <c r="L41" i="6"/>
  <c r="D165" i="15" s="1"/>
  <c r="K41" i="6"/>
  <c r="D164" i="15" s="1"/>
  <c r="J41" i="6"/>
  <c r="D155" i="15" s="1"/>
  <c r="I41" i="6"/>
  <c r="H41" i="6"/>
  <c r="D153" i="15" s="1"/>
  <c r="F41" i="6"/>
  <c r="D150" i="15" s="1"/>
  <c r="E41" i="6"/>
  <c r="D149" i="15" s="1"/>
  <c r="D41" i="6"/>
  <c r="C41" i="6"/>
  <c r="D142" i="15" s="1"/>
  <c r="F28" i="6"/>
  <c r="G28" i="6" s="1"/>
  <c r="H28" i="6" s="1"/>
  <c r="I28" i="6" s="1"/>
  <c r="G22" i="6"/>
  <c r="D127" i="15" s="1"/>
  <c r="N22" i="6"/>
  <c r="D123" i="15" s="1"/>
  <c r="M22" i="6"/>
  <c r="D141" i="15" s="1"/>
  <c r="L22" i="6"/>
  <c r="D136" i="15" s="1"/>
  <c r="K22" i="6"/>
  <c r="D135" i="15" s="1"/>
  <c r="J22" i="6"/>
  <c r="D133" i="15" s="1"/>
  <c r="I133" i="15" s="1"/>
  <c r="I22" i="6"/>
  <c r="D129" i="15" s="1"/>
  <c r="H22" i="6"/>
  <c r="D128" i="15" s="1"/>
  <c r="F22" i="6"/>
  <c r="D126" i="15" s="1"/>
  <c r="E22" i="6"/>
  <c r="D22" i="6"/>
  <c r="D124" i="15" s="1"/>
  <c r="C22" i="6"/>
  <c r="D122" i="15" s="1"/>
  <c r="L9" i="6"/>
  <c r="A3" i="6"/>
  <c r="D59" i="5"/>
  <c r="I58" i="5"/>
  <c r="I57" i="5"/>
  <c r="I56" i="5"/>
  <c r="I55" i="5"/>
  <c r="I54" i="5"/>
  <c r="I53" i="5"/>
  <c r="A52" i="5"/>
  <c r="I42" i="5"/>
  <c r="D95" i="15" s="1"/>
  <c r="D30" i="5"/>
  <c r="D31" i="5" s="1"/>
  <c r="D32" i="5" s="1"/>
  <c r="D33" i="5" s="1"/>
  <c r="D34" i="5" s="1"/>
  <c r="D35" i="5" s="1"/>
  <c r="D36" i="5" s="1"/>
  <c r="D37" i="5" s="1"/>
  <c r="D38" i="5" s="1"/>
  <c r="D39" i="5" s="1"/>
  <c r="D40" i="5" s="1"/>
  <c r="D41" i="5" s="1"/>
  <c r="C42" i="5"/>
  <c r="D96" i="15" s="1"/>
  <c r="I96" i="15" s="1"/>
  <c r="P23" i="5"/>
  <c r="O23" i="5"/>
  <c r="D76" i="15" s="1"/>
  <c r="D84" i="15" s="1"/>
  <c r="N23" i="5"/>
  <c r="D75" i="15" s="1"/>
  <c r="I75" i="15" s="1"/>
  <c r="M23" i="5"/>
  <c r="D74" i="15" s="1"/>
  <c r="L23" i="5"/>
  <c r="D73" i="15" s="1"/>
  <c r="I73" i="15" s="1"/>
  <c r="G23" i="5"/>
  <c r="D69" i="15" s="1"/>
  <c r="F23" i="5"/>
  <c r="D68" i="15" s="1"/>
  <c r="E23" i="5"/>
  <c r="D67" i="15" s="1"/>
  <c r="C23" i="5"/>
  <c r="I23" i="5"/>
  <c r="D101" i="15" s="1"/>
  <c r="K23" i="5"/>
  <c r="D106" i="15" s="1"/>
  <c r="J23" i="5"/>
  <c r="D105" i="15" s="1"/>
  <c r="H23" i="5"/>
  <c r="D88" i="15" s="1"/>
  <c r="I88" i="15" s="1"/>
  <c r="G3" i="5"/>
  <c r="G48" i="5" s="1"/>
  <c r="E45" i="4"/>
  <c r="E47" i="4" s="1"/>
  <c r="D44" i="4"/>
  <c r="G23" i="4"/>
  <c r="E23" i="4"/>
  <c r="D23" i="4"/>
  <c r="F21" i="4"/>
  <c r="H21" i="4" s="1"/>
  <c r="F20" i="4"/>
  <c r="H20" i="4" s="1"/>
  <c r="F19" i="4"/>
  <c r="H19" i="4" s="1"/>
  <c r="F18" i="4"/>
  <c r="H18" i="4" s="1"/>
  <c r="F17" i="4"/>
  <c r="H17" i="4" s="1"/>
  <c r="F16" i="4"/>
  <c r="E4" i="4"/>
  <c r="B31" i="3"/>
  <c r="J30" i="3"/>
  <c r="B30" i="3"/>
  <c r="J29" i="3"/>
  <c r="B29" i="3"/>
  <c r="J28" i="3"/>
  <c r="B28" i="3"/>
  <c r="B27" i="3"/>
  <c r="D26" i="3"/>
  <c r="D25" i="3"/>
  <c r="E15" i="3"/>
  <c r="A9" i="3"/>
  <c r="A12" i="3" s="1"/>
  <c r="A13" i="3" s="1"/>
  <c r="A14" i="3" s="1"/>
  <c r="A15" i="3" s="1"/>
  <c r="A16" i="3" s="1"/>
  <c r="A18" i="3" s="1"/>
  <c r="A19" i="3" s="1"/>
  <c r="A5" i="3"/>
  <c r="V96" i="2"/>
  <c r="T96" i="2"/>
  <c r="W95" i="2"/>
  <c r="R94" i="2"/>
  <c r="M94" i="2"/>
  <c r="N94" i="2" s="1"/>
  <c r="R93" i="2"/>
  <c r="M93" i="2"/>
  <c r="N93" i="2" s="1"/>
  <c r="R92" i="2"/>
  <c r="M92" i="2"/>
  <c r="N92" i="2" s="1"/>
  <c r="R91" i="2"/>
  <c r="M91" i="2"/>
  <c r="N91" i="2" s="1"/>
  <c r="R90" i="2"/>
  <c r="M90" i="2"/>
  <c r="N90" i="2" s="1"/>
  <c r="R89" i="2"/>
  <c r="M89" i="2"/>
  <c r="N89" i="2" s="1"/>
  <c r="R88" i="2"/>
  <c r="M88" i="2"/>
  <c r="N88" i="2" s="1"/>
  <c r="R87" i="2"/>
  <c r="M87" i="2"/>
  <c r="N87" i="2" s="1"/>
  <c r="R86" i="2"/>
  <c r="M86" i="2"/>
  <c r="N86" i="2" s="1"/>
  <c r="R85" i="2"/>
  <c r="M85" i="2"/>
  <c r="N85" i="2" s="1"/>
  <c r="R84" i="2"/>
  <c r="M84" i="2"/>
  <c r="N84" i="2" s="1"/>
  <c r="R83" i="2"/>
  <c r="M83" i="2"/>
  <c r="N83" i="2" s="1"/>
  <c r="R82" i="2"/>
  <c r="M82" i="2"/>
  <c r="N82" i="2" s="1"/>
  <c r="R81" i="2"/>
  <c r="M81" i="2"/>
  <c r="N81" i="2" s="1"/>
  <c r="R80" i="2"/>
  <c r="M80" i="2"/>
  <c r="N80" i="2" s="1"/>
  <c r="L79" i="2"/>
  <c r="R79" i="2" s="1"/>
  <c r="L78" i="2"/>
  <c r="R78" i="2" s="1"/>
  <c r="L77" i="2"/>
  <c r="M77" i="2" s="1"/>
  <c r="N77" i="2" s="1"/>
  <c r="F64" i="2"/>
  <c r="Q64" i="2" s="1"/>
  <c r="F63" i="2"/>
  <c r="Q63" i="2" s="1"/>
  <c r="E6" i="2"/>
  <c r="F65" i="2" s="1"/>
  <c r="Q65" i="2" s="1"/>
  <c r="E23" i="3"/>
  <c r="K259" i="1"/>
  <c r="K257" i="1"/>
  <c r="A253" i="1"/>
  <c r="I249" i="1"/>
  <c r="D16" i="1" s="1"/>
  <c r="I238" i="1"/>
  <c r="A237" i="1"/>
  <c r="A238" i="1" s="1"/>
  <c r="A240" i="1" s="1"/>
  <c r="C14" i="1" s="1"/>
  <c r="G230" i="1"/>
  <c r="H14" i="3" s="1"/>
  <c r="G229" i="1"/>
  <c r="D229" i="1"/>
  <c r="A229" i="1"/>
  <c r="A230" i="1" s="1"/>
  <c r="A231" i="1" s="1"/>
  <c r="D228" i="1"/>
  <c r="D217" i="1"/>
  <c r="G216" i="1"/>
  <c r="G215" i="1"/>
  <c r="A214" i="1"/>
  <c r="A215" i="1" s="1"/>
  <c r="A216" i="1" s="1"/>
  <c r="A217" i="1" s="1"/>
  <c r="A220" i="1" s="1"/>
  <c r="A221" i="1" s="1"/>
  <c r="A222" i="1" s="1"/>
  <c r="A223" i="1" s="1"/>
  <c r="G213" i="1"/>
  <c r="A205" i="1"/>
  <c r="A206" i="1" s="1"/>
  <c r="A207" i="1" s="1"/>
  <c r="A209" i="1" s="1"/>
  <c r="K195" i="1"/>
  <c r="K193" i="1"/>
  <c r="I186" i="1"/>
  <c r="D186" i="1"/>
  <c r="I184" i="1"/>
  <c r="I180" i="1"/>
  <c r="A176" i="1"/>
  <c r="B163" i="1"/>
  <c r="A160" i="1"/>
  <c r="A163" i="1" s="1"/>
  <c r="A164" i="1" s="1"/>
  <c r="D24" i="3" s="1"/>
  <c r="C158" i="1"/>
  <c r="A149" i="1"/>
  <c r="A150" i="1" s="1"/>
  <c r="A151" i="1" s="1"/>
  <c r="A152" i="1" s="1"/>
  <c r="A153" i="1" s="1"/>
  <c r="A154" i="1" s="1"/>
  <c r="A155" i="1" s="1"/>
  <c r="A156" i="1" s="1"/>
  <c r="A142" i="1"/>
  <c r="A143" i="1" s="1"/>
  <c r="F133" i="1"/>
  <c r="A133" i="1"/>
  <c r="F131" i="1"/>
  <c r="D131" i="1"/>
  <c r="F130" i="1"/>
  <c r="A126" i="1"/>
  <c r="A127" i="1" s="1"/>
  <c r="A128" i="1" s="1"/>
  <c r="F123" i="1"/>
  <c r="F125" i="1" s="1"/>
  <c r="K114" i="1"/>
  <c r="K112" i="1"/>
  <c r="A101" i="1"/>
  <c r="A104" i="1" s="1"/>
  <c r="A105" i="1" s="1"/>
  <c r="A106" i="1" s="1"/>
  <c r="A107" i="1" s="1"/>
  <c r="A109" i="1" s="1"/>
  <c r="G98" i="1"/>
  <c r="F98" i="1"/>
  <c r="F96" i="1"/>
  <c r="F88" i="1" s="1"/>
  <c r="D93" i="1"/>
  <c r="D92" i="1"/>
  <c r="D91" i="1"/>
  <c r="G75" i="1"/>
  <c r="G73" i="1"/>
  <c r="D73" i="1"/>
  <c r="A66" i="1"/>
  <c r="A67" i="1" s="1"/>
  <c r="D58" i="1"/>
  <c r="D116" i="1" s="1"/>
  <c r="D197" i="1" s="1"/>
  <c r="D261" i="1" s="1"/>
  <c r="K56" i="1"/>
  <c r="K53" i="1"/>
  <c r="I51" i="1"/>
  <c r="I50" i="1"/>
  <c r="I38" i="1"/>
  <c r="D40" i="1" s="1"/>
  <c r="I47" i="1" s="1"/>
  <c r="C16" i="1"/>
  <c r="D14" i="1"/>
  <c r="A14" i="1"/>
  <c r="A16" i="1" s="1"/>
  <c r="A17" i="1" s="1"/>
  <c r="A18" i="1" s="1"/>
  <c r="A19" i="1" s="1"/>
  <c r="D166" i="1" l="1"/>
  <c r="E26" i="3" s="1"/>
  <c r="G62" i="6"/>
  <c r="K62" i="6" s="1"/>
  <c r="D65" i="1"/>
  <c r="I65" i="1" s="1"/>
  <c r="D65" i="15"/>
  <c r="D77" i="1"/>
  <c r="D77" i="15"/>
  <c r="D85" i="15" s="1"/>
  <c r="D125" i="1"/>
  <c r="D125" i="15"/>
  <c r="D138" i="15" s="1"/>
  <c r="D104" i="15" s="1"/>
  <c r="D107" i="15" s="1"/>
  <c r="D154" i="1"/>
  <c r="D154" i="15"/>
  <c r="D156" i="15" s="1"/>
  <c r="I67" i="15"/>
  <c r="I83" i="15" s="1"/>
  <c r="D83" i="15"/>
  <c r="D144" i="1"/>
  <c r="I144" i="1" s="1"/>
  <c r="D144" i="15"/>
  <c r="I144" i="15" s="1"/>
  <c r="D78" i="15"/>
  <c r="I135" i="15"/>
  <c r="J28" i="16" s="1"/>
  <c r="D137" i="15"/>
  <c r="H51" i="10"/>
  <c r="Y15" i="14"/>
  <c r="U37" i="14"/>
  <c r="L18" i="10"/>
  <c r="L31" i="10"/>
  <c r="L15" i="10"/>
  <c r="P26" i="14"/>
  <c r="Q26" i="14" s="1"/>
  <c r="P18" i="14"/>
  <c r="M29" i="14"/>
  <c r="G35" i="14"/>
  <c r="H43" i="10"/>
  <c r="AD19" i="14"/>
  <c r="J43" i="10"/>
  <c r="P28" i="14"/>
  <c r="Y36" i="14"/>
  <c r="Y11" i="14"/>
  <c r="Y18" i="14"/>
  <c r="G27" i="14"/>
  <c r="H13" i="10"/>
  <c r="H50" i="10"/>
  <c r="V28" i="14"/>
  <c r="J50" i="10"/>
  <c r="AE28" i="14"/>
  <c r="P44" i="14"/>
  <c r="D68" i="1"/>
  <c r="H29" i="10"/>
  <c r="D76" i="1"/>
  <c r="D69" i="1"/>
  <c r="D85" i="1" s="1"/>
  <c r="D123" i="1"/>
  <c r="P12" i="14"/>
  <c r="Y31" i="14"/>
  <c r="D95" i="1"/>
  <c r="J41" i="10"/>
  <c r="M35" i="14"/>
  <c r="Y45" i="14"/>
  <c r="D130" i="1"/>
  <c r="V18" i="14"/>
  <c r="U18" i="14"/>
  <c r="D150" i="1"/>
  <c r="F23" i="4"/>
  <c r="D136" i="1"/>
  <c r="D101" i="1"/>
  <c r="D124" i="1"/>
  <c r="D141" i="1"/>
  <c r="D153" i="1"/>
  <c r="H20" i="10"/>
  <c r="H52" i="10"/>
  <c r="V12" i="14"/>
  <c r="Y14" i="14"/>
  <c r="M31" i="14"/>
  <c r="D122" i="1"/>
  <c r="D152" i="1"/>
  <c r="D155" i="1"/>
  <c r="D67" i="1"/>
  <c r="H37" i="10"/>
  <c r="G52" i="14"/>
  <c r="U53" i="14"/>
  <c r="Y12" i="14"/>
  <c r="AE31" i="14"/>
  <c r="Y48" i="14"/>
  <c r="AD53" i="14"/>
  <c r="AD31" i="14"/>
  <c r="AE36" i="14"/>
  <c r="AD48" i="14"/>
  <c r="D129" i="1"/>
  <c r="D142" i="1"/>
  <c r="D165" i="1"/>
  <c r="E25" i="3" s="1"/>
  <c r="M12" i="14"/>
  <c r="H35" i="10"/>
  <c r="L46" i="10"/>
  <c r="Y13" i="14"/>
  <c r="U28" i="14"/>
  <c r="Y32" i="14"/>
  <c r="L35" i="14"/>
  <c r="D128" i="1"/>
  <c r="D106" i="1"/>
  <c r="D127" i="1"/>
  <c r="E30" i="3"/>
  <c r="D88" i="1"/>
  <c r="I88" i="1" s="1"/>
  <c r="D133" i="1"/>
  <c r="I133" i="1" s="1"/>
  <c r="H31" i="10"/>
  <c r="J35" i="10"/>
  <c r="H42" i="10"/>
  <c r="V35" i="14"/>
  <c r="D164" i="1"/>
  <c r="E24" i="3" s="1"/>
  <c r="E28" i="3" s="1"/>
  <c r="D75" i="1"/>
  <c r="I75" i="1" s="1"/>
  <c r="D96" i="1"/>
  <c r="I96" i="1" s="1"/>
  <c r="D105" i="1"/>
  <c r="D74" i="1"/>
  <c r="D135" i="1"/>
  <c r="D149" i="1"/>
  <c r="D126" i="1" s="1"/>
  <c r="D143" i="1"/>
  <c r="H47" i="10"/>
  <c r="P35" i="14"/>
  <c r="AD49" i="14"/>
  <c r="AE49" i="14"/>
  <c r="AD13" i="14"/>
  <c r="AE13" i="14"/>
  <c r="U49" i="14"/>
  <c r="V49" i="14"/>
  <c r="V14" i="14"/>
  <c r="U14" i="14"/>
  <c r="L45" i="14"/>
  <c r="M45" i="14"/>
  <c r="AE14" i="14"/>
  <c r="AD14" i="14"/>
  <c r="U45" i="14"/>
  <c r="V45" i="14"/>
  <c r="AE18" i="14"/>
  <c r="AD18" i="14"/>
  <c r="AD45" i="14"/>
  <c r="AE45" i="14"/>
  <c r="U13" i="14"/>
  <c r="V13" i="14"/>
  <c r="U15" i="14"/>
  <c r="V15" i="14"/>
  <c r="L49" i="14"/>
  <c r="M49" i="14"/>
  <c r="H16" i="4"/>
  <c r="L11" i="10"/>
  <c r="J13" i="10"/>
  <c r="H32" i="10"/>
  <c r="H44" i="10"/>
  <c r="J47" i="10"/>
  <c r="AE19" i="14"/>
  <c r="G36" i="14"/>
  <c r="Y44" i="14"/>
  <c r="G48" i="14"/>
  <c r="L19" i="10"/>
  <c r="J32" i="10"/>
  <c r="L12" i="14"/>
  <c r="P13" i="14"/>
  <c r="X38" i="14"/>
  <c r="P52" i="14"/>
  <c r="V53" i="14"/>
  <c r="I73" i="1"/>
  <c r="H27" i="10"/>
  <c r="H36" i="10"/>
  <c r="J42" i="10"/>
  <c r="H48" i="10"/>
  <c r="J51" i="10"/>
  <c r="Y26" i="14"/>
  <c r="Z26" i="14" s="1"/>
  <c r="AB26" i="14"/>
  <c r="AC26" i="14" s="1"/>
  <c r="Y27" i="14"/>
  <c r="Y28" i="14"/>
  <c r="G31" i="14"/>
  <c r="G32" i="14"/>
  <c r="U35" i="14"/>
  <c r="P36" i="14"/>
  <c r="G44" i="14"/>
  <c r="P48" i="14"/>
  <c r="J14" i="10"/>
  <c r="J27" i="10"/>
  <c r="H33" i="10"/>
  <c r="J36" i="10"/>
  <c r="H46" i="10"/>
  <c r="P27" i="14"/>
  <c r="AD28" i="14"/>
  <c r="AE35" i="14"/>
  <c r="L44" i="14"/>
  <c r="AE53" i="14"/>
  <c r="M78" i="2"/>
  <c r="N78" i="2" s="1"/>
  <c r="H12" i="10"/>
  <c r="E35" i="13"/>
  <c r="G26" i="14"/>
  <c r="H26" i="14" s="1"/>
  <c r="P31" i="14"/>
  <c r="P32" i="14"/>
  <c r="Y35" i="14"/>
  <c r="F54" i="14"/>
  <c r="E36" i="13" s="1"/>
  <c r="V44" i="14"/>
  <c r="Y52" i="14"/>
  <c r="AD15" i="14"/>
  <c r="Y19" i="14"/>
  <c r="AE15" i="14"/>
  <c r="U19" i="14"/>
  <c r="Y34" i="14"/>
  <c r="U44" i="14"/>
  <c r="Y49" i="14"/>
  <c r="Y53" i="14"/>
  <c r="G22" i="9"/>
  <c r="L9" i="10"/>
  <c r="B23" i="3"/>
  <c r="A20" i="3"/>
  <c r="A21" i="3" s="1"/>
  <c r="A22" i="3" s="1"/>
  <c r="A24" i="3" s="1"/>
  <c r="A25" i="3" s="1"/>
  <c r="A26" i="3" s="1"/>
  <c r="A27" i="3" s="1"/>
  <c r="A28" i="3" s="1"/>
  <c r="A29" i="3" s="1"/>
  <c r="A30" i="3" s="1"/>
  <c r="A31" i="3" s="1"/>
  <c r="A33" i="3" s="1"/>
  <c r="A35" i="3" s="1"/>
  <c r="A36" i="3" s="1"/>
  <c r="A37" i="3" s="1"/>
  <c r="A38" i="3" s="1"/>
  <c r="A39" i="3" s="1"/>
  <c r="A40" i="3" s="1"/>
  <c r="A68" i="1"/>
  <c r="D46" i="1"/>
  <c r="L15" i="14"/>
  <c r="M15" i="14"/>
  <c r="F19" i="14"/>
  <c r="J19" i="14" s="1"/>
  <c r="K19" i="14" s="1"/>
  <c r="H19" i="10"/>
  <c r="D41" i="1"/>
  <c r="I46" i="1"/>
  <c r="E29" i="3"/>
  <c r="D42" i="5"/>
  <c r="D97" i="15" s="1"/>
  <c r="I97" i="15" s="1"/>
  <c r="J20" i="16" s="1"/>
  <c r="H17" i="10"/>
  <c r="L17" i="10"/>
  <c r="J17" i="10"/>
  <c r="E28" i="13"/>
  <c r="E28" i="9"/>
  <c r="F25" i="10"/>
  <c r="F38" i="10" s="1"/>
  <c r="E30" i="9" s="1"/>
  <c r="G7" i="11"/>
  <c r="H28" i="13"/>
  <c r="K25" i="10"/>
  <c r="K38" i="10" s="1"/>
  <c r="H28" i="9"/>
  <c r="F29" i="13"/>
  <c r="E10" i="12"/>
  <c r="F29" i="9"/>
  <c r="K10" i="14"/>
  <c r="V11" i="14"/>
  <c r="U11" i="14"/>
  <c r="Y30" i="14"/>
  <c r="P30" i="14"/>
  <c r="G30" i="14"/>
  <c r="F124" i="1"/>
  <c r="H10" i="10"/>
  <c r="L10" i="10"/>
  <c r="J10" i="10"/>
  <c r="J18" i="14"/>
  <c r="K18" i="14" s="1"/>
  <c r="G18" i="14"/>
  <c r="F34" i="13"/>
  <c r="G41" i="10"/>
  <c r="G54" i="10" s="1"/>
  <c r="E8" i="11"/>
  <c r="F34" i="9"/>
  <c r="D45" i="1"/>
  <c r="D47" i="1"/>
  <c r="M79" i="2"/>
  <c r="N79" i="2" s="1"/>
  <c r="I59" i="5"/>
  <c r="D98" i="15" s="1"/>
  <c r="I98" i="15" s="1"/>
  <c r="D230" i="1"/>
  <c r="D231" i="1" s="1"/>
  <c r="D30" i="9"/>
  <c r="D36" i="9" s="1"/>
  <c r="D29" i="9"/>
  <c r="D35" i="9" s="1"/>
  <c r="L53" i="10"/>
  <c r="J53" i="10"/>
  <c r="H53" i="10"/>
  <c r="G9" i="12"/>
  <c r="H23" i="9"/>
  <c r="H23" i="13"/>
  <c r="AE12" i="14"/>
  <c r="AD12" i="14"/>
  <c r="J17" i="14"/>
  <c r="K17" i="14" s="1"/>
  <c r="G17" i="14"/>
  <c r="I45" i="1"/>
  <c r="D23" i="5"/>
  <c r="D66" i="15" s="1"/>
  <c r="D223" i="1"/>
  <c r="G221" i="1" s="1"/>
  <c r="E228" i="1"/>
  <c r="F12" i="3" s="1"/>
  <c r="J12" i="3" s="1"/>
  <c r="I228" i="15"/>
  <c r="M11" i="14"/>
  <c r="L11" i="14"/>
  <c r="J21" i="14"/>
  <c r="K21" i="14" s="1"/>
  <c r="G21" i="14"/>
  <c r="F35" i="9"/>
  <c r="F35" i="13"/>
  <c r="E11" i="12"/>
  <c r="E23" i="13"/>
  <c r="E23" i="9"/>
  <c r="M16" i="14"/>
  <c r="L16" i="14"/>
  <c r="M20" i="14"/>
  <c r="L20" i="14"/>
  <c r="L34" i="10"/>
  <c r="J34" i="10"/>
  <c r="H34" i="10"/>
  <c r="L49" i="10"/>
  <c r="J49" i="10"/>
  <c r="H49" i="10"/>
  <c r="F8" i="11"/>
  <c r="G34" i="9"/>
  <c r="G22" i="13"/>
  <c r="F6" i="11"/>
  <c r="I9" i="10"/>
  <c r="G35" i="13"/>
  <c r="F11" i="12"/>
  <c r="G29" i="13"/>
  <c r="F10" i="12"/>
  <c r="AE16" i="14"/>
  <c r="AD16" i="14"/>
  <c r="U29" i="14"/>
  <c r="V29" i="14"/>
  <c r="H14" i="10"/>
  <c r="H16" i="10"/>
  <c r="L30" i="10"/>
  <c r="J30" i="10"/>
  <c r="H30" i="10"/>
  <c r="L45" i="10"/>
  <c r="J45" i="10"/>
  <c r="H45" i="10"/>
  <c r="I54" i="10"/>
  <c r="E34" i="13"/>
  <c r="F41" i="10"/>
  <c r="F54" i="10" s="1"/>
  <c r="E36" i="9" s="1"/>
  <c r="E37" i="9" s="1"/>
  <c r="G8" i="11"/>
  <c r="K41" i="10"/>
  <c r="K54" i="10" s="1"/>
  <c r="H34" i="9"/>
  <c r="H34" i="13"/>
  <c r="H22" i="13"/>
  <c r="G6" i="11"/>
  <c r="Z9" i="14"/>
  <c r="H22" i="9"/>
  <c r="E7" i="11"/>
  <c r="G25" i="10"/>
  <c r="G38" i="10" s="1"/>
  <c r="F28" i="9"/>
  <c r="H35" i="13"/>
  <c r="G11" i="12"/>
  <c r="E29" i="9"/>
  <c r="E29" i="13"/>
  <c r="G10" i="12"/>
  <c r="H29" i="9"/>
  <c r="O22" i="14"/>
  <c r="AB22" i="14"/>
  <c r="AC10" i="14"/>
  <c r="AE17" i="14"/>
  <c r="AD17" i="14"/>
  <c r="AE21" i="14"/>
  <c r="AD21" i="14"/>
  <c r="G13" i="14"/>
  <c r="J13" i="14"/>
  <c r="K13" i="14" s="1"/>
  <c r="G14" i="14"/>
  <c r="J14" i="14"/>
  <c r="K14" i="14" s="1"/>
  <c r="H21" i="10"/>
  <c r="L21" i="10"/>
  <c r="L26" i="10"/>
  <c r="J26" i="10"/>
  <c r="H26" i="10"/>
  <c r="C51" i="11"/>
  <c r="C54" i="11" s="1"/>
  <c r="E50" i="11"/>
  <c r="E51" i="11" s="1"/>
  <c r="E54" i="11" s="1"/>
  <c r="I25" i="10"/>
  <c r="F7" i="11"/>
  <c r="G28" i="9"/>
  <c r="G28" i="13"/>
  <c r="F9" i="12"/>
  <c r="G23" i="9"/>
  <c r="H29" i="13"/>
  <c r="G34" i="13"/>
  <c r="Y10" i="14"/>
  <c r="P10" i="14"/>
  <c r="G10" i="14"/>
  <c r="T10" i="14"/>
  <c r="AE11" i="14"/>
  <c r="AD11" i="14"/>
  <c r="G12" i="14"/>
  <c r="U12" i="14"/>
  <c r="V27" i="14"/>
  <c r="U27" i="14"/>
  <c r="H11" i="10"/>
  <c r="J12" i="10"/>
  <c r="H15" i="10"/>
  <c r="J16" i="10"/>
  <c r="J20" i="10"/>
  <c r="J29" i="10"/>
  <c r="J33" i="10"/>
  <c r="J37" i="10"/>
  <c r="J44" i="10"/>
  <c r="J48" i="10"/>
  <c r="J52" i="10"/>
  <c r="D23" i="13"/>
  <c r="D29" i="13" s="1"/>
  <c r="D35" i="13" s="1"/>
  <c r="X22" i="14"/>
  <c r="G11" i="14"/>
  <c r="P11" i="14"/>
  <c r="Y16" i="14"/>
  <c r="P16" i="14"/>
  <c r="G16" i="14"/>
  <c r="V16" i="14"/>
  <c r="U16" i="14"/>
  <c r="V19" i="14"/>
  <c r="AE20" i="14"/>
  <c r="AD20" i="14"/>
  <c r="M27" i="14"/>
  <c r="L27" i="14"/>
  <c r="M30" i="14"/>
  <c r="L30" i="14"/>
  <c r="AE30" i="14"/>
  <c r="AD30" i="14"/>
  <c r="V31" i="14"/>
  <c r="U31" i="14"/>
  <c r="U32" i="14"/>
  <c r="V32" i="14"/>
  <c r="Y33" i="14"/>
  <c r="P33" i="14"/>
  <c r="G33" i="14"/>
  <c r="AE34" i="14"/>
  <c r="AD34" i="14"/>
  <c r="H18" i="10"/>
  <c r="P14" i="14"/>
  <c r="S17" i="14"/>
  <c r="T17" i="14" s="1"/>
  <c r="P17" i="14"/>
  <c r="Y20" i="14"/>
  <c r="P20" i="14"/>
  <c r="G20" i="14"/>
  <c r="V20" i="14"/>
  <c r="U20" i="14"/>
  <c r="J28" i="14"/>
  <c r="K28" i="14" s="1"/>
  <c r="G28" i="14"/>
  <c r="M34" i="14"/>
  <c r="L34" i="14"/>
  <c r="AE47" i="14"/>
  <c r="AD47" i="14"/>
  <c r="V51" i="14"/>
  <c r="U51" i="14"/>
  <c r="Y17" i="14"/>
  <c r="S21" i="14"/>
  <c r="T21" i="14" s="1"/>
  <c r="P21" i="14"/>
  <c r="AE27" i="14"/>
  <c r="AD27" i="14"/>
  <c r="Y29" i="14"/>
  <c r="P29" i="14"/>
  <c r="G29" i="14"/>
  <c r="V30" i="14"/>
  <c r="U30" i="14"/>
  <c r="L32" i="14"/>
  <c r="M32" i="14"/>
  <c r="AD32" i="14"/>
  <c r="AE32" i="14"/>
  <c r="AE33" i="14"/>
  <c r="AD33" i="14"/>
  <c r="V34" i="14"/>
  <c r="U34" i="14"/>
  <c r="AD29" i="14"/>
  <c r="V33" i="14"/>
  <c r="U33" i="14"/>
  <c r="M36" i="14"/>
  <c r="M37" i="14"/>
  <c r="L37" i="14"/>
  <c r="AE44" i="14"/>
  <c r="AD44" i="14"/>
  <c r="AE52" i="14"/>
  <c r="AD52" i="14"/>
  <c r="S38" i="14"/>
  <c r="AE29" i="14"/>
  <c r="M33" i="14"/>
  <c r="L33" i="14"/>
  <c r="V36" i="14"/>
  <c r="U36" i="14"/>
  <c r="AD36" i="14"/>
  <c r="V43" i="14"/>
  <c r="U43" i="14"/>
  <c r="M47" i="14"/>
  <c r="L47" i="14"/>
  <c r="M48" i="14"/>
  <c r="L48" i="14"/>
  <c r="V50" i="14"/>
  <c r="U50" i="14"/>
  <c r="V52" i="14"/>
  <c r="U52" i="14"/>
  <c r="G15" i="14"/>
  <c r="P15" i="14"/>
  <c r="P19" i="14"/>
  <c r="F38" i="14"/>
  <c r="E30" i="13" s="1"/>
  <c r="K26" i="14"/>
  <c r="O38" i="14"/>
  <c r="T26" i="14"/>
  <c r="L29" i="14"/>
  <c r="L31" i="14"/>
  <c r="AD35" i="14"/>
  <c r="Y37" i="14"/>
  <c r="AE37" i="14"/>
  <c r="G37" i="14"/>
  <c r="P37" i="14"/>
  <c r="V37" i="14"/>
  <c r="S54" i="14"/>
  <c r="T42" i="14"/>
  <c r="V47" i="14"/>
  <c r="U47" i="14"/>
  <c r="M51" i="14"/>
  <c r="L51" i="14"/>
  <c r="M52" i="14"/>
  <c r="L52" i="14"/>
  <c r="L53" i="14"/>
  <c r="M53" i="14"/>
  <c r="G34" i="14"/>
  <c r="P34" i="14"/>
  <c r="AD37" i="14"/>
  <c r="J54" i="14"/>
  <c r="K42" i="14"/>
  <c r="Y43" i="14"/>
  <c r="Y46" i="14"/>
  <c r="P46" i="14"/>
  <c r="G46" i="14"/>
  <c r="AE46" i="14"/>
  <c r="AD46" i="14"/>
  <c r="U48" i="14"/>
  <c r="M50" i="14"/>
  <c r="L50" i="14"/>
  <c r="Y51" i="14"/>
  <c r="X54" i="14"/>
  <c r="V46" i="14"/>
  <c r="U46" i="14"/>
  <c r="Y42" i="14"/>
  <c r="P42" i="14"/>
  <c r="G42" i="14"/>
  <c r="O54" i="14"/>
  <c r="AE42" i="14"/>
  <c r="AD42" i="14"/>
  <c r="AC54" i="14"/>
  <c r="M43" i="14"/>
  <c r="L43" i="14"/>
  <c r="AE43" i="14"/>
  <c r="AD43" i="14"/>
  <c r="M46" i="14"/>
  <c r="L46" i="14"/>
  <c r="Y47" i="14"/>
  <c r="Y50" i="14"/>
  <c r="P50" i="14"/>
  <c r="G50" i="14"/>
  <c r="AE50" i="14"/>
  <c r="AD50" i="14"/>
  <c r="AE51" i="14"/>
  <c r="AD51" i="14"/>
  <c r="AB54" i="14"/>
  <c r="G43" i="14"/>
  <c r="P43" i="14"/>
  <c r="G47" i="14"/>
  <c r="P47" i="14"/>
  <c r="G51" i="14"/>
  <c r="P51" i="14"/>
  <c r="G45" i="14"/>
  <c r="P45" i="14"/>
  <c r="G49" i="14"/>
  <c r="P49" i="14"/>
  <c r="G53" i="14"/>
  <c r="P53" i="14"/>
  <c r="D81" i="1" l="1"/>
  <c r="I81" i="1"/>
  <c r="E228" i="15"/>
  <c r="Q27" i="14"/>
  <c r="Q28" i="14" s="1"/>
  <c r="D81" i="15"/>
  <c r="I65" i="15"/>
  <c r="I81" i="15" s="1"/>
  <c r="D145" i="15"/>
  <c r="I204" i="15"/>
  <c r="I207" i="15" s="1"/>
  <c r="I209" i="15" s="1"/>
  <c r="D82" i="15"/>
  <c r="D86" i="15" s="1"/>
  <c r="D70" i="15"/>
  <c r="D78" i="1"/>
  <c r="AB38" i="14"/>
  <c r="D84" i="1"/>
  <c r="H27" i="14"/>
  <c r="H28" i="14" s="1"/>
  <c r="H29" i="14" s="1"/>
  <c r="H30" i="14" s="1"/>
  <c r="H31" i="14" s="1"/>
  <c r="H32" i="14" s="1"/>
  <c r="H33" i="14" s="1"/>
  <c r="H34" i="14" s="1"/>
  <c r="H35" i="14" s="1"/>
  <c r="H36" i="14" s="1"/>
  <c r="H37" i="14" s="1"/>
  <c r="D83" i="1"/>
  <c r="J38" i="14"/>
  <c r="D137" i="1"/>
  <c r="D138" i="1" s="1"/>
  <c r="D104" i="1" s="1"/>
  <c r="D107" i="1" s="1"/>
  <c r="D156" i="1"/>
  <c r="G19" i="14"/>
  <c r="F22" i="14"/>
  <c r="E24" i="13" s="1"/>
  <c r="E25" i="13" s="1"/>
  <c r="K63" i="6"/>
  <c r="E229" i="1"/>
  <c r="F13" i="3" s="1"/>
  <c r="J13" i="3" s="1"/>
  <c r="D145" i="1"/>
  <c r="I67" i="1"/>
  <c r="I83" i="1" s="1"/>
  <c r="I135" i="1"/>
  <c r="J28" i="2" s="1"/>
  <c r="D66" i="1"/>
  <c r="D82" i="1" s="1"/>
  <c r="D98" i="1"/>
  <c r="I98" i="1" s="1"/>
  <c r="G38" i="14"/>
  <c r="D97" i="1"/>
  <c r="I97" i="1" s="1"/>
  <c r="J20" i="2" s="1"/>
  <c r="L22" i="10"/>
  <c r="H24" i="9" s="1"/>
  <c r="H23" i="4"/>
  <c r="D25" i="1" s="1"/>
  <c r="I25" i="1" s="1"/>
  <c r="Z27" i="14"/>
  <c r="Z28" i="14" s="1"/>
  <c r="Z29" i="14" s="1"/>
  <c r="Z30" i="14" s="1"/>
  <c r="Z31" i="14" s="1"/>
  <c r="Z32" i="14" s="1"/>
  <c r="Z33" i="14" s="1"/>
  <c r="Z34" i="14" s="1"/>
  <c r="Z35" i="14" s="1"/>
  <c r="Z36" i="14" s="1"/>
  <c r="Z37" i="14" s="1"/>
  <c r="AE54" i="14"/>
  <c r="J54" i="10"/>
  <c r="G36" i="9" s="1"/>
  <c r="G37" i="9" s="1"/>
  <c r="F11" i="9" s="1"/>
  <c r="P38" i="14"/>
  <c r="E37" i="13"/>
  <c r="F12" i="12"/>
  <c r="L25" i="10"/>
  <c r="L38" i="10" s="1"/>
  <c r="H30" i="9" s="1"/>
  <c r="H31" i="9" s="1"/>
  <c r="G10" i="9" s="1"/>
  <c r="G9" i="11"/>
  <c r="E31" i="9"/>
  <c r="H41" i="10"/>
  <c r="H54" i="10" s="1"/>
  <c r="F36" i="9" s="1"/>
  <c r="F37" i="9" s="1"/>
  <c r="E11" i="9" s="1"/>
  <c r="Z42" i="14"/>
  <c r="Z43" i="14" s="1"/>
  <c r="Z44" i="14" s="1"/>
  <c r="Z45" i="14" s="1"/>
  <c r="Z46" i="14" s="1"/>
  <c r="Z47" i="14" s="1"/>
  <c r="Z48" i="14" s="1"/>
  <c r="Z49" i="14" s="1"/>
  <c r="Z50" i="14" s="1"/>
  <c r="Z51" i="14" s="1"/>
  <c r="Z52" i="14" s="1"/>
  <c r="Z53" i="14" s="1"/>
  <c r="Y54" i="14"/>
  <c r="AF42" i="14"/>
  <c r="AF43" i="14" s="1"/>
  <c r="AF44" i="14" s="1"/>
  <c r="AF45" i="14" s="1"/>
  <c r="AF46" i="14" s="1"/>
  <c r="AF47" i="14" s="1"/>
  <c r="AF48" i="14" s="1"/>
  <c r="AF49" i="14" s="1"/>
  <c r="AF50" i="14" s="1"/>
  <c r="AF51" i="14" s="1"/>
  <c r="AF52" i="14" s="1"/>
  <c r="AF53" i="14" s="1"/>
  <c r="H36" i="13" s="1"/>
  <c r="H37" i="13" s="1"/>
  <c r="G11" i="13" s="1"/>
  <c r="K38" i="14"/>
  <c r="M26" i="14"/>
  <c r="L26" i="14"/>
  <c r="N26" i="14" s="1"/>
  <c r="N27" i="14" s="1"/>
  <c r="P22" i="14"/>
  <c r="Q10" i="14"/>
  <c r="Q11" i="14" s="1"/>
  <c r="Q12" i="14" s="1"/>
  <c r="Q13" i="14" s="1"/>
  <c r="Q14" i="14" s="1"/>
  <c r="Q15" i="14" s="1"/>
  <c r="Q16" i="14" s="1"/>
  <c r="Q17" i="14" s="1"/>
  <c r="Q18" i="14" s="1"/>
  <c r="Q19" i="14" s="1"/>
  <c r="Q20" i="14" s="1"/>
  <c r="Q21" i="14" s="1"/>
  <c r="K22" i="14"/>
  <c r="M10" i="14"/>
  <c r="L10" i="14"/>
  <c r="K54" i="14"/>
  <c r="M42" i="14"/>
  <c r="M54" i="14" s="1"/>
  <c r="L42" i="14"/>
  <c r="L54" i="14" s="1"/>
  <c r="Y38" i="14"/>
  <c r="H25" i="10"/>
  <c r="H38" i="10" s="1"/>
  <c r="F30" i="9" s="1"/>
  <c r="F31" i="9" s="1"/>
  <c r="E10" i="9" s="1"/>
  <c r="V10" i="14"/>
  <c r="U10" i="14"/>
  <c r="T22" i="14"/>
  <c r="Z10" i="14"/>
  <c r="Z11" i="14" s="1"/>
  <c r="Z12" i="14" s="1"/>
  <c r="Z13" i="14" s="1"/>
  <c r="Z14" i="14" s="1"/>
  <c r="Z15" i="14" s="1"/>
  <c r="Z16" i="14" s="1"/>
  <c r="Z17" i="14" s="1"/>
  <c r="Z18" i="14" s="1"/>
  <c r="Z19" i="14" s="1"/>
  <c r="Z20" i="14" s="1"/>
  <c r="Z21" i="14" s="1"/>
  <c r="Y22" i="14"/>
  <c r="I38" i="10"/>
  <c r="J25" i="10"/>
  <c r="J38" i="10" s="1"/>
  <c r="G30" i="9" s="1"/>
  <c r="G31" i="9" s="1"/>
  <c r="L41" i="10"/>
  <c r="L54" i="10" s="1"/>
  <c r="H36" i="9" s="1"/>
  <c r="H37" i="9" s="1"/>
  <c r="G11" i="9" s="1"/>
  <c r="K64" i="6"/>
  <c r="E230" i="1"/>
  <c r="F14" i="3" s="1"/>
  <c r="J14" i="3" s="1"/>
  <c r="J22" i="14"/>
  <c r="L13" i="14"/>
  <c r="M13" i="14"/>
  <c r="H42" i="14"/>
  <c r="H43" i="14" s="1"/>
  <c r="H44" i="14" s="1"/>
  <c r="H45" i="14" s="1"/>
  <c r="H46" i="14" s="1"/>
  <c r="H47" i="14" s="1"/>
  <c r="H48" i="14" s="1"/>
  <c r="H49" i="14" s="1"/>
  <c r="H50" i="14" s="1"/>
  <c r="H51" i="14" s="1"/>
  <c r="H52" i="14" s="1"/>
  <c r="H53" i="14" s="1"/>
  <c r="N42" i="14"/>
  <c r="N43" i="14" s="1"/>
  <c r="N44" i="14" s="1"/>
  <c r="N45" i="14" s="1"/>
  <c r="N46" i="14" s="1"/>
  <c r="N47" i="14" s="1"/>
  <c r="N48" i="14" s="1"/>
  <c r="N49" i="14" s="1"/>
  <c r="N50" i="14" s="1"/>
  <c r="N51" i="14" s="1"/>
  <c r="N52" i="14" s="1"/>
  <c r="N53" i="14" s="1"/>
  <c r="F36" i="13" s="1"/>
  <c r="F37" i="13" s="1"/>
  <c r="E11" i="13" s="1"/>
  <c r="G54" i="14"/>
  <c r="T38" i="14"/>
  <c r="V26" i="14"/>
  <c r="V38" i="14" s="1"/>
  <c r="U26" i="14"/>
  <c r="AC38" i="14"/>
  <c r="AD26" i="14"/>
  <c r="AD38" i="14" s="1"/>
  <c r="AE26" i="14"/>
  <c r="AE38" i="14" s="1"/>
  <c r="V21" i="14"/>
  <c r="U21" i="14"/>
  <c r="S22" i="14"/>
  <c r="H9" i="14"/>
  <c r="H10" i="14" s="1"/>
  <c r="H11" i="14" s="1"/>
  <c r="H12" i="14" s="1"/>
  <c r="H13" i="14" s="1"/>
  <c r="H14" i="14" s="1"/>
  <c r="H15" i="14" s="1"/>
  <c r="H16" i="14" s="1"/>
  <c r="H17" i="14" s="1"/>
  <c r="H18" i="14" s="1"/>
  <c r="H19" i="14" s="1"/>
  <c r="H20" i="14" s="1"/>
  <c r="H21" i="14" s="1"/>
  <c r="F22" i="13"/>
  <c r="E6" i="11"/>
  <c r="E9" i="11" s="1"/>
  <c r="G9" i="10"/>
  <c r="M14" i="14"/>
  <c r="L14" i="14"/>
  <c r="AC22" i="14"/>
  <c r="AE10" i="14"/>
  <c r="AE22" i="14" s="1"/>
  <c r="AD10" i="14"/>
  <c r="AD22" i="14" s="1"/>
  <c r="I228" i="1"/>
  <c r="M17" i="14"/>
  <c r="L17" i="14"/>
  <c r="H25" i="9"/>
  <c r="G9" i="9" s="1"/>
  <c r="M18" i="14"/>
  <c r="L18" i="14"/>
  <c r="F9" i="11"/>
  <c r="AD54" i="14"/>
  <c r="P54" i="14"/>
  <c r="Q42" i="14"/>
  <c r="Q43" i="14" s="1"/>
  <c r="Q44" i="14" s="1"/>
  <c r="Q45" i="14" s="1"/>
  <c r="Q46" i="14" s="1"/>
  <c r="Q47" i="14" s="1"/>
  <c r="Q48" i="14" s="1"/>
  <c r="Q49" i="14" s="1"/>
  <c r="Q50" i="14" s="1"/>
  <c r="Q51" i="14" s="1"/>
  <c r="Q52" i="14" s="1"/>
  <c r="Q53" i="14" s="1"/>
  <c r="V42" i="14"/>
  <c r="V54" i="14" s="1"/>
  <c r="T54" i="14"/>
  <c r="U42" i="14"/>
  <c r="U54" i="14" s="1"/>
  <c r="Q29" i="14"/>
  <c r="Q30" i="14" s="1"/>
  <c r="Q31" i="14" s="1"/>
  <c r="Q32" i="14" s="1"/>
  <c r="Q33" i="14" s="1"/>
  <c r="Q34" i="14" s="1"/>
  <c r="Q35" i="14" s="1"/>
  <c r="Q36" i="14" s="1"/>
  <c r="Q37" i="14" s="1"/>
  <c r="L28" i="14"/>
  <c r="M28" i="14"/>
  <c r="V17" i="14"/>
  <c r="U17" i="14"/>
  <c r="G22" i="14"/>
  <c r="E22" i="9"/>
  <c r="F9" i="10"/>
  <c r="F22" i="10" s="1"/>
  <c r="E24" i="9" s="1"/>
  <c r="E25" i="9" s="1"/>
  <c r="E22" i="13"/>
  <c r="E31" i="13"/>
  <c r="I22" i="10"/>
  <c r="J9" i="10"/>
  <c r="J22" i="10" s="1"/>
  <c r="G24" i="9" s="1"/>
  <c r="G25" i="9" s="1"/>
  <c r="F9" i="9" s="1"/>
  <c r="F12" i="9" s="1"/>
  <c r="M21" i="14"/>
  <c r="L21" i="14"/>
  <c r="G12" i="12"/>
  <c r="L19" i="14"/>
  <c r="M19" i="14"/>
  <c r="A69" i="1"/>
  <c r="K65" i="6" l="1"/>
  <c r="D86" i="1"/>
  <c r="I229" i="1"/>
  <c r="I229" i="15"/>
  <c r="I231" i="15" s="1"/>
  <c r="D169" i="15"/>
  <c r="D170" i="15"/>
  <c r="D168" i="15"/>
  <c r="E214" i="15"/>
  <c r="G214" i="15" s="1"/>
  <c r="G217" i="15" s="1"/>
  <c r="I217" i="15" s="1"/>
  <c r="G122" i="15"/>
  <c r="G66" i="15"/>
  <c r="J15" i="3"/>
  <c r="E20" i="3" s="1"/>
  <c r="I204" i="1"/>
  <c r="I207" i="1" s="1"/>
  <c r="I209" i="1" s="1"/>
  <c r="E214" i="1" s="1"/>
  <c r="G214" i="1" s="1"/>
  <c r="G217" i="1" s="1"/>
  <c r="I217" i="1" s="1"/>
  <c r="D70" i="1"/>
  <c r="I230" i="1"/>
  <c r="A70" i="1"/>
  <c r="A73" i="1" s="1"/>
  <c r="U22" i="14"/>
  <c r="L22" i="14"/>
  <c r="W10" i="14"/>
  <c r="W11" i="14" s="1"/>
  <c r="W12" i="14" s="1"/>
  <c r="W13" i="14" s="1"/>
  <c r="W14" i="14" s="1"/>
  <c r="W15" i="14" s="1"/>
  <c r="W16" i="14" s="1"/>
  <c r="W17" i="14" s="1"/>
  <c r="W18" i="14" s="1"/>
  <c r="W19" i="14" s="1"/>
  <c r="W20" i="14" s="1"/>
  <c r="W21" i="14" s="1"/>
  <c r="G24" i="13" s="1"/>
  <c r="G25" i="13" s="1"/>
  <c r="F9" i="13" s="1"/>
  <c r="W42" i="14"/>
  <c r="W43" i="14" s="1"/>
  <c r="W44" i="14" s="1"/>
  <c r="W45" i="14" s="1"/>
  <c r="W46" i="14" s="1"/>
  <c r="W47" i="14" s="1"/>
  <c r="W48" i="14" s="1"/>
  <c r="W49" i="14" s="1"/>
  <c r="W50" i="14" s="1"/>
  <c r="W51" i="14" s="1"/>
  <c r="W52" i="14" s="1"/>
  <c r="W53" i="14" s="1"/>
  <c r="G36" i="13" s="1"/>
  <c r="G37" i="13" s="1"/>
  <c r="F11" i="13" s="1"/>
  <c r="G22" i="10"/>
  <c r="E53" i="12" s="1"/>
  <c r="E54" i="12" s="1"/>
  <c r="E57" i="12" s="1"/>
  <c r="H9" i="10"/>
  <c r="H22" i="10" s="1"/>
  <c r="F24" i="9" s="1"/>
  <c r="F25" i="9" s="1"/>
  <c r="E9" i="9" s="1"/>
  <c r="E12" i="9" s="1"/>
  <c r="E16" i="9" s="1"/>
  <c r="V22" i="14"/>
  <c r="M22" i="14"/>
  <c r="L38" i="14"/>
  <c r="N28" i="14"/>
  <c r="N29" i="14" s="1"/>
  <c r="N30" i="14" s="1"/>
  <c r="N31" i="14" s="1"/>
  <c r="N32" i="14" s="1"/>
  <c r="N33" i="14" s="1"/>
  <c r="N34" i="14" s="1"/>
  <c r="N35" i="14" s="1"/>
  <c r="N36" i="14" s="1"/>
  <c r="N37" i="14" s="1"/>
  <c r="F30" i="13" s="1"/>
  <c r="F31" i="13" s="1"/>
  <c r="E10" i="13" s="1"/>
  <c r="AF26" i="14"/>
  <c r="AF27" i="14" s="1"/>
  <c r="AF28" i="14" s="1"/>
  <c r="AF29" i="14" s="1"/>
  <c r="AF30" i="14" s="1"/>
  <c r="AF31" i="14" s="1"/>
  <c r="AF32" i="14" s="1"/>
  <c r="AF33" i="14" s="1"/>
  <c r="AF34" i="14" s="1"/>
  <c r="AF35" i="14" s="1"/>
  <c r="AF36" i="14" s="1"/>
  <c r="AF37" i="14" s="1"/>
  <c r="H30" i="13" s="1"/>
  <c r="H31" i="13" s="1"/>
  <c r="G10" i="13" s="1"/>
  <c r="M38" i="14"/>
  <c r="AF10" i="14"/>
  <c r="AF11" i="14" s="1"/>
  <c r="AF12" i="14" s="1"/>
  <c r="AF13" i="14" s="1"/>
  <c r="AF14" i="14" s="1"/>
  <c r="AF15" i="14" s="1"/>
  <c r="AF16" i="14" s="1"/>
  <c r="AF17" i="14" s="1"/>
  <c r="AF18" i="14" s="1"/>
  <c r="AF19" i="14" s="1"/>
  <c r="AF20" i="14" s="1"/>
  <c r="AF21" i="14" s="1"/>
  <c r="H24" i="13" s="1"/>
  <c r="H25" i="13" s="1"/>
  <c r="G9" i="13" s="1"/>
  <c r="N10" i="14"/>
  <c r="N11" i="14" s="1"/>
  <c r="N12" i="14" s="1"/>
  <c r="N13" i="14" s="1"/>
  <c r="N14" i="14" s="1"/>
  <c r="N15" i="14" s="1"/>
  <c r="N16" i="14" s="1"/>
  <c r="N17" i="14" s="1"/>
  <c r="N18" i="14" s="1"/>
  <c r="N19" i="14" s="1"/>
  <c r="N20" i="14" s="1"/>
  <c r="N21" i="14" s="1"/>
  <c r="F24" i="13" s="1"/>
  <c r="G12" i="9"/>
  <c r="U38" i="14"/>
  <c r="W26" i="14"/>
  <c r="W27" i="14" s="1"/>
  <c r="W28" i="14" s="1"/>
  <c r="W29" i="14" s="1"/>
  <c r="W30" i="14" s="1"/>
  <c r="W31" i="14" s="1"/>
  <c r="W32" i="14" s="1"/>
  <c r="W33" i="14" s="1"/>
  <c r="W34" i="14" s="1"/>
  <c r="W35" i="14" s="1"/>
  <c r="W36" i="14" s="1"/>
  <c r="W37" i="14" s="1"/>
  <c r="G30" i="13" s="1"/>
  <c r="G31" i="13" s="1"/>
  <c r="F10" i="13" s="1"/>
  <c r="D160" i="15" l="1"/>
  <c r="I231" i="1"/>
  <c r="D160" i="1" s="1"/>
  <c r="I66" i="15"/>
  <c r="J18" i="16" s="1"/>
  <c r="G74" i="15"/>
  <c r="I122" i="15"/>
  <c r="G129" i="15"/>
  <c r="I129" i="15" s="1"/>
  <c r="G105" i="15"/>
  <c r="I105" i="15" s="1"/>
  <c r="G123" i="15"/>
  <c r="G136" i="15"/>
  <c r="I136" i="15" s="1"/>
  <c r="I137" i="15" s="1"/>
  <c r="G68" i="15"/>
  <c r="I221" i="15"/>
  <c r="K221" i="15" s="1"/>
  <c r="G69" i="15" s="1"/>
  <c r="G126" i="15"/>
  <c r="G66" i="1"/>
  <c r="I66" i="1" s="1"/>
  <c r="G122" i="1"/>
  <c r="G123" i="1" s="1"/>
  <c r="G12" i="13"/>
  <c r="F12" i="13"/>
  <c r="G74" i="1"/>
  <c r="G13" i="13"/>
  <c r="G13" i="9"/>
  <c r="G16" i="9" s="1"/>
  <c r="G68" i="1"/>
  <c r="I221" i="1"/>
  <c r="K221" i="1" s="1"/>
  <c r="G69" i="1" s="1"/>
  <c r="G126" i="1"/>
  <c r="C81" i="1"/>
  <c r="A74" i="1"/>
  <c r="I14" i="1"/>
  <c r="F23" i="13"/>
  <c r="F25" i="13" s="1"/>
  <c r="E9" i="13" s="1"/>
  <c r="E12" i="13" s="1"/>
  <c r="E16" i="13" s="1"/>
  <c r="E9" i="12"/>
  <c r="E12" i="12" s="1"/>
  <c r="I122" i="1" l="1"/>
  <c r="J25" i="2" s="1"/>
  <c r="G76" i="15"/>
  <c r="I76" i="15" s="1"/>
  <c r="I68" i="15"/>
  <c r="J25" i="16"/>
  <c r="G105" i="1"/>
  <c r="I105" i="1" s="1"/>
  <c r="G136" i="1"/>
  <c r="I136" i="1" s="1"/>
  <c r="I137" i="1" s="1"/>
  <c r="I126" i="15"/>
  <c r="G142" i="15"/>
  <c r="G127" i="15"/>
  <c r="I123" i="15"/>
  <c r="J26" i="16" s="1"/>
  <c r="G124" i="15"/>
  <c r="G101" i="15"/>
  <c r="I74" i="15"/>
  <c r="G129" i="1"/>
  <c r="I129" i="1" s="1"/>
  <c r="G77" i="15"/>
  <c r="I69" i="15"/>
  <c r="G16" i="13"/>
  <c r="I16" i="1"/>
  <c r="G142" i="1"/>
  <c r="G127" i="1"/>
  <c r="I126" i="1"/>
  <c r="G101" i="1"/>
  <c r="I74" i="1"/>
  <c r="I82" i="1" s="1"/>
  <c r="I123" i="1"/>
  <c r="J26" i="2" s="1"/>
  <c r="G124" i="1"/>
  <c r="A75" i="1"/>
  <c r="C82" i="1"/>
  <c r="G77" i="1"/>
  <c r="I69" i="1"/>
  <c r="J18" i="2"/>
  <c r="G76" i="1"/>
  <c r="I76" i="1" s="1"/>
  <c r="I68" i="1"/>
  <c r="D168" i="1"/>
  <c r="D169" i="1"/>
  <c r="D170" i="1"/>
  <c r="I70" i="15" l="1"/>
  <c r="I84" i="15"/>
  <c r="I82" i="15"/>
  <c r="J19" i="16"/>
  <c r="J21" i="16" s="1"/>
  <c r="G128" i="15"/>
  <c r="I127" i="15"/>
  <c r="G132" i="15"/>
  <c r="I77" i="15"/>
  <c r="I78" i="15" s="1"/>
  <c r="F96" i="16" s="1"/>
  <c r="G125" i="15"/>
  <c r="I125" i="15" s="1"/>
  <c r="I124" i="15"/>
  <c r="G141" i="15"/>
  <c r="I141" i="15" s="1"/>
  <c r="I101" i="15"/>
  <c r="G149" i="15"/>
  <c r="I142" i="15"/>
  <c r="I84" i="1"/>
  <c r="G132" i="1"/>
  <c r="I77" i="1"/>
  <c r="I78" i="1" s="1"/>
  <c r="F96" i="2" s="1"/>
  <c r="J19" i="2"/>
  <c r="J21" i="2" s="1"/>
  <c r="G149" i="1"/>
  <c r="I142" i="1"/>
  <c r="I70" i="1"/>
  <c r="G128" i="1"/>
  <c r="I127" i="1"/>
  <c r="A76" i="1"/>
  <c r="C83" i="1"/>
  <c r="G141" i="1"/>
  <c r="I141" i="1" s="1"/>
  <c r="I101" i="1"/>
  <c r="I18" i="1"/>
  <c r="I17" i="1"/>
  <c r="I19" i="1" s="1"/>
  <c r="I124" i="1"/>
  <c r="G125" i="1"/>
  <c r="I125" i="1" s="1"/>
  <c r="I85" i="15" l="1"/>
  <c r="I86" i="15" s="1"/>
  <c r="G86" i="15" s="1"/>
  <c r="I132" i="15"/>
  <c r="G143" i="15"/>
  <c r="I143" i="15" s="1"/>
  <c r="J39" i="16" s="1"/>
  <c r="J40" i="16" s="1"/>
  <c r="L40" i="16" s="1"/>
  <c r="G150" i="15"/>
  <c r="I150" i="15" s="1"/>
  <c r="I149" i="15"/>
  <c r="J27" i="16"/>
  <c r="J29" i="16" s="1"/>
  <c r="J31" i="16" s="1"/>
  <c r="L31" i="16" s="1"/>
  <c r="G76" i="16" s="1"/>
  <c r="G131" i="15"/>
  <c r="I131" i="15" s="1"/>
  <c r="I128" i="15"/>
  <c r="G130" i="15"/>
  <c r="I130" i="15" s="1"/>
  <c r="G70" i="15"/>
  <c r="I85" i="1"/>
  <c r="I86" i="1" s="1"/>
  <c r="G86" i="1" s="1"/>
  <c r="G94" i="1" s="1"/>
  <c r="G70" i="1"/>
  <c r="J27" i="2"/>
  <c r="J29" i="2" s="1"/>
  <c r="J31" i="2" s="1"/>
  <c r="L31" i="2" s="1"/>
  <c r="G76" i="2" s="1"/>
  <c r="G131" i="1"/>
  <c r="I131" i="1" s="1"/>
  <c r="I128" i="1"/>
  <c r="G130" i="1"/>
  <c r="I130" i="1" s="1"/>
  <c r="A77" i="1"/>
  <c r="C84" i="1"/>
  <c r="G150" i="1"/>
  <c r="I150" i="1" s="1"/>
  <c r="I149" i="1"/>
  <c r="G143" i="1"/>
  <c r="I143" i="1" s="1"/>
  <c r="J39" i="2" s="1"/>
  <c r="J40" i="2" s="1"/>
  <c r="L40" i="2" s="1"/>
  <c r="I132" i="1"/>
  <c r="I138" i="15" l="1"/>
  <c r="I104" i="15" s="1"/>
  <c r="G152" i="15"/>
  <c r="G106" i="15"/>
  <c r="I106" i="15" s="1"/>
  <c r="H76" i="16"/>
  <c r="G77" i="16"/>
  <c r="G95" i="15"/>
  <c r="I95" i="15" s="1"/>
  <c r="G94" i="15"/>
  <c r="G168" i="15"/>
  <c r="E96" i="16"/>
  <c r="L76" i="16"/>
  <c r="I145" i="15"/>
  <c r="O76" i="16" s="1"/>
  <c r="O96" i="16" s="1"/>
  <c r="G168" i="1"/>
  <c r="I168" i="1" s="1"/>
  <c r="H28" i="3" s="1"/>
  <c r="H29" i="3" s="1"/>
  <c r="H30" i="3" s="1"/>
  <c r="G95" i="1"/>
  <c r="I95" i="1" s="1"/>
  <c r="I138" i="1"/>
  <c r="J24" i="2" s="1"/>
  <c r="J35" i="2" s="1"/>
  <c r="J36" i="2" s="1"/>
  <c r="I145" i="1"/>
  <c r="O76" i="2" s="1"/>
  <c r="O96" i="2" s="1"/>
  <c r="A78" i="1"/>
  <c r="A81" i="1" s="1"/>
  <c r="A82" i="1" s="1"/>
  <c r="A83" i="1" s="1"/>
  <c r="A84" i="1" s="1"/>
  <c r="A85" i="1" s="1"/>
  <c r="A86" i="1" s="1"/>
  <c r="A91" i="1" s="1"/>
  <c r="A92" i="1" s="1"/>
  <c r="A93" i="1" s="1"/>
  <c r="A94" i="1" s="1"/>
  <c r="A95" i="1" s="1"/>
  <c r="C85" i="1"/>
  <c r="G77" i="2"/>
  <c r="H76" i="2"/>
  <c r="E96" i="2"/>
  <c r="L76" i="2"/>
  <c r="F14" i="13"/>
  <c r="F16" i="13" s="1"/>
  <c r="H16" i="13" s="1"/>
  <c r="G152" i="1"/>
  <c r="F14" i="9"/>
  <c r="F16" i="9" s="1"/>
  <c r="H16" i="9" s="1"/>
  <c r="D94" i="15" s="1"/>
  <c r="G106" i="1"/>
  <c r="I106" i="1" s="1"/>
  <c r="J24" i="16" l="1"/>
  <c r="J35" i="16" s="1"/>
  <c r="J36" i="16" s="1"/>
  <c r="L36" i="16" s="1"/>
  <c r="G169" i="1"/>
  <c r="I169" i="1" s="1"/>
  <c r="I107" i="15"/>
  <c r="L96" i="16"/>
  <c r="G78" i="16"/>
  <c r="H77" i="16"/>
  <c r="D99" i="15"/>
  <c r="D109" i="15" s="1"/>
  <c r="D167" i="15" s="1"/>
  <c r="I94" i="15"/>
  <c r="I99" i="15" s="1"/>
  <c r="G169" i="15"/>
  <c r="I168" i="15"/>
  <c r="G155" i="15"/>
  <c r="I155" i="15" s="1"/>
  <c r="G154" i="15"/>
  <c r="I154" i="15" s="1"/>
  <c r="I152" i="15"/>
  <c r="D94" i="1"/>
  <c r="D99" i="1" s="1"/>
  <c r="D109" i="1" s="1"/>
  <c r="D167" i="1" s="1"/>
  <c r="I104" i="1"/>
  <c r="I107" i="1" s="1"/>
  <c r="L96" i="2"/>
  <c r="G155" i="1"/>
  <c r="I155" i="1" s="1"/>
  <c r="G154" i="1"/>
  <c r="I154" i="1" s="1"/>
  <c r="I152" i="1"/>
  <c r="G78" i="2"/>
  <c r="H77" i="2"/>
  <c r="L36" i="2"/>
  <c r="G170" i="1" l="1"/>
  <c r="I170" i="1" s="1"/>
  <c r="D174" i="1"/>
  <c r="C254" i="1" s="1"/>
  <c r="C255" i="1" s="1"/>
  <c r="D174" i="15"/>
  <c r="I109" i="15"/>
  <c r="I167" i="15" s="1"/>
  <c r="I156" i="15"/>
  <c r="J43" i="16" s="1"/>
  <c r="J44" i="16" s="1"/>
  <c r="L44" i="16" s="1"/>
  <c r="L46" i="16" s="1"/>
  <c r="I76" i="16" s="1"/>
  <c r="H78" i="16"/>
  <c r="G79" i="16"/>
  <c r="G170" i="15"/>
  <c r="I170" i="15" s="1"/>
  <c r="I169" i="15"/>
  <c r="I94" i="1"/>
  <c r="I99" i="1" s="1"/>
  <c r="I109" i="1" s="1"/>
  <c r="I167" i="1" s="1"/>
  <c r="I156" i="1"/>
  <c r="J43" i="2" s="1"/>
  <c r="J44" i="2" s="1"/>
  <c r="G79" i="2"/>
  <c r="H78" i="2"/>
  <c r="I174" i="1" l="1"/>
  <c r="J53" i="2" s="1"/>
  <c r="J54" i="2" s="1"/>
  <c r="L54" i="2" s="1"/>
  <c r="I174" i="15"/>
  <c r="I171" i="15"/>
  <c r="D171" i="15"/>
  <c r="D176" i="15" s="1"/>
  <c r="D189" i="15" s="1"/>
  <c r="J46" i="16"/>
  <c r="J53" i="16"/>
  <c r="J54" i="16" s="1"/>
  <c r="L54" i="16" s="1"/>
  <c r="G80" i="16"/>
  <c r="H79" i="16"/>
  <c r="I77" i="16"/>
  <c r="J76" i="16"/>
  <c r="K7" i="3"/>
  <c r="K39" i="3" s="1"/>
  <c r="H79" i="2"/>
  <c r="G80" i="2"/>
  <c r="L44" i="2"/>
  <c r="L46" i="2" s="1"/>
  <c r="I76" i="2" s="1"/>
  <c r="J46" i="2"/>
  <c r="K35" i="3"/>
  <c r="I254" i="1" l="1"/>
  <c r="I255" i="1" s="1"/>
  <c r="K76" i="16"/>
  <c r="J49" i="16"/>
  <c r="I176" i="15"/>
  <c r="I189" i="15" s="1"/>
  <c r="I11" i="15" s="1"/>
  <c r="I23" i="15" s="1"/>
  <c r="I27" i="15" s="1"/>
  <c r="J77" i="16"/>
  <c r="K77" i="16" s="1"/>
  <c r="P77" i="16" s="1"/>
  <c r="I78" i="16"/>
  <c r="G81" i="16"/>
  <c r="H80" i="16"/>
  <c r="K16" i="3"/>
  <c r="J27" i="3" s="1"/>
  <c r="J31" i="3" s="1"/>
  <c r="K31" i="3" s="1"/>
  <c r="K33" i="3" s="1"/>
  <c r="I171" i="1"/>
  <c r="J49" i="2" s="1"/>
  <c r="F255" i="1"/>
  <c r="D171" i="1" s="1"/>
  <c r="D176" i="1" s="1"/>
  <c r="D189" i="1" s="1"/>
  <c r="I77" i="2"/>
  <c r="J76" i="2"/>
  <c r="H80" i="2"/>
  <c r="G81" i="2"/>
  <c r="J50" i="16" l="1"/>
  <c r="L50" i="16" s="1"/>
  <c r="L56" i="16" s="1"/>
  <c r="M76" i="16" s="1"/>
  <c r="N76" i="16" s="1"/>
  <c r="N96" i="16" s="1"/>
  <c r="N97" i="16"/>
  <c r="G82" i="16"/>
  <c r="H81" i="16"/>
  <c r="I79" i="16"/>
  <c r="J78" i="16"/>
  <c r="K78" i="16" s="1"/>
  <c r="P78" i="16" s="1"/>
  <c r="S78" i="16" s="1"/>
  <c r="U78" i="16" s="1"/>
  <c r="W78" i="16" s="1"/>
  <c r="E27" i="3"/>
  <c r="E31" i="3" s="1"/>
  <c r="I176" i="1"/>
  <c r="I189" i="1" s="1"/>
  <c r="K36" i="3"/>
  <c r="K37" i="3" s="1"/>
  <c r="K38" i="3" s="1"/>
  <c r="K40" i="3" s="1"/>
  <c r="H81" i="2"/>
  <c r="G82" i="2"/>
  <c r="K76" i="2"/>
  <c r="I78" i="2"/>
  <c r="J77" i="2"/>
  <c r="K77" i="2" s="1"/>
  <c r="P77" i="2" s="1"/>
  <c r="N97" i="2"/>
  <c r="J50" i="2"/>
  <c r="L50" i="2" s="1"/>
  <c r="L56" i="2" s="1"/>
  <c r="M76" i="2" s="1"/>
  <c r="N76" i="2" s="1"/>
  <c r="N96" i="2" s="1"/>
  <c r="P76" i="16" l="1"/>
  <c r="H82" i="16"/>
  <c r="G83" i="16"/>
  <c r="R77" i="16"/>
  <c r="S77" i="16" s="1"/>
  <c r="U77" i="16" s="1"/>
  <c r="W77" i="16" s="1"/>
  <c r="R76" i="16"/>
  <c r="I80" i="16"/>
  <c r="J79" i="16"/>
  <c r="I11" i="1"/>
  <c r="I23" i="1" s="1"/>
  <c r="I27" i="1" s="1"/>
  <c r="I79" i="2"/>
  <c r="J78" i="2"/>
  <c r="K78" i="2" s="1"/>
  <c r="P78" i="2" s="1"/>
  <c r="S78" i="2" s="1"/>
  <c r="U78" i="2" s="1"/>
  <c r="P76" i="2"/>
  <c r="H82" i="2"/>
  <c r="G83" i="2"/>
  <c r="R77" i="2"/>
  <c r="S77" i="2" s="1"/>
  <c r="U77" i="2" s="1"/>
  <c r="R76" i="2"/>
  <c r="S76" i="16" l="1"/>
  <c r="T76" i="16" s="1"/>
  <c r="T96" i="16" s="1"/>
  <c r="G84" i="16"/>
  <c r="H83" i="16"/>
  <c r="I81" i="16"/>
  <c r="J80" i="16"/>
  <c r="K80" i="16" s="1"/>
  <c r="P80" i="16" s="1"/>
  <c r="S80" i="16" s="1"/>
  <c r="U80" i="16" s="1"/>
  <c r="W80" i="16" s="1"/>
  <c r="K79" i="16"/>
  <c r="R96" i="16"/>
  <c r="W77" i="2"/>
  <c r="W78" i="2"/>
  <c r="R96" i="2"/>
  <c r="H83" i="2"/>
  <c r="G84" i="2"/>
  <c r="S76" i="2"/>
  <c r="U76" i="2" s="1"/>
  <c r="I80" i="2"/>
  <c r="J79" i="2"/>
  <c r="U76" i="16" l="1"/>
  <c r="W76" i="16" s="1"/>
  <c r="J81" i="16"/>
  <c r="K81" i="16" s="1"/>
  <c r="P81" i="16" s="1"/>
  <c r="I82" i="16"/>
  <c r="P79" i="16"/>
  <c r="G85" i="16"/>
  <c r="H84" i="16"/>
  <c r="K79" i="2"/>
  <c r="J80" i="2"/>
  <c r="K80" i="2" s="1"/>
  <c r="P80" i="2" s="1"/>
  <c r="S80" i="2" s="1"/>
  <c r="U80" i="2" s="1"/>
  <c r="I81" i="2"/>
  <c r="H84" i="2"/>
  <c r="G85" i="2"/>
  <c r="S79" i="16" l="1"/>
  <c r="G86" i="16"/>
  <c r="H85" i="16"/>
  <c r="I83" i="16"/>
  <c r="J82" i="16"/>
  <c r="K82" i="16" s="1"/>
  <c r="W81" i="16"/>
  <c r="S81" i="16"/>
  <c r="U81" i="16" s="1"/>
  <c r="W80" i="2"/>
  <c r="W76" i="2"/>
  <c r="J81" i="2"/>
  <c r="K81" i="2" s="1"/>
  <c r="P81" i="2" s="1"/>
  <c r="I82" i="2"/>
  <c r="H85" i="2"/>
  <c r="G86" i="2"/>
  <c r="P79" i="2"/>
  <c r="G87" i="16" l="1"/>
  <c r="H86" i="16"/>
  <c r="J83" i="16"/>
  <c r="K83" i="16" s="1"/>
  <c r="P83" i="16" s="1"/>
  <c r="I84" i="16"/>
  <c r="P82" i="16"/>
  <c r="U79" i="16"/>
  <c r="W79" i="16" s="1"/>
  <c r="W81" i="2"/>
  <c r="S81" i="2"/>
  <c r="U81" i="2" s="1"/>
  <c r="H86" i="2"/>
  <c r="G87" i="2"/>
  <c r="S79" i="2"/>
  <c r="U79" i="2" s="1"/>
  <c r="J82" i="2"/>
  <c r="K82" i="2" s="1"/>
  <c r="P82" i="2" s="1"/>
  <c r="I83" i="2"/>
  <c r="I85" i="16" l="1"/>
  <c r="J84" i="16"/>
  <c r="K84" i="16" s="1"/>
  <c r="W83" i="16"/>
  <c r="S83" i="16"/>
  <c r="U83" i="16" s="1"/>
  <c r="S82" i="16"/>
  <c r="W82" i="16"/>
  <c r="G88" i="16"/>
  <c r="H87" i="16"/>
  <c r="H87" i="2"/>
  <c r="G88" i="2"/>
  <c r="W82" i="2"/>
  <c r="S82" i="2"/>
  <c r="U82" i="2" s="1"/>
  <c r="J83" i="2"/>
  <c r="K83" i="2" s="1"/>
  <c r="P83" i="2" s="1"/>
  <c r="I84" i="2"/>
  <c r="G89" i="16" l="1"/>
  <c r="H88" i="16"/>
  <c r="P84" i="16"/>
  <c r="U82" i="16"/>
  <c r="J85" i="16"/>
  <c r="K85" i="16" s="1"/>
  <c r="P85" i="16" s="1"/>
  <c r="I86" i="16"/>
  <c r="J84" i="2"/>
  <c r="K84" i="2" s="1"/>
  <c r="I85" i="2"/>
  <c r="H88" i="2"/>
  <c r="G89" i="2"/>
  <c r="W83" i="2"/>
  <c r="S83" i="2"/>
  <c r="U83" i="2" s="1"/>
  <c r="W79" i="2"/>
  <c r="I87" i="16" l="1"/>
  <c r="J86" i="16"/>
  <c r="K86" i="16" s="1"/>
  <c r="W85" i="16"/>
  <c r="S85" i="16"/>
  <c r="U85" i="16" s="1"/>
  <c r="W84" i="16"/>
  <c r="S84" i="16"/>
  <c r="H89" i="16"/>
  <c r="G90" i="16"/>
  <c r="J85" i="2"/>
  <c r="K85" i="2" s="1"/>
  <c r="P85" i="2" s="1"/>
  <c r="I86" i="2"/>
  <c r="H89" i="2"/>
  <c r="G90" i="2"/>
  <c r="P84" i="2"/>
  <c r="P86" i="16" l="1"/>
  <c r="U84" i="16"/>
  <c r="G91" i="16"/>
  <c r="H90" i="16"/>
  <c r="J87" i="16"/>
  <c r="K87" i="16" s="1"/>
  <c r="P87" i="16" s="1"/>
  <c r="I88" i="16"/>
  <c r="J86" i="2"/>
  <c r="K86" i="2" s="1"/>
  <c r="P86" i="2" s="1"/>
  <c r="I87" i="2"/>
  <c r="H90" i="2"/>
  <c r="G91" i="2"/>
  <c r="W84" i="2"/>
  <c r="S84" i="2"/>
  <c r="U84" i="2" s="1"/>
  <c r="W85" i="2"/>
  <c r="S85" i="2"/>
  <c r="U85" i="2" s="1"/>
  <c r="W87" i="16" l="1"/>
  <c r="S87" i="16"/>
  <c r="U87" i="16" s="1"/>
  <c r="I89" i="16"/>
  <c r="J88" i="16"/>
  <c r="K88" i="16" s="1"/>
  <c r="P88" i="16" s="1"/>
  <c r="G92" i="16"/>
  <c r="H91" i="16"/>
  <c r="W86" i="16"/>
  <c r="S86" i="16"/>
  <c r="J87" i="2"/>
  <c r="K87" i="2" s="1"/>
  <c r="P87" i="2" s="1"/>
  <c r="I88" i="2"/>
  <c r="W86" i="2"/>
  <c r="S86" i="2"/>
  <c r="U86" i="2" s="1"/>
  <c r="H91" i="2"/>
  <c r="G92" i="2"/>
  <c r="U86" i="16" l="1"/>
  <c r="W88" i="16"/>
  <c r="S88" i="16"/>
  <c r="U88" i="16" s="1"/>
  <c r="J89" i="16"/>
  <c r="K89" i="16" s="1"/>
  <c r="P89" i="16" s="1"/>
  <c r="I90" i="16"/>
  <c r="G93" i="16"/>
  <c r="H92" i="16"/>
  <c r="H92" i="2"/>
  <c r="G93" i="2"/>
  <c r="J88" i="2"/>
  <c r="K88" i="2" s="1"/>
  <c r="P88" i="2" s="1"/>
  <c r="I89" i="2"/>
  <c r="W87" i="2"/>
  <c r="S87" i="2"/>
  <c r="U87" i="2" s="1"/>
  <c r="G94" i="16" l="1"/>
  <c r="H94" i="16" s="1"/>
  <c r="H93" i="16"/>
  <c r="I91" i="16"/>
  <c r="J90" i="16"/>
  <c r="K90" i="16" s="1"/>
  <c r="P90" i="16" s="1"/>
  <c r="S89" i="16"/>
  <c r="U89" i="16" s="1"/>
  <c r="W89" i="16"/>
  <c r="W88" i="2"/>
  <c r="S88" i="2"/>
  <c r="U88" i="2" s="1"/>
  <c r="H93" i="2"/>
  <c r="G94" i="2"/>
  <c r="H94" i="2" s="1"/>
  <c r="J89" i="2"/>
  <c r="K89" i="2" s="1"/>
  <c r="P89" i="2" s="1"/>
  <c r="I90" i="2"/>
  <c r="J91" i="16" l="1"/>
  <c r="K91" i="16" s="1"/>
  <c r="P91" i="16" s="1"/>
  <c r="I92" i="16"/>
  <c r="W90" i="16"/>
  <c r="S90" i="16"/>
  <c r="U90" i="16" s="1"/>
  <c r="H96" i="16"/>
  <c r="H96" i="2"/>
  <c r="J90" i="2"/>
  <c r="K90" i="2" s="1"/>
  <c r="P90" i="2" s="1"/>
  <c r="I91" i="2"/>
  <c r="W89" i="2"/>
  <c r="S89" i="2"/>
  <c r="U89" i="2" s="1"/>
  <c r="I93" i="16" l="1"/>
  <c r="J92" i="16"/>
  <c r="K92" i="16" s="1"/>
  <c r="P92" i="16" s="1"/>
  <c r="S91" i="16"/>
  <c r="U91" i="16" s="1"/>
  <c r="W91" i="16"/>
  <c r="W90" i="2"/>
  <c r="S90" i="2"/>
  <c r="U90" i="2" s="1"/>
  <c r="J91" i="2"/>
  <c r="K91" i="2" s="1"/>
  <c r="P91" i="2" s="1"/>
  <c r="I92" i="2"/>
  <c r="W92" i="16" l="1"/>
  <c r="S92" i="16"/>
  <c r="U92" i="16" s="1"/>
  <c r="J93" i="16"/>
  <c r="K93" i="16" s="1"/>
  <c r="P93" i="16" s="1"/>
  <c r="I94" i="16"/>
  <c r="J94" i="16" s="1"/>
  <c r="J92" i="2"/>
  <c r="K92" i="2" s="1"/>
  <c r="P92" i="2" s="1"/>
  <c r="I93" i="2"/>
  <c r="W91" i="2"/>
  <c r="S91" i="2"/>
  <c r="U91" i="2" s="1"/>
  <c r="W93" i="16" l="1"/>
  <c r="S93" i="16"/>
  <c r="U93" i="16" s="1"/>
  <c r="J96" i="16"/>
  <c r="K94" i="16"/>
  <c r="J93" i="2"/>
  <c r="K93" i="2" s="1"/>
  <c r="P93" i="2" s="1"/>
  <c r="I94" i="2"/>
  <c r="J94" i="2" s="1"/>
  <c r="W92" i="2"/>
  <c r="S92" i="2"/>
  <c r="U92" i="2" s="1"/>
  <c r="P94" i="16" l="1"/>
  <c r="K96" i="16"/>
  <c r="J96" i="2"/>
  <c r="K94" i="2"/>
  <c r="W93" i="2"/>
  <c r="S93" i="2"/>
  <c r="U93" i="2" s="1"/>
  <c r="W94" i="16" l="1"/>
  <c r="W96" i="16" s="1"/>
  <c r="S94" i="16"/>
  <c r="P96" i="16"/>
  <c r="P98" i="16" s="1"/>
  <c r="P94" i="2"/>
  <c r="K96" i="2"/>
  <c r="U94" i="16" l="1"/>
  <c r="U96" i="16" s="1"/>
  <c r="S96" i="16"/>
  <c r="W94" i="2"/>
  <c r="W96" i="2" s="1"/>
  <c r="S94" i="2"/>
  <c r="U94" i="2" s="1"/>
  <c r="P96" i="2"/>
  <c r="P98" i="2" s="1"/>
  <c r="U96" i="2" l="1"/>
  <c r="S96" i="2"/>
</calcChain>
</file>

<file path=xl/sharedStrings.xml><?xml version="1.0" encoding="utf-8"?>
<sst xmlns="http://schemas.openxmlformats.org/spreadsheetml/2006/main" count="3033" uniqueCount="1186">
  <si>
    <t>Attachment O-GLH</t>
  </si>
  <si>
    <t>Page 1 of 5</t>
  </si>
  <si>
    <t xml:space="preserve">Formula Rate - Non-Levelized </t>
  </si>
  <si>
    <t>Rate Formula Template</t>
  </si>
  <si>
    <t>Utilizing FERC Form 1 Data</t>
  </si>
  <si>
    <t>GridLiance Heartland LLC</t>
  </si>
  <si>
    <t>(1)</t>
  </si>
  <si>
    <t>(2)</t>
  </si>
  <si>
    <t>(3)</t>
  </si>
  <si>
    <t xml:space="preserve"> </t>
  </si>
  <si>
    <t>(4)</t>
  </si>
  <si>
    <t>(5)</t>
  </si>
  <si>
    <t>Line</t>
  </si>
  <si>
    <t>Allocated</t>
  </si>
  <si>
    <t>No.</t>
  </si>
  <si>
    <t>Source</t>
  </si>
  <si>
    <t>Amount</t>
  </si>
  <si>
    <t>GROSS REVENUE REQUIREMENT</t>
  </si>
  <si>
    <t>(Page 3, Line 31)</t>
  </si>
  <si>
    <t xml:space="preserve">REVENUE CREDITS </t>
  </si>
  <si>
    <t>(Note S)</t>
  </si>
  <si>
    <t>Total</t>
  </si>
  <si>
    <t>Allocator</t>
  </si>
  <si>
    <t xml:space="preserve">  Account No. 454</t>
  </si>
  <si>
    <t>TP</t>
  </si>
  <si>
    <t xml:space="preserve">  Account No. 456.1</t>
  </si>
  <si>
    <t xml:space="preserve">  Revenues from Grandfathered Interzonal Transactions </t>
  </si>
  <si>
    <t>(Note R)</t>
  </si>
  <si>
    <t xml:space="preserve">  Revenues from service provided by the ISO at a discount</t>
  </si>
  <si>
    <t>MISO invoices</t>
  </si>
  <si>
    <t xml:space="preserve">TOTAL REVENUE CREDITS </t>
  </si>
  <si>
    <t>(Sum of Lines 2 through 5)</t>
  </si>
  <si>
    <t>6a</t>
  </si>
  <si>
    <t>Adjustment to make Line 6b equal to zero if there is no revenue requirement associated with Schedules 7, 8 &amp; 9</t>
  </si>
  <si>
    <t>6b</t>
  </si>
  <si>
    <t>NET REVENUE REQUIREMENT</t>
  </si>
  <si>
    <t>(Line 1 minus Lines 6 &amp; 6a)   (Note KK)</t>
  </si>
  <si>
    <t>6c</t>
  </si>
  <si>
    <t>Attachment O-GLH True-up Adjustment with Interest</t>
  </si>
  <si>
    <t>DA</t>
  </si>
  <si>
    <t>(Line 6b plus Line 6c)</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</si>
  <si>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</si>
  <si>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</si>
  <si>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</si>
  <si>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</si>
  <si>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</si>
  <si>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</si>
  <si>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</si>
  <si>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</si>
  <si>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</si>
  <si>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</si>
  <si>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</si>
  <si>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</si>
  <si>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</si>
  <si>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</si>
  <si>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</si>
  <si>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</si>
  <si>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</si>
  <si>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</si>
  <si>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</si>
  <si>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</si>
  <si>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</si>
  <si>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</si>
  <si>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</si>
  <si>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</si>
  <si>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</si>
  <si>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</si>
  <si>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</si>
  <si>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</si>
  <si>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</si>
  <si>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Charge($/MWh)</t>
  </si>
  <si>
    <t xml:space="preserve">          (Note E)</t>
  </si>
  <si>
    <t>Short Term</t>
  </si>
  <si>
    <t>Long Term</t>
  </si>
  <si>
    <t>Page 2 of 5</t>
  </si>
  <si>
    <t>Transmission</t>
  </si>
  <si>
    <t>Company Total</t>
  </si>
  <si>
    <t xml:space="preserve">                  Allocator (Note JJ)</t>
  </si>
  <si>
    <t>(Col 3 times Col 4)</t>
  </si>
  <si>
    <t>RATE BASE: (Notes Y &amp; BB)</t>
  </si>
  <si>
    <t>GROSS PLANT IN SERVICE</t>
  </si>
  <si>
    <t xml:space="preserve">  Production </t>
  </si>
  <si>
    <t>Attachment 4, Line 14, Col. (b)</t>
  </si>
  <si>
    <t>NA</t>
  </si>
  <si>
    <t xml:space="preserve">  Transmission</t>
  </si>
  <si>
    <t>Attachment 4, Line 14, Col. (c)</t>
  </si>
  <si>
    <t xml:space="preserve">  Distribution </t>
  </si>
  <si>
    <t>Attachment 4, Line 14, Col. (d)</t>
  </si>
  <si>
    <t xml:space="preserve">  General &amp; Intangible</t>
  </si>
  <si>
    <t>Attachment 4, Line 14, Col. (e)</t>
  </si>
  <si>
    <t>W/S</t>
  </si>
  <si>
    <t xml:space="preserve">  Common </t>
  </si>
  <si>
    <t>Attachment 4, Line 14, Col. (f)</t>
  </si>
  <si>
    <t>CE</t>
  </si>
  <si>
    <t>TOTAL GROSS PLANT</t>
  </si>
  <si>
    <t>(Sum of Lines 1 through 5)</t>
  </si>
  <si>
    <t>GP=</t>
  </si>
  <si>
    <t>ACCUMULATED DEPRECIATION</t>
  </si>
  <si>
    <t>Attachment 4, Line 14, Col. (k)</t>
  </si>
  <si>
    <t>Attachment 4, Line 14, Col. (l)</t>
  </si>
  <si>
    <t>Attachment 4, Line 14, Col. (m)</t>
  </si>
  <si>
    <t>Attachment 4, Line 14, Col. (n)</t>
  </si>
  <si>
    <t>Attachment 4, Line 14, Col. (o)</t>
  </si>
  <si>
    <t xml:space="preserve">TOTAL ACCUM. DEPRECIATION </t>
  </si>
  <si>
    <t>(Sum of Lines 7 through 11)</t>
  </si>
  <si>
    <t>NET PLANT IN SERVICE</t>
  </si>
  <si>
    <t>TOTAL NET PLANT</t>
  </si>
  <si>
    <t>(Sum of Lines 13 through 17)</t>
  </si>
  <si>
    <t>NP=</t>
  </si>
  <si>
    <t>18a</t>
  </si>
  <si>
    <t xml:space="preserve">  CWIP Approved by FERC Order</t>
  </si>
  <si>
    <t>Attachment 4, Line 14, Col. (g)   (Note LL)</t>
  </si>
  <si>
    <t xml:space="preserve">ADJUSTMENTS TO RATE BASE </t>
  </si>
  <si>
    <t xml:space="preserve">   Reserved</t>
  </si>
  <si>
    <t>zero</t>
  </si>
  <si>
    <t xml:space="preserve">   ADIT</t>
  </si>
  <si>
    <t>Attachment 8a or 8e, line 8, Col (e)</t>
  </si>
  <si>
    <t xml:space="preserve">  Account No. 255 (enter negative)</t>
  </si>
  <si>
    <t>Attachment 4, Line 28, Col. (h) (Note F)</t>
  </si>
  <si>
    <t>NP</t>
  </si>
  <si>
    <t>23a</t>
  </si>
  <si>
    <t xml:space="preserve">  Unamortized Regulatory Asset </t>
  </si>
  <si>
    <t>Attachment 4, Line 28, Col. (b) (Note GG)</t>
  </si>
  <si>
    <t>23b</t>
  </si>
  <si>
    <t xml:space="preserve">  Unamortized Abandoned Plant  </t>
  </si>
  <si>
    <t>Attachment 4, Line 28, Col. (c) (Notes X &amp; FF)</t>
  </si>
  <si>
    <t>23c</t>
  </si>
  <si>
    <t xml:space="preserve">  Unfunded Reserves (enter negative)</t>
  </si>
  <si>
    <r>
      <t>Attachment 4, Line 31</t>
    </r>
    <r>
      <rPr>
        <sz val="10"/>
        <rFont val="Times New Roman"/>
        <family val="1"/>
      </rPr>
      <t>, Col. h)</t>
    </r>
  </si>
  <si>
    <t xml:space="preserve">TOTAL ADJUSTMENTS </t>
  </si>
  <si>
    <t>(Sum of Lines 19 through 23c)</t>
  </si>
  <si>
    <t xml:space="preserve">LAND HELD FOR FUTURE USE </t>
  </si>
  <si>
    <t>Attachment 4, Line 14, Col. (h) (Note G)</t>
  </si>
  <si>
    <t xml:space="preserve">WORKING CAPITAL </t>
  </si>
  <si>
    <t>(Note H)</t>
  </si>
  <si>
    <t xml:space="preserve">  CWC </t>
  </si>
  <si>
    <t>1/8*(Page 3, Line 8 minus Page 3, Line 7b)</t>
  </si>
  <si>
    <t xml:space="preserve">  Materials &amp; Supplies</t>
  </si>
  <si>
    <t>Attachment 4, Line 14, Col. (i) (Note G)</t>
  </si>
  <si>
    <t xml:space="preserve">  Prepayments (Account 165)</t>
  </si>
  <si>
    <t>Attachment 4, Line 14, Col. (j)</t>
  </si>
  <si>
    <t>GP</t>
  </si>
  <si>
    <t xml:space="preserve">TOTAL WORKING CAPITAL  </t>
  </si>
  <si>
    <t>(Sum of Lines 26 through 28)</t>
  </si>
  <si>
    <t xml:space="preserve">RATE BASE </t>
  </si>
  <si>
    <t>(Sum of Lines 18, 18a, 24, 25 &amp; 29)</t>
  </si>
  <si>
    <t>Page 3 of 5</t>
  </si>
  <si>
    <t>O&amp;M</t>
  </si>
  <si>
    <t>(Note CC)</t>
  </si>
  <si>
    <t xml:space="preserve">  Transmission </t>
  </si>
  <si>
    <t>Attachment 5, Line 13, Col. (a)</t>
  </si>
  <si>
    <t>1a</t>
  </si>
  <si>
    <t xml:space="preserve">Attachment 5, Line 13, Col. (l) </t>
  </si>
  <si>
    <t>1b</t>
  </si>
  <si>
    <t xml:space="preserve">     Less Account 566</t>
  </si>
  <si>
    <t>Attachment 5, Line 13, Col. (b)</t>
  </si>
  <si>
    <t xml:space="preserve">     Less Account 565</t>
  </si>
  <si>
    <t>Attachment 5, Line 13, Col. (c)</t>
  </si>
  <si>
    <t xml:space="preserve">  A&amp;G</t>
  </si>
  <si>
    <t>Attachment 5, Line 13, Col. (d)</t>
  </si>
  <si>
    <t xml:space="preserve">     Less FERC Annual Fees</t>
  </si>
  <si>
    <t>Attachment 5, Line 13, Col. (e)</t>
  </si>
  <si>
    <t xml:space="preserve">     Less EPRI &amp; Reg. Comm. Exp. &amp; Non-safety Ad.  </t>
  </si>
  <si>
    <t>(Note I) Attachment 5, Line 13, Col. (f)</t>
  </si>
  <si>
    <t>5a</t>
  </si>
  <si>
    <t xml:space="preserve">     Plus Transmission Related Reg. Comm. Exp.  </t>
  </si>
  <si>
    <t>(Note I) Attachment 5, Line 13, Col. (g)</t>
  </si>
  <si>
    <t>5b</t>
  </si>
  <si>
    <t xml:space="preserve">     Less PBOP Expense in Year</t>
  </si>
  <si>
    <t>Attachment 7, Line 6</t>
  </si>
  <si>
    <t>5c</t>
  </si>
  <si>
    <t xml:space="preserve">     Plus PBOP Expense Allowed Amount</t>
  </si>
  <si>
    <t>Attachment 7, Line 8</t>
  </si>
  <si>
    <t>356.1</t>
  </si>
  <si>
    <t xml:space="preserve">  Transmission Lease Payments</t>
  </si>
  <si>
    <t>Attachment 5, Line 13, Col (h)</t>
  </si>
  <si>
    <t>7a</t>
  </si>
  <si>
    <t>Account 566</t>
  </si>
  <si>
    <t>7b</t>
  </si>
  <si>
    <t xml:space="preserve">   Amortization of Regulatory Asset</t>
  </si>
  <si>
    <t>(Note GG) Attachment 5, Line 13, Col. (i)</t>
  </si>
  <si>
    <t>7c</t>
  </si>
  <si>
    <t xml:space="preserve">   Miscellaneous Transmission Expense (less Amortization of Regulatory Asset)</t>
  </si>
  <si>
    <t>Attachment 5, Line 13, Col .(j)</t>
  </si>
  <si>
    <t>7d</t>
  </si>
  <si>
    <t>Total Account 566</t>
  </si>
  <si>
    <t>(Line 7b plus Line 7c) Ties to 321.97.b</t>
  </si>
  <si>
    <t>TOTAL O&amp;M</t>
  </si>
  <si>
    <t>(Sum of Lines 1, 3, 5a, 5c, 6, 7, &amp; 7d less Lines 1a, 1b, 2, 4, 5, &amp; 5b)</t>
  </si>
  <si>
    <t>DEPRECIATION EXPENSE</t>
  </si>
  <si>
    <t>(Note BB)</t>
  </si>
  <si>
    <t>Attachment 5, Line 13, Col. (k)</t>
  </si>
  <si>
    <t>Attachment 5, Line 26, Col. (a)</t>
  </si>
  <si>
    <t>Attachment 5, Line 26, Col (l)</t>
  </si>
  <si>
    <t>11a</t>
  </si>
  <si>
    <t xml:space="preserve">  Amortization of Abandoned Plant</t>
  </si>
  <si>
    <t>(Notes X &amp; FF) Attachment 5, Line 26, Col. (b)</t>
  </si>
  <si>
    <t xml:space="preserve">TOTAL DEPRECIATION </t>
  </si>
  <si>
    <t>(Sum of Lines 9 through 11a)</t>
  </si>
  <si>
    <t xml:space="preserve">TAXES OTHER THAN INCOME TAXES </t>
  </si>
  <si>
    <t>(Note J)</t>
  </si>
  <si>
    <t xml:space="preserve">  LABOR RELATED</t>
  </si>
  <si>
    <t xml:space="preserve">          Payroll</t>
  </si>
  <si>
    <t>Attachment 5, Line 26, Col. (c)</t>
  </si>
  <si>
    <t xml:space="preserve">          Highway and vehicle</t>
  </si>
  <si>
    <t>Attachment 5, Line 26, Col. (d)</t>
  </si>
  <si>
    <t xml:space="preserve">  PLANT RELATED</t>
  </si>
  <si>
    <t xml:space="preserve">         Property</t>
  </si>
  <si>
    <t>Attachment 5, Line 26, Col. (e)</t>
  </si>
  <si>
    <t xml:space="preserve">         Gross Receipts</t>
  </si>
  <si>
    <t>Attachment 5, Line 26, Col. (f)</t>
  </si>
  <si>
    <t xml:space="preserve">         Other</t>
  </si>
  <si>
    <t>Attachment 5, Line 26, Col. (g)</t>
  </si>
  <si>
    <t xml:space="preserve">         Payments in lieu of taxes</t>
  </si>
  <si>
    <t>Attachment 5, Line 26, Col. (h)</t>
  </si>
  <si>
    <t>TOTAL OTHER TAXES</t>
  </si>
  <si>
    <t>(Sum of Lines 13 through 19)</t>
  </si>
  <si>
    <t xml:space="preserve">INCOME TAXES          </t>
  </si>
  <si>
    <t xml:space="preserve">     CIT=(T/1-T) * (1-(WCLTD/R)) =</t>
  </si>
  <si>
    <t xml:space="preserve">     FIT,  SIT &amp; p </t>
  </si>
  <si>
    <t>(Note K)</t>
  </si>
  <si>
    <t>1 / (1 - T) (T from Line 21)</t>
  </si>
  <si>
    <t>Amortized Investment Tax Credit</t>
  </si>
  <si>
    <t>(enter negative) Attachment 5, Line 26, Col. (i)</t>
  </si>
  <si>
    <t>24a</t>
  </si>
  <si>
    <t xml:space="preserve">Excess Deferred Income Taxes </t>
  </si>
  <si>
    <t>(enter negative) Attachment 5, Line 26, Col. (j)</t>
  </si>
  <si>
    <t>24b</t>
  </si>
  <si>
    <t>Tax Effect of Permanent Differences</t>
  </si>
  <si>
    <t>Attachment 5, Line 26, Col. (k)  (Note II)</t>
  </si>
  <si>
    <t xml:space="preserve">Income Tax Calculation </t>
  </si>
  <si>
    <t xml:space="preserve">ITC adjustment </t>
  </si>
  <si>
    <t>(Line 23 times Line 24)</t>
  </si>
  <si>
    <t>26a</t>
  </si>
  <si>
    <t xml:space="preserve">Excess Deferred Income Tax Adjustment </t>
  </si>
  <si>
    <t>(Line 23 times Line 24a)</t>
  </si>
  <si>
    <t>26b</t>
  </si>
  <si>
    <t>Permanent Differences Tax Adjustment</t>
  </si>
  <si>
    <t>(Line 23 times Line 24b)</t>
  </si>
  <si>
    <t xml:space="preserve">Total Income Taxes </t>
  </si>
  <si>
    <t>(Sum of Lines 25 through 26b)</t>
  </si>
  <si>
    <t xml:space="preserve">RETURN </t>
  </si>
  <si>
    <t>Rate Base times Return</t>
  </si>
  <si>
    <t>(Page 2, Line 30 times Page 4, Line 30, Col. (5))</t>
  </si>
  <si>
    <t>REV. REQUIREMENT</t>
  </si>
  <si>
    <t>(Sum of Lines 8, 12, 20, 27 &amp; 28)</t>
  </si>
  <si>
    <t>LESS ATTACHMENT GG ADJUSTMENT [Attachment GG-GLH, Page 2, Line 17, Column 14]   (Note V)</t>
  </si>
  <si>
    <t>[Revenue Requirement for facilities included on Page 2, Lines 2, 18a, 23a, &amp; 23b and</t>
  </si>
  <si>
    <t>also included in Attachment GG]</t>
  </si>
  <si>
    <t>30a</t>
  </si>
  <si>
    <t>LESS ATTACHMENT MM ADJUSTMENT [Attachment MM-GLH, Page 2, Line 17, Column 14]   (Note Z)</t>
  </si>
  <si>
    <t>also included in Attachment MM]</t>
  </si>
  <si>
    <t>30b</t>
  </si>
  <si>
    <t xml:space="preserve">PLUS Incentives on Attachment 1 for projects other than those included in </t>
  </si>
  <si>
    <t>Attachment 1, line 18</t>
  </si>
  <si>
    <t>Attachment MM-GLH and  Attachment GG-GLH.</t>
  </si>
  <si>
    <t xml:space="preserve">REV. REQUIREMENT TO BE COLLECTED UNDER ATTACHMENT O </t>
  </si>
  <si>
    <t>(Line 29 - Line 30 - Line 30a + Line 30b)</t>
  </si>
  <si>
    <t>Page 4 of 5</t>
  </si>
  <si>
    <t xml:space="preserve">                SUPPORTING CALCULATIONS AND NOTES</t>
  </si>
  <si>
    <t>TRANSMISSION PLANT INCLUDED IN ISO RATES</t>
  </si>
  <si>
    <t xml:space="preserve">Total Transmission plant  </t>
  </si>
  <si>
    <t>(Page 2, Line 2, Column 3)</t>
  </si>
  <si>
    <t xml:space="preserve">Less Transmission plant excluded from ISO rates  </t>
  </si>
  <si>
    <t>(Note L)</t>
  </si>
  <si>
    <t xml:space="preserve">Less Transmission plant included in OATT Ancillary Services  </t>
  </si>
  <si>
    <t>(Note M)</t>
  </si>
  <si>
    <t>Transmission plant included in ISO rates</t>
  </si>
  <si>
    <t>(Line 1 minus Lines 2 &amp; 3)</t>
  </si>
  <si>
    <t xml:space="preserve">Percentage of Transmission plant included in ISO Rates  </t>
  </si>
  <si>
    <t xml:space="preserve">(Line 4 divided by Line 1) </t>
  </si>
  <si>
    <t>TP=</t>
  </si>
  <si>
    <t xml:space="preserve"> 6 - 11 </t>
  </si>
  <si>
    <t>WAGES &amp; SALARY ALLOCATOR  (W&amp;S)</t>
  </si>
  <si>
    <t>Form 1 Reference</t>
  </si>
  <si>
    <t>$</t>
  </si>
  <si>
    <t>Allocation</t>
  </si>
  <si>
    <t>354.20.b</t>
  </si>
  <si>
    <t xml:space="preserve">  Transmission  (Note MM)</t>
  </si>
  <si>
    <t>354.21.b</t>
  </si>
  <si>
    <t>354.23.b</t>
  </si>
  <si>
    <t xml:space="preserve">  Other</t>
  </si>
  <si>
    <t>354.24,25,26.b</t>
  </si>
  <si>
    <t>($ / Allocation)</t>
  </si>
  <si>
    <t>=</t>
  </si>
  <si>
    <t xml:space="preserve">WS </t>
  </si>
  <si>
    <t xml:space="preserve">COMMON PLANT ALLOCATOR  (CE)  (Notes N and DD) </t>
  </si>
  <si>
    <t>% Electric</t>
  </si>
  <si>
    <t>W&amp;S Allocator</t>
  </si>
  <si>
    <t xml:space="preserve">  Electric </t>
  </si>
  <si>
    <t>200.3.c</t>
  </si>
  <si>
    <t>(Line 17 / Line 20)</t>
  </si>
  <si>
    <t>(Line 16)</t>
  </si>
  <si>
    <t xml:space="preserve">  Gas</t>
  </si>
  <si>
    <t>200.3.d</t>
  </si>
  <si>
    <t>*</t>
  </si>
  <si>
    <t xml:space="preserve">  Water </t>
  </si>
  <si>
    <t>200.3.e</t>
  </si>
  <si>
    <t xml:space="preserve">  Total</t>
  </si>
  <si>
    <t>(Sum of Lines 17 through 19)</t>
  </si>
  <si>
    <t xml:space="preserve"> 21 - 26 </t>
  </si>
  <si>
    <t>RETURN (R)</t>
  </si>
  <si>
    <t>Cost</t>
  </si>
  <si>
    <t>%</t>
  </si>
  <si>
    <t>Weighted</t>
  </si>
  <si>
    <t xml:space="preserve">  Long Term Debt </t>
  </si>
  <si>
    <t>(Note Y, EE) Attachment 5, Line 34</t>
  </si>
  <si>
    <t>=WCLTD</t>
  </si>
  <si>
    <t xml:space="preserve">  Preferred Stock </t>
  </si>
  <si>
    <t>(Note Y, EE)  Attachment 5, Line 35</t>
  </si>
  <si>
    <t xml:space="preserve">  Common Stock</t>
  </si>
  <si>
    <t>(Notes O, Y and EE)  Attachment 5, Line 36</t>
  </si>
  <si>
    <t xml:space="preserve">Total </t>
  </si>
  <si>
    <t>(Sum of Lines 27 through 29)</t>
  </si>
  <si>
    <t>=R</t>
  </si>
  <si>
    <t>REVENUE CREDITS</t>
  </si>
  <si>
    <t>Load</t>
  </si>
  <si>
    <t>ACCOUNT 447 (SALES FOR RESALE)</t>
  </si>
  <si>
    <t>310 -311</t>
  </si>
  <si>
    <t xml:space="preserve">a. Bundled Non-RQ Sales for Resale </t>
  </si>
  <si>
    <t>311.x.h</t>
  </si>
  <si>
    <t>b. Bundled Sales for Resale  included in Divisor on Page 1</t>
  </si>
  <si>
    <t xml:space="preserve">  Total of (a)-(b)</t>
  </si>
  <si>
    <t>(Note P)</t>
  </si>
  <si>
    <t xml:space="preserve">ACCOUNT 454 (RENT FROM ELECTRIC PROPERTY) </t>
  </si>
  <si>
    <t xml:space="preserve">(Note Q) </t>
  </si>
  <si>
    <t>330.x.n (Note T)</t>
  </si>
  <si>
    <t xml:space="preserve">a. Transmission charges for all transmission transactions </t>
  </si>
  <si>
    <t>b. Transmission charges for all transmission transactions included in Divisor on Page 1</t>
  </si>
  <si>
    <t>36a</t>
  </si>
  <si>
    <t xml:space="preserve">c. Transmission charges from Schedules associated with Attachment GG </t>
  </si>
  <si>
    <t>(Note W)</t>
  </si>
  <si>
    <t>36b</t>
  </si>
  <si>
    <t>d. Transmission charges from Schedules associated with Attachment MM</t>
  </si>
  <si>
    <t>(Note AA)</t>
  </si>
  <si>
    <t xml:space="preserve">  Total of (a)-(b)-(c)-(d)</t>
  </si>
  <si>
    <t>(a)</t>
  </si>
  <si>
    <t>(b)</t>
  </si>
  <si>
    <t>(c)</t>
  </si>
  <si>
    <t>(d)</t>
  </si>
  <si>
    <t>Income Taxes</t>
  </si>
  <si>
    <t>% Ownership that has Actual or Potential Income Tax Liability</t>
  </si>
  <si>
    <t>Total Income Taxes</t>
  </si>
  <si>
    <t>Ownership (input in Col. (b) the % ownership with Income Tax Liability)</t>
  </si>
  <si>
    <t>N/A</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</si>
  <si>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</si>
  <si>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</si>
  <si>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</si>
  <si>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</si>
  <si>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</si>
  <si>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</si>
  <si>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</si>
  <si>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</si>
  <si>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 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</si>
  <si>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</si>
  <si>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</si>
  <si>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</si>
  <si>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</si>
  <si>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formula rate. </t>
  </si>
  <si>
    <t>F</t>
  </si>
  <si>
    <t xml:space="preserve">The balances in Accounts 190, 281, 282 and 283, as adjusted by any amounts in contra accounts identified as regulatory assets or liabilities related to FASB 106 or 109.  Balance of Account 255 is reduced by prior flow through and excluded if the utility chose to utilize amortization of tax credits against taxable income.  Account 281 is not allocated.  </t>
  </si>
  <si>
    <t>G</t>
  </si>
  <si>
    <t>Identified in Form 1 as being only transmission related.</t>
  </si>
  <si>
    <t>H</t>
  </si>
  <si>
    <t>Cash Working Capital assigned to transmission is one-eighth of O&amp;M allocated to transmission at Page 3, Line 8, Column 5 less Page 3, Line 7a.    Prepayments are the electric related prepayments booked to Account No. 165 and reported on Page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</si>
  <si>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</si>
  <si>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</si>
  <si>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</si>
  <si>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</si>
  <si>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</si>
  <si>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</si>
  <si>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</si>
  <si>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 xml:space="preserve">  (Federal Income Tax Rate)</t>
  </si>
  <si>
    <t>SIT=</t>
  </si>
  <si>
    <t xml:space="preserve">  (State Income Tax Rate or Composite SIT)</t>
  </si>
  <si>
    <t>p =</t>
  </si>
  <si>
    <t xml:space="preserve">  (percent of federal income tax deductible for state purposes)</t>
  </si>
  <si>
    <t>L</t>
  </si>
  <si>
    <t>M</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</si>
  <si>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</si>
  <si>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</si>
  <si>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Enter dollar amounts</t>
  </si>
  <si>
    <t>O</t>
  </si>
  <si>
    <t>P</t>
  </si>
  <si>
    <t>Page 4, Line 33 must equal zero since all short-term power sales must be unbundled and the transmission component reflected in Account No. 456.1.</t>
  </si>
  <si>
    <t>Q</t>
  </si>
  <si>
    <t>R</t>
  </si>
  <si>
    <t>S</t>
  </si>
  <si>
    <t>T</t>
  </si>
  <si>
    <t>U</t>
  </si>
  <si>
    <t>V</t>
  </si>
  <si>
    <r>
      <t>Pursuant to Attachment GG of the MISO Tariff, removes dollar amount of the revenue requirements calculated pursuant to Attachment GG</t>
    </r>
    <r>
      <rPr>
        <sz val="10"/>
        <color rgb="FFFF0000"/>
        <rFont val="Times New Roman"/>
        <family val="1"/>
      </rPr>
      <t>.</t>
    </r>
  </si>
  <si>
    <t>W</t>
  </si>
  <si>
    <t>Removes from revenue credits revenue that are distributed pursuant to Schedules associated with Attachment GG of the MISO Tariff, since the Transmission Owner's Attachment O revenue requirements have already been reduced by the Attachment GG revenue requirements.</t>
  </si>
  <si>
    <t>X</t>
  </si>
  <si>
    <t>Page 2 Line 23b includes any unamortized balances related to the recovery of abandoned plant costs approved by FERC under a separate docket.  Page 3, Line 11a includes the Amortization expense of abandonment costs.  These are shown in the workpapers required pursuant to the Annual Rate Calculation and True-up Procedures.</t>
  </si>
  <si>
    <t>Y</t>
  </si>
  <si>
    <t>Z</t>
  </si>
  <si>
    <t>Pursuant to Attachment MM of the MISO Tariff, removes dollar amount of the revenue requirements calculated pursuant to Attachment MM.</t>
  </si>
  <si>
    <t>AA</t>
  </si>
  <si>
    <t>Removes from revenue credits revenues that are distributed pursuant to Schedules associated with Attachment MM of the MISO Tariff, since the  Transmission Owner's Attachment O revenue requirements have already been reduced by the Attachment MM revenue requirements.</t>
  </si>
  <si>
    <t>BB</t>
  </si>
  <si>
    <t>Plant in Service, Accumulated Depreciation, and Depreciation Expense amounts exclude Asset Retirement Obligation amounts unless authorized by FERC.</t>
  </si>
  <si>
    <t>CC</t>
  </si>
  <si>
    <t>Schedule 10-FERC charges should not be included in O&amp;M recovered under this Attachment O.</t>
  </si>
  <si>
    <t>DD</t>
  </si>
  <si>
    <t>Calculate using a simple average of beginning of year and end of year balances reconciling to FERC Form No. 1 by Page, Line and Column as shown in Column 2.</t>
  </si>
  <si>
    <t>EE</t>
  </si>
  <si>
    <t>Prior to obtaining long term debt, the cost of debt will be the average 3-month LIBOR for the year plus 2.0%.  LIBOR refers to the London Inter Bank Offer Rate from the Federal Reserve Bank of St. Louis's https://fred.stlouisfed.org/. The capital structure and cost of debt will be the weighted for the year if the long term debt is obtained midyear.   However, if prior to obtaining long term debt, the company has short term debt, the cost of debt will be calculated pursuant to Attachment 5, note D.  The capital structure will be 60% equity and 40% debt until any asset is placed in service, then it will be based on the actual capital structure, provided that during any period where the equity component of the actual capital structure is greater than 60%, company will reduce the equity component to a level not to exceed 60%. If the capital structure is reduced to 60% equity, the reduced ATRR as a result of capping the equity portion of GridLiance’s capital structure at 60%, and the difference between these two values shall be provided by the company in its Annual True-up. The amount of debt in the capital structure will be equal to 1 minus the equity percentage.</t>
  </si>
  <si>
    <t>FF</t>
  </si>
  <si>
    <t>Unamortized Abandoned Plant and Amortization of Abandoned Plant will be zero until the Commission accepts or approves recovery of the cost of abandoned plant.  Utility must submit a Section 205 filing to recover the cost of abandoned plant.</t>
  </si>
  <si>
    <t>GG</t>
  </si>
  <si>
    <t xml:space="preserve">Recovery of regulatory asset permitted only for pre-commercial and formation expenses and are subject to FERC approval before any Regulatory Asset amounts are included in rates.  Recovery of any other regulatory assets requires authorization from the Commission. A carrying charge equal to the AFUDC rate will be applied to the regulatory asset prior to the rate year when costs are first recovered. </t>
  </si>
  <si>
    <t>HH</t>
  </si>
  <si>
    <t>Reserved</t>
  </si>
  <si>
    <t>II</t>
  </si>
  <si>
    <t>The Tax Effect of Permanent Differences captures the differences in the income taxes due under the Federal and State calculations and the income taxes calculated in Attachment O-GLH that are not the result of a timing difference.</t>
  </si>
  <si>
    <t>JJ</t>
  </si>
  <si>
    <t xml:space="preserve">DA in the allocator Column means that the cost is directly assigned to transmission consistent with the attached workpapers. </t>
  </si>
  <si>
    <t>KK</t>
  </si>
  <si>
    <t xml:space="preserve">Round to zero if amount shown is not zero and there is no revenue requirement to recover under Schedules 7, 8, and 9 of the MISO OATT.  </t>
  </si>
  <si>
    <t>LL</t>
  </si>
  <si>
    <t>AFUDC ceases when CWIP is recovered in rate base.  No CWIP will be included in rate base on line 18a absent FERC authorization.</t>
  </si>
  <si>
    <t>MM</t>
  </si>
  <si>
    <t xml:space="preserve">It is possible GLH will not have any salaries and wages to report in the FERC Form No. 1 (that is page 4, lines 12-15 are zero), even if GLH has existing transmission assets in service.  If and when this occurs page 4, line 13, column 3 will be input as 1. </t>
  </si>
  <si>
    <t>Attachment 1 (Note J)</t>
  </si>
  <si>
    <t>Page 1 of 3</t>
  </si>
  <si>
    <t>Project Revenue Requirement Worksheet</t>
  </si>
  <si>
    <t>To be completed in conjunction with Attachment O - GLH.</t>
  </si>
  <si>
    <t>(inputs from Attachment O - GLH are rounded to whole dollars)</t>
  </si>
  <si>
    <t>Page, Line, Col.</t>
  </si>
  <si>
    <t>Gross Transmission Plant - Total</t>
  </si>
  <si>
    <t>Attach O, p 2, line 2 col 5 (Note A)</t>
  </si>
  <si>
    <t>Transmission Accumulated Depreciation</t>
  </si>
  <si>
    <t>Attach O, p 2, line 8 col 5</t>
  </si>
  <si>
    <t>CWIP, Regulatory Asset, Abandoned Plant</t>
  </si>
  <si>
    <t>Attach O, p 2, lines 18a, 23a  &amp; 23b (Note B)</t>
  </si>
  <si>
    <t>Net Transmission Plant - Total</t>
  </si>
  <si>
    <t>Line 1 minus Line 1a plus Line 1b</t>
  </si>
  <si>
    <t>O&amp;M TRANSMISSION EXPENSE</t>
  </si>
  <si>
    <t>Total O&amp;M Allocated to Transmission</t>
  </si>
  <si>
    <t>Attach O, p 3, line 8 col 5</t>
  </si>
  <si>
    <t>3a</t>
  </si>
  <si>
    <t>Transmission O&amp;M</t>
  </si>
  <si>
    <t>Attach O, p 3, line 1 col 5</t>
  </si>
  <si>
    <t>3b</t>
  </si>
  <si>
    <t>3c</t>
  </si>
  <si>
    <t>Less: Account 565 included in above, if any</t>
  </si>
  <si>
    <t>Attach O, p 3, line 2 col 5, if any</t>
  </si>
  <si>
    <t>3d</t>
  </si>
  <si>
    <t>Less: Account 566 Amort of Reg Asset included in 3a, if any</t>
  </si>
  <si>
    <t>Attach O, p 3, line 7b col 5, if any</t>
  </si>
  <si>
    <t>3e</t>
  </si>
  <si>
    <t>Adjusted Transmission O&amp;M</t>
  </si>
  <si>
    <t>Line 3a minus Lines 3b thru 3d</t>
  </si>
  <si>
    <t>Annual Allocation Factor for Transmission O&amp;M</t>
  </si>
  <si>
    <t>(Line 3e divided by line 1, col 3)</t>
  </si>
  <si>
    <t>OTHER O&amp;M EXPENSE</t>
  </si>
  <si>
    <t>4a</t>
  </si>
  <si>
    <t>Other O&amp;M Allocated to Transmission</t>
  </si>
  <si>
    <t>Line 3 minus Line 3e</t>
  </si>
  <si>
    <t>4b</t>
  </si>
  <si>
    <t>Annual Allocation Factor for Other O&amp;M</t>
  </si>
  <si>
    <t>Line 4a divided by Line 1, col 3</t>
  </si>
  <si>
    <t>GENERAL, INTANGIBLE AND COMMON (G, I &amp; C) DEPRECIATION EXPENSE</t>
  </si>
  <si>
    <t>5</t>
  </si>
  <si>
    <t>Total G, I &amp; C Depreciation Expense</t>
  </si>
  <si>
    <t>Attach O, p 3, lines 10 &amp; 11, col 5 (Note G)</t>
  </si>
  <si>
    <t>6</t>
  </si>
  <si>
    <t>Annual Allocation Factor for G, I &amp; C Depreciation Expense</t>
  </si>
  <si>
    <t>(line 5 divided by line 1 col 3)</t>
  </si>
  <si>
    <t>TAXES OTHER THAN INCOME TAXES</t>
  </si>
  <si>
    <t>7</t>
  </si>
  <si>
    <t>Total Other Taxes</t>
  </si>
  <si>
    <t>Attach O, p 3, line 20 col 5</t>
  </si>
  <si>
    <t>8</t>
  </si>
  <si>
    <t>Annual Allocation Factor for Other Taxes</t>
  </si>
  <si>
    <t>(line 7 divided by line 1 col 3)</t>
  </si>
  <si>
    <t>9</t>
  </si>
  <si>
    <t>Annual Allocation Factor for Other Expense</t>
  </si>
  <si>
    <t>Sum of line 4b, 6, and 8</t>
  </si>
  <si>
    <t>INCOME TAXES</t>
  </si>
  <si>
    <t>10</t>
  </si>
  <si>
    <t>Attach O, p 3, line 27 col 5</t>
  </si>
  <si>
    <t>11</t>
  </si>
  <si>
    <t>Annual Allocation Factor for Income Taxes</t>
  </si>
  <si>
    <t>(line 10 divided by line 2 col 3)</t>
  </si>
  <si>
    <t>12</t>
  </si>
  <si>
    <t>Return on Rate Base</t>
  </si>
  <si>
    <t>Attach O, p 3, line 28 col 5</t>
  </si>
  <si>
    <t>13</t>
  </si>
  <si>
    <t>Annual Allocation Factor for Return on Rate Base</t>
  </si>
  <si>
    <t>(line 12 divided by line 2 col 3)</t>
  </si>
  <si>
    <t>14</t>
  </si>
  <si>
    <t>Annual Allocation Factor for Return</t>
  </si>
  <si>
    <t>Sum of line 11 and 13 col 4</t>
  </si>
  <si>
    <t>Page 2 of 3</t>
  </si>
  <si>
    <t>Page 3 of 3</t>
  </si>
  <si>
    <t>(14)</t>
  </si>
  <si>
    <t>(15)</t>
  </si>
  <si>
    <t>(16)</t>
  </si>
  <si>
    <t xml:space="preserve"> (16a)</t>
  </si>
  <si>
    <t>(17)</t>
  </si>
  <si>
    <t>(18)</t>
  </si>
  <si>
    <t>(19)</t>
  </si>
  <si>
    <t>(20)</t>
  </si>
  <si>
    <t>Line No.</t>
  </si>
  <si>
    <t xml:space="preserve">Project Name </t>
  </si>
  <si>
    <t>MTEP # or Other Designation</t>
  </si>
  <si>
    <t xml:space="preserve">Project Gross Plant </t>
  </si>
  <si>
    <t>Project Accumulated Depreciation/Amortization</t>
  </si>
  <si>
    <t>Transmission O&amp;M Annual Allocation Factor</t>
  </si>
  <si>
    <t>Annual Allocation for Transmission O&amp;M Expense</t>
  </si>
  <si>
    <t>Annual Allocation for Other Expense</t>
  </si>
  <si>
    <t>Annual Expense Charge</t>
  </si>
  <si>
    <t xml:space="preserve">Project Net Plant </t>
  </si>
  <si>
    <t>Annual Return Charge</t>
  </si>
  <si>
    <t>Project Depreciation/Amortization Expense</t>
  </si>
  <si>
    <t>Annual Revenue Requirement</t>
  </si>
  <si>
    <t>Incentive Return in basis Points</t>
  </si>
  <si>
    <t>Incentive Return</t>
  </si>
  <si>
    <t>Ceiling Rate</t>
  </si>
  <si>
    <t>Competitive Bid Concession</t>
  </si>
  <si>
    <t>Total Annual Revenue Requirement</t>
  </si>
  <si>
    <t>True-Up Adjustment</t>
  </si>
  <si>
    <t>Net Revenue Requirement</t>
  </si>
  <si>
    <t>Page 1 line 4</t>
  </si>
  <si>
    <t>Col. 3 * Col. 5</t>
  </si>
  <si>
    <t>Page 1 line 9</t>
  </si>
  <si>
    <t>Col. 3 * Col. 7</t>
  </si>
  <si>
    <t>Col. 6 + Col. 8)</t>
  </si>
  <si>
    <t>(Col. 10 * Col. 11)</t>
  </si>
  <si>
    <t>(Note E)</t>
  </si>
  <si>
    <t>(Sum Col. 9, 12 &amp; 13)</t>
  </si>
  <si>
    <t>Per FERC order (Note I)</t>
  </si>
  <si>
    <t>(Attach 2, Line 28 * (Col. 15/100)* Col. 10)</t>
  </si>
  <si>
    <t>(Sum Col. 14 &amp; 16)</t>
  </si>
  <si>
    <t>(Note H) (Enter Negative)</t>
  </si>
  <si>
    <t>(Sum Col. 16a &amp; 17)</t>
  </si>
  <si>
    <t>(Note F)</t>
  </si>
  <si>
    <t xml:space="preserve">Sum Col. 18 &amp; 19 
</t>
  </si>
  <si>
    <t>15a</t>
  </si>
  <si>
    <t>15b</t>
  </si>
  <si>
    <t>15c</t>
  </si>
  <si>
    <t>15d</t>
  </si>
  <si>
    <t>15e</t>
  </si>
  <si>
    <t>15f</t>
  </si>
  <si>
    <t>15g</t>
  </si>
  <si>
    <t>15h</t>
  </si>
  <si>
    <t>15i</t>
  </si>
  <si>
    <t>15j</t>
  </si>
  <si>
    <t>15k</t>
  </si>
  <si>
    <t>15l</t>
  </si>
  <si>
    <t>15m</t>
  </si>
  <si>
    <t>15n</t>
  </si>
  <si>
    <t>15o</t>
  </si>
  <si>
    <t>16</t>
  </si>
  <si>
    <t>Annual Totals</t>
  </si>
  <si>
    <t>Rev. Req. Adj For Attachment O</t>
  </si>
  <si>
    <t>Incentives from Projects other than those in Attachment GG- GLH and Attachment MM_GLH</t>
  </si>
  <si>
    <t>Gross Transmission Plant that is included on page 2 line 2 of Attachment O-GLH (see line 1 col (3)).</t>
  </si>
  <si>
    <t>Inclusive of any CWIP, unamortized abandoned plant and unamortized project-related regulatory asset included in rate base when authorized by FERC order.  Excludes start-up regulatory asset (see line 1b, col. (3)).</t>
  </si>
  <si>
    <t xml:space="preserve">Project Gross Plant is the total capital investment for the project calculated in the same method as the gross plant value in line 1.  This value includes subsequent capital investments required to </t>
  </si>
  <si>
    <t>maintain the facilities to their original capabilities.  Gross plant does not include any CWIP, unamortized abandoned plant or any regulatory asset (see line 15, col. (3)).</t>
  </si>
  <si>
    <t xml:space="preserve">Project Net Plant is the Project Gross Plant Identified in Column 3 less the associated Accumulated Depreciation in col (4).  Net Plant includes any CWIP in rate base, any project related regulatory asset and any </t>
  </si>
  <si>
    <t>Unamortized Abandoned Plant approved by the Commission (see line 15, col. (10)).  Net plant does not include start-up regulatory asset.</t>
  </si>
  <si>
    <t>Project Depreciation Expense is the actual value booked in Attachment O-GLH, Page 3, line 9 that is associated with the specified project.  Project Depreciation Expense includes the amortization of Abandoned Plant.  However, if FERC grants accelerated depreciation for a project the depreciation rate authorized by FERC will be used instead of the rates shown on Attachment 6 for all other projects. Line 15, Col. (13). Includes project related regulatory assets.</t>
  </si>
  <si>
    <t>The Total General and Common Depreciation Expense excludes any depreciation expense directly associated with a project and thereby included in Line 15, col. 13.</t>
  </si>
  <si>
    <t>A Competitive Bid Concession reflects any commitment by GLH to MISO to charge less than GLH’s Ceiling Rate, regardless of how that Competitive Bid Concession is calculated.  For each project, the amount of the Competitive Bid Concession will be zero or a reduction to the annual transmission revenue requirement in one or more years.   GLH will include, as part of its Annual Update, (i) an explanation of the basis for any Competitive Bid Concession, (ii) a calculation of the Competitive Bid Concession, and (iii) any documentation needed to support the calculation of the Competitive Bid Concession.  The amount in Column 17  above equals the amount by which the annual revenue requirement is reduced from the ceiling rate  (see line 15 col. (17)).</t>
  </si>
  <si>
    <t>Requires approval by FERC of incentive return applicable to the specified project(s) (see line 15, col. (15)).</t>
  </si>
  <si>
    <t>This Attachment 1 is a reconciliation or summary of Attachment GG - GLH and Attachment MM - GLH.  The actual calculations for Attachment GG and MM projects used in developing rates will be those calculated in Attachment GG - GLH and Attachment MM - GLH.  Attachment 1 may also consist of other projects, such as those which have received FERC approval for an incentive adder but are not Attachment GG or MM projects.  The incentives associated with those projects will be added to the Attachment O-GLH revenue requirement on Attachment O, page 3, line 30b.</t>
  </si>
  <si>
    <t>Attachment 2</t>
  </si>
  <si>
    <t>Rate Base</t>
  </si>
  <si>
    <t xml:space="preserve">Attachment O-GLH, page 2, line 30, Col.5 </t>
  </si>
  <si>
    <t>100 Basis Point Incentive Return</t>
  </si>
  <si>
    <t>Attachment O-GLH, Notes Y and EE</t>
  </si>
  <si>
    <t xml:space="preserve">  Preferred Stock  </t>
  </si>
  <si>
    <t xml:space="preserve">  Common Stock  (Note A)</t>
  </si>
  <si>
    <t>Cost = Attachment O, Line 29, Cost plus .01</t>
  </si>
  <si>
    <t>Attachment O-GLH, Notes O, Y and EE</t>
  </si>
  <si>
    <t>Sum Lines 3 to 5</t>
  </si>
  <si>
    <t xml:space="preserve">100 Basis Point Incentive Return multiplied by Rate Base </t>
  </si>
  <si>
    <t>Line 1 * Line 6, Col. I</t>
  </si>
  <si>
    <t xml:space="preserve">      WCLTD = Line 3</t>
  </si>
  <si>
    <t xml:space="preserve">       and FIT, SIT &amp; p are as given in footnote K.</t>
  </si>
  <si>
    <t>Amortized Investment Tax Credit (266.8f) (enter negative)</t>
  </si>
  <si>
    <t>Excess Deferred Income Taxes (enter negative)</t>
  </si>
  <si>
    <t>Tax Effect of Permanent Differences  (Note B)</t>
  </si>
  <si>
    <t>Line 10 * Line 7</t>
  </si>
  <si>
    <t>Line 13 * Line 14</t>
  </si>
  <si>
    <t>Line 13 * Line 15</t>
  </si>
  <si>
    <t>Line 13 * Line 16</t>
  </si>
  <si>
    <t>Sum Lines 17 - 20</t>
  </si>
  <si>
    <t>Return and Income Taxes with 100 basis point increase in ROE</t>
  </si>
  <si>
    <t xml:space="preserve">Return    </t>
  </si>
  <si>
    <t>Attach. O, Page 3, Line 28, Col. 5</t>
  </si>
  <si>
    <t xml:space="preserve">Income Tax  </t>
  </si>
  <si>
    <t>Attach. O, Page 3, Line 27, Col. 5</t>
  </si>
  <si>
    <t>Return and Income Taxes without 100 basis point increase in ROE</t>
  </si>
  <si>
    <t>Sum Lines 23 and 24</t>
  </si>
  <si>
    <t>Incremental Return and Income Taxes for 100 basis point increase in ROE</t>
  </si>
  <si>
    <t>Line 22 less Line 25</t>
  </si>
  <si>
    <t>Line 1</t>
  </si>
  <si>
    <t>Incremental Return and Income Taxes for 100 basis point increase in ROE divided by Rate Base</t>
  </si>
  <si>
    <t>Line 26 / Line 27</t>
  </si>
  <si>
    <t xml:space="preserve">Notes: </t>
  </si>
  <si>
    <t>Line 5 includes a 100 basis point increase in ROE that is used only to determine the increase in return and income taxes associated with</t>
  </si>
  <si>
    <t>a 100 basis point increase in ROE.  Any ROE incentive must be approved by the Commission.</t>
  </si>
  <si>
    <t>For example, if the Commission were to grant a 137 basis point ROE incentive, the increase in return and taxes for a 100 basis point</t>
  </si>
  <si>
    <t>increase in ROE would be multiplied by 1.37 on Attachment 1, column 16.</t>
  </si>
  <si>
    <t>The Tax Effect of Permanent Differences captures the differences in the income taxes due under the Federal and State calculations and the income taxes calculated</t>
  </si>
  <si>
    <t xml:space="preserve"> in Attachment O-GLH that are not the result of a timing difference.</t>
  </si>
  <si>
    <t>Attachment 3 (Note 3)</t>
  </si>
  <si>
    <t>Page 1</t>
  </si>
  <si>
    <t>Project True-Up</t>
  </si>
  <si>
    <t>Year</t>
  </si>
  <si>
    <t>Annual True-Up Calculation</t>
  </si>
  <si>
    <t xml:space="preserve">Net </t>
  </si>
  <si>
    <t>MTEP</t>
  </si>
  <si>
    <t>Adjusted</t>
  </si>
  <si>
    <t>Under/(Over)</t>
  </si>
  <si>
    <t>Interest</t>
  </si>
  <si>
    <t>Total True-Up</t>
  </si>
  <si>
    <t>Project</t>
  </si>
  <si>
    <t>Net Revenue</t>
  </si>
  <si>
    <t>Collection</t>
  </si>
  <si>
    <t>Income</t>
  </si>
  <si>
    <t>Adjustment</t>
  </si>
  <si>
    <t>Number</t>
  </si>
  <si>
    <t>Project Name</t>
  </si>
  <si>
    <r>
      <t>Requirement</t>
    </r>
    <r>
      <rPr>
        <vertAlign val="superscript"/>
        <sz val="10"/>
        <color theme="1"/>
        <rFont val="Times New Roman"/>
        <family val="1"/>
      </rPr>
      <t>1</t>
    </r>
  </si>
  <si>
    <r>
      <t>Revenue Received</t>
    </r>
    <r>
      <rPr>
        <vertAlign val="superscript"/>
        <sz val="10"/>
        <color theme="1"/>
        <rFont val="Times New Roman"/>
        <family val="1"/>
      </rPr>
      <t>2</t>
    </r>
  </si>
  <si>
    <t>(C-D)</t>
  </si>
  <si>
    <t>(Expense)</t>
  </si>
  <si>
    <t>(E + F)</t>
  </si>
  <si>
    <t>2a</t>
  </si>
  <si>
    <t>2b</t>
  </si>
  <si>
    <t>2c</t>
  </si>
  <si>
    <t>2d</t>
  </si>
  <si>
    <t>2) The "revenue received" is the total amount of revenue distributed to GLH in the True-Up Year. Attachment O, Lines 36a -37, page 4 of 5 of Attachment O - GLH</t>
  </si>
  <si>
    <t>3) This Attachment 3 is a summary of the Attachment GG -GLH True-Up Calculation and the Attachment MM - GLH True-Up Calculation.  The Attachment O - GLH True-Up is the actual True-Up calculation.</t>
  </si>
  <si>
    <t>For each project or Attachment O-GLH, the utility will populate the formula rate with the inputs for the True-Up Year.  The revenue requirements, based on actual operating results for the True-Up Year, associated with the projects and Attachment O-GLH will then be entered in Col. (C) above.  Column (D) contains the actual revenues received associated with Attachment GG-GLH, Attachment MM-GLH and Attachment O-GLH paid by MISO to the utility during the True-Up Year.  Col. (E) is the Net Under/(Over) Collection where  Col. (D) is subtracted from Col. (C).   Column (F), line 2 is the interest calculated in accordance with Attachment O-GLH Annual True-Up, Information Exchange and Challenge Procedures.  Column (F), lines 2x contain the interest amounts calculated in column (J) of the Annual Attachment GG True-Up Calculation and the Annual Attachment MM True-Up Calculation.  Col. (G) is the sum of the Net Under/(Over) Collection in Col. (E) and the interest in Col. (F).</t>
  </si>
  <si>
    <t>FERC Refund Interest Rate</t>
  </si>
  <si>
    <r>
      <t>Interest Rate</t>
    </r>
    <r>
      <rPr>
        <sz val="10"/>
        <rFont val="Times New Roman"/>
        <family val="1"/>
      </rPr>
      <t>:</t>
    </r>
  </si>
  <si>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</si>
  <si>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</si>
  <si>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</si>
  <si>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</si>
  <si>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</si>
  <si>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</si>
  <si>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</si>
  <si>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</si>
  <si>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</si>
  <si>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</si>
  <si>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4</t>
  </si>
  <si>
    <t>Rate Base Worksheet (Page 2 of Attachment O - GLH)</t>
  </si>
  <si>
    <t>Page 1 of 2</t>
  </si>
  <si>
    <t>Gross Plant In Service (Attachment O, Note Y and BB)</t>
  </si>
  <si>
    <t>CWIP</t>
  </si>
  <si>
    <t>LHFFU</t>
  </si>
  <si>
    <t>Working Capital</t>
  </si>
  <si>
    <t>Accumulated Depreciation (Attachment O, Note Y and BB)</t>
  </si>
  <si>
    <t>Line No</t>
  </si>
  <si>
    <t>Month</t>
  </si>
  <si>
    <t>Production</t>
  </si>
  <si>
    <t>Distribution</t>
  </si>
  <si>
    <t>General &amp; Intangible</t>
  </si>
  <si>
    <t>Common</t>
  </si>
  <si>
    <t>CWIP (Note C)</t>
  </si>
  <si>
    <t>Land Held for Future Use</t>
  </si>
  <si>
    <t xml:space="preserve">  Prepayments</t>
  </si>
  <si>
    <t>(e)</t>
  </si>
  <si>
    <t>(f)</t>
  </si>
  <si>
    <t>(g)</t>
  </si>
  <si>
    <t>(h)</t>
  </si>
  <si>
    <t>(i)</t>
  </si>
  <si>
    <t>(j)</t>
  </si>
  <si>
    <t>(k)</t>
  </si>
  <si>
    <t>(l)</t>
  </si>
  <si>
    <t>(m)</t>
  </si>
  <si>
    <t>(n)</t>
  </si>
  <si>
    <t>(o)</t>
  </si>
  <si>
    <t>FN1 Reference for Dec</t>
  </si>
  <si>
    <t>205.46.g</t>
  </si>
  <si>
    <t>207.58.g</t>
  </si>
  <si>
    <t>207.75.g</t>
  </si>
  <si>
    <t>205.5.g &amp; 207.99.g</t>
  </si>
  <si>
    <t>216.x.b</t>
  </si>
  <si>
    <t>214.x.d</t>
  </si>
  <si>
    <t>227.8.c &amp; 227.16.c</t>
  </si>
  <si>
    <t>111.57.c</t>
  </si>
  <si>
    <t>219.20-24.c</t>
  </si>
  <si>
    <t>219.25.c</t>
  </si>
  <si>
    <t>219.26.c</t>
  </si>
  <si>
    <t>219.28.c &amp; 200.21.c</t>
  </si>
  <si>
    <t>December Prior Year</t>
  </si>
  <si>
    <t>January</t>
  </si>
  <si>
    <t>February</t>
  </si>
  <si>
    <t xml:space="preserve">March </t>
  </si>
  <si>
    <t>April</t>
  </si>
  <si>
    <t>May</t>
  </si>
  <si>
    <t>June</t>
  </si>
  <si>
    <t>July</t>
  </si>
  <si>
    <t xml:space="preserve">August </t>
  </si>
  <si>
    <t>September</t>
  </si>
  <si>
    <t>October</t>
  </si>
  <si>
    <t>November</t>
  </si>
  <si>
    <t xml:space="preserve">December </t>
  </si>
  <si>
    <t xml:space="preserve">Average of the 13 Monthly Balances </t>
  </si>
  <si>
    <t>Adjustments to Rate Base (Attachment O, Note Y)</t>
  </si>
  <si>
    <t xml:space="preserve">Unamortized Regulatory Asset </t>
  </si>
  <si>
    <t xml:space="preserve">Unamortized Abandoned Plant  </t>
  </si>
  <si>
    <t>Account No. 255
Accumulated Deferred Investment Credit  (Note D)</t>
  </si>
  <si>
    <t>Notes A &amp; E</t>
  </si>
  <si>
    <t>Notes B &amp; F</t>
  </si>
  <si>
    <t>Consistent with 266.8.b &amp; 267.8.h</t>
  </si>
  <si>
    <t>Average of the 13 Monthly Balances -</t>
  </si>
  <si>
    <t>Page 2 of 2</t>
  </si>
  <si>
    <t>Unfunded Reserves    (Note G)</t>
  </si>
  <si>
    <t>List of all reserves:</t>
  </si>
  <si>
    <t xml:space="preserve">Amount </t>
  </si>
  <si>
    <r>
      <t>Enter 1 if NOT in a trust or</t>
    </r>
    <r>
      <rPr>
        <sz val="10"/>
        <rFont val="Times New Roman"/>
        <family val="1"/>
      </rPr>
      <t xml:space="preserve"> reserved account, enter zero (0) if included in a trust or reserved account </t>
    </r>
  </si>
  <si>
    <r>
      <t xml:space="preserve">Enter 1 if the accrual account is included in the formula rate, enter zero (0) </t>
    </r>
    <r>
      <rPr>
        <sz val="10"/>
        <rFont val="Times New Roman"/>
        <family val="1"/>
      </rPr>
      <t>if the accrual account is NOT included in the formula rate</t>
    </r>
  </si>
  <si>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</si>
  <si>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</si>
  <si>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</si>
  <si>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</si>
  <si>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</si>
  <si>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30c</t>
  </si>
  <si>
    <t>Reserve 3</t>
  </si>
  <si>
    <t>30d</t>
  </si>
  <si>
    <t>Reserve 4</t>
  </si>
  <si>
    <t>30e</t>
  </si>
  <si>
    <t>…</t>
  </si>
  <si>
    <t>30f</t>
  </si>
  <si>
    <t>Notes:</t>
  </si>
  <si>
    <t>Recovery of regulatory asset is limited to any regulatory assets authorized by FERC.</t>
  </si>
  <si>
    <t>Recovery of abandoned plant is limited to any abandoned plant recovery authorized by FERC.</t>
  </si>
  <si>
    <t>Includes only CWIP authorized by the Commission for inclusion in rate base.  The Annual Update will include for each project under construction (i) the CWIP balance eligible for inclusion in rate base; (ii) the CWIP balance ineligible for inclusion in rate base; and (iii) a demonstration that AFUDC is only applied to the CWIP balance that is not included in rate base.  The Annual Update will reconcile the project-specific CWIP balances to the total Account 107 CWIP balance reported on p. 216.b of the FERC Form 1</t>
  </si>
  <si>
    <t>Accumulated Deferred Income Tax Credits are computed on Attachments 8a and 8b</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</si>
  <si>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</si>
  <si>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</si>
  <si>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</si>
  <si>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Attachment 5</t>
  </si>
  <si>
    <t>Attachment O - GLH, Page 3 Worksheet</t>
  </si>
  <si>
    <t>Transmission O&amp;M Expenses</t>
  </si>
  <si>
    <t>Account No. 566 (Misc. Trans. Expense)</t>
  </si>
  <si>
    <t>Account No. 565</t>
  </si>
  <si>
    <t>A&amp;G Expenses</t>
  </si>
  <si>
    <t>FERC Annual Fees</t>
  </si>
  <si>
    <t>EPRI &amp; Reg. Comm. Exp. &amp; Non-safety  Ad.</t>
  </si>
  <si>
    <t>Transmission Related Reg. Comm. Exp.</t>
  </si>
  <si>
    <t>Transmission Lease Payments</t>
  </si>
  <si>
    <t>Amortization of Regulatory Asset</t>
  </si>
  <si>
    <t>Miscellaneous Transmission Expense (less Amortization of Regulatory Asset)</t>
  </si>
  <si>
    <t>Depreciation Expense - Transmission (Attachment O - GLH, Note BB)</t>
  </si>
  <si>
    <t>Attachment O - GLH, Page 3, Line Number</t>
  </si>
  <si>
    <t>FERC Form 1 Reference</t>
  </si>
  <si>
    <t>321.112.b</t>
  </si>
  <si>
    <t>321.97.b</t>
  </si>
  <si>
    <t>321.96.b</t>
  </si>
  <si>
    <t>323.197.b</t>
  </si>
  <si>
    <t>Attachment O - GLH, Note I</t>
  </si>
  <si>
    <t>336.7.f</t>
  </si>
  <si>
    <t>Attachment O - GLH, Note U</t>
  </si>
  <si>
    <t>1</t>
  </si>
  <si>
    <t>2</t>
  </si>
  <si>
    <t>3</t>
  </si>
  <si>
    <t>March</t>
  </si>
  <si>
    <t>4</t>
  </si>
  <si>
    <t>August</t>
  </si>
  <si>
    <t>December</t>
  </si>
  <si>
    <t>Depreciation Expense - General &amp; Intangible (Attachment O - GLH, Note BB)</t>
  </si>
  <si>
    <t>Amortization of Abandoned Plant</t>
  </si>
  <si>
    <t>Payroll Taxes</t>
  </si>
  <si>
    <t>Highway &amp; Vehicle Taxes</t>
  </si>
  <si>
    <t>Property Taxes</t>
  </si>
  <si>
    <t>Gross Receipts Taxes</t>
  </si>
  <si>
    <t>Other Taxes</t>
  </si>
  <si>
    <t>Payments in lieu of Taxes</t>
  </si>
  <si>
    <t>Amortized Investment Tax Credit (266.8f)</t>
  </si>
  <si>
    <t>Excess Deferred Income Taxes</t>
  </si>
  <si>
    <t>Depreciation Expense - Common (Attachment O - GLH, Note BB)</t>
  </si>
  <si>
    <t>Attachment O, Page 3, Line Number</t>
  </si>
  <si>
    <t>336.10.f &amp; 336.1.f</t>
  </si>
  <si>
    <t>Attachment O - GLH, Note X &amp; FF</t>
  </si>
  <si>
    <t>263.i</t>
  </si>
  <si>
    <t>266.8.f</t>
  </si>
  <si>
    <t>336.11.f</t>
  </si>
  <si>
    <t>15</t>
  </si>
  <si>
    <t>17</t>
  </si>
  <si>
    <t>18</t>
  </si>
  <si>
    <t>19</t>
  </si>
  <si>
    <t>20</t>
  </si>
  <si>
    <t>21</t>
  </si>
  <si>
    <t>22</t>
  </si>
  <si>
    <t>23</t>
  </si>
  <si>
    <t>24</t>
  </si>
  <si>
    <t>25</t>
  </si>
  <si>
    <t>26</t>
  </si>
  <si>
    <t>RETURN (R)  (Attachment O-GLH, Notes O, Y, and EE)</t>
  </si>
  <si>
    <t>Long Term Interest (117, sum of 62.c through 67.c)</t>
  </si>
  <si>
    <t>Preferred Dividends (118.29c) (positive number)</t>
  </si>
  <si>
    <t>Proprietary Capital (112.16.c)</t>
  </si>
  <si>
    <t xml:space="preserve">Less Preferred Stock (line 35, col. (d)) </t>
  </si>
  <si>
    <t xml:space="preserve">Less Account 216.1 (112.12.c)  </t>
  </si>
  <si>
    <t>(enter negative)</t>
  </si>
  <si>
    <t>Common Stock</t>
  </si>
  <si>
    <t>(sum lines 30 - 32)</t>
  </si>
  <si>
    <t xml:space="preserve">Cost Rates </t>
  </si>
  <si>
    <t>Note A</t>
  </si>
  <si>
    <t xml:space="preserve">  Preferred Stock  (112.3.c)</t>
  </si>
  <si>
    <t>Note B</t>
  </si>
  <si>
    <t xml:space="preserve">Note C  </t>
  </si>
  <si>
    <t>(Sum of Lines 34 through 36)</t>
  </si>
  <si>
    <t>Note:</t>
  </si>
  <si>
    <t>Long Term debt balance will reflect the 13 month average of the balances, of which the 1st and 13th are found on page 112 lines 18.c to 21.c in the Form No. 1, the cost is calculated by dividing line 28 by the Long Tern Debt balance in line 34.</t>
  </si>
  <si>
    <t>Preferred Stock balance will reflect the 13 month average of the balances, of which the 1st and 13th are found on page 112 line 3.c in the Form No. 1, the cost is calculated by dividing line 29 by the Preferred Stock balance in line 35.</t>
  </si>
  <si>
    <t>Common Stock balance will reflect the 13 month average of the balances, of which the 1st and 13th are found on page 112 lines 3.c 12.c, 16.c in the Form No. 1 as shown on lines 30-33 above</t>
  </si>
  <si>
    <t xml:space="preserve">If the company has short-term debt prior to issuing long-term debt, line 34 will reflect the outstanding short-term debt and cost rates only unitl long term debt is issued, as calculated below: </t>
  </si>
  <si>
    <t>Short-term debt outstanding</t>
  </si>
  <si>
    <t>The 13 month average of the balances consistent with "S", the average short-term debt balance pursuant to Part 101 of the Commission's Regulations, Electric Plant Instruction 17</t>
  </si>
  <si>
    <t>Short-term debt cost</t>
  </si>
  <si>
    <t>The interest "s", the short-term debt interest rate pursuant to Part 101 of the Commission's Regulations, Electric Plant Instruction 17</t>
  </si>
  <si>
    <t>Attachment 6</t>
  </si>
  <si>
    <t>Depreciation Rates</t>
  </si>
  <si>
    <t>FERC ACCOUNT</t>
  </si>
  <si>
    <t>DESCRIPTION</t>
  </si>
  <si>
    <t>RATE PERCENT</t>
  </si>
  <si>
    <t>TRANSMISSION</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</si>
  <si>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</si>
  <si>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</si>
  <si>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</si>
  <si>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</si>
  <si>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</si>
  <si>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</si>
  <si>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</si>
  <si>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</si>
  <si>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</si>
  <si>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t>
  </si>
  <si>
    <t>Franchises and Consents (Note 1)</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</si>
  <si>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</si>
  <si>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</si>
  <si>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</si>
  <si>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</si>
  <si>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</si>
  <si>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</si>
  <si>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</si>
  <si>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</si>
  <si>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</si>
  <si>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</si>
  <si>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</si>
  <si>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</si>
  <si>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</si>
  <si>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t>
  </si>
  <si>
    <t xml:space="preserve">Electric Intangible Franchises and Transmission Land Rights are amortized </t>
  </si>
  <si>
    <t xml:space="preserve">   over the life of the franchise agreement or land right.</t>
  </si>
  <si>
    <t xml:space="preserve">Note 2: </t>
  </si>
  <si>
    <t xml:space="preserve">GLH’s depreciation and amortization rates may not be changed absent a section </t>
  </si>
  <si>
    <t>205 or 206 filing</t>
  </si>
  <si>
    <t>Attachment 7</t>
  </si>
  <si>
    <t>PBOPs</t>
  </si>
  <si>
    <t>Calculation of PBOP Expenses</t>
  </si>
  <si>
    <t>Year Ended December 31, ____</t>
  </si>
  <si>
    <t xml:space="preserve">Total PBOP expenses </t>
  </si>
  <si>
    <t>Labor dollars</t>
  </si>
  <si>
    <t>Cost per labor dollar</t>
  </si>
  <si>
    <t>Line 2 divided by line 3</t>
  </si>
  <si>
    <t>labor (labor not capitalized) current year</t>
  </si>
  <si>
    <t>PBOP Expense for current year</t>
  </si>
  <si>
    <t>Line 4 times line 5</t>
  </si>
  <si>
    <t xml:space="preserve">Lines 2 and 3 cannot change absent approval or acceptance by FERC in a separate proceeding. </t>
  </si>
  <si>
    <t>PBOP amount included in Company's O&amp;M and A&amp;G expenses in Form No. 1</t>
  </si>
  <si>
    <t>Amounts will be zero until changed pursuant to a FERC order.</t>
  </si>
  <si>
    <t>The sum of all labor included in accounts 560 to 579 and 920 to 935</t>
  </si>
  <si>
    <t>Attachment 8a - Accumulated Deferred Income Taxes (ADIT) Average Worksheet (Projection)</t>
  </si>
  <si>
    <t>(Sum Col. B, C &amp; D)</t>
  </si>
  <si>
    <t>Ln</t>
  </si>
  <si>
    <t>Item</t>
  </si>
  <si>
    <t>Transmission Related</t>
  </si>
  <si>
    <t>Plant Related</t>
  </si>
  <si>
    <t>Labor Related</t>
  </si>
  <si>
    <t>ADIT-282 (enter negative)</t>
  </si>
  <si>
    <t>Line 12</t>
  </si>
  <si>
    <t>ADIT-283 (enter negative)</t>
  </si>
  <si>
    <t>Line 16</t>
  </si>
  <si>
    <t>ADIT-190</t>
  </si>
  <si>
    <t>Line 21</t>
  </si>
  <si>
    <t xml:space="preserve">Subtotal  </t>
  </si>
  <si>
    <t>Sum of Lines 1-3</t>
  </si>
  <si>
    <t xml:space="preserve">Wages &amp; Salary Allocator </t>
  </si>
  <si>
    <t>Attachment-O Page 4 line 16</t>
  </si>
  <si>
    <t>Net Plant Allocator</t>
  </si>
  <si>
    <t>Attachment-O Page 2 line 6</t>
  </si>
  <si>
    <t>Total Plant Allocator</t>
  </si>
  <si>
    <t>Projected ADIT Total</t>
  </si>
  <si>
    <t>Enter as negative Attachment-O, page 2, line 22</t>
  </si>
  <si>
    <t>Beginning Balance &amp; Monthly Changes</t>
  </si>
  <si>
    <t xml:space="preserve">Balance </t>
  </si>
  <si>
    <t>ADIT-282</t>
  </si>
  <si>
    <t>Balance-BOY (Attach 8c, Line 30)</t>
  </si>
  <si>
    <t>EOY (Attach 8d, Line 30 less Line 26)</t>
  </si>
  <si>
    <t>Balance-EOY Prorated (Attach 8b, Line 14)</t>
  </si>
  <si>
    <t>ADIT 282-Total (Lines 10+11)</t>
  </si>
  <si>
    <t>ADIT-283</t>
  </si>
  <si>
    <t>Balance-BOY (Attach 8c, Line 44)</t>
  </si>
  <si>
    <t>EOY (Attach 8d, Line 44 less Line 40)</t>
  </si>
  <si>
    <t>EOY Prorated (Attach 8b, Line 28)</t>
  </si>
  <si>
    <t>ADIT 283-Total  (Lines 14+15)</t>
  </si>
  <si>
    <t>Balance-BOY (Attach 8c, Line 18)</t>
  </si>
  <si>
    <t>EOY (Attach 8d, Line 18 less Line 14)</t>
  </si>
  <si>
    <t>EOY Prorated (Attach 8b, Line 42)</t>
  </si>
  <si>
    <t>ADIT 190-Total (Lines 18+19)</t>
  </si>
  <si>
    <t>Attachment 8b - Accumulated Deferred Income Taxes (ADIT) Proration Worksheet (Projection)</t>
  </si>
  <si>
    <t>Weighting for Projection</t>
  </si>
  <si>
    <t>Beginning Balance/
Monthly Increment</t>
  </si>
  <si>
    <t>Transmission Proration
(d) x (f)</t>
  </si>
  <si>
    <t>Plant Proration
(d) x (h)</t>
  </si>
  <si>
    <t>Labor Proration
(d) x (j)</t>
  </si>
  <si>
    <t>Balance (Attach 8c, Line 30)</t>
  </si>
  <si>
    <t>Increment</t>
  </si>
  <si>
    <t>ADIT 282-Prorated EOY Balance</t>
  </si>
  <si>
    <t>Balance (Attach 8c, Line 44)</t>
  </si>
  <si>
    <t>ADIT 283-Prorated EOY Balance</t>
  </si>
  <si>
    <t>Balance (Attach 8c, Line 18)</t>
  </si>
  <si>
    <t>ADIT 190-Prorated EOY Balance</t>
  </si>
  <si>
    <t>Note 1</t>
  </si>
  <si>
    <t>Uses a 365 day calendar year.</t>
  </si>
  <si>
    <t>Note 2</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</si>
  <si>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</si>
  <si>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8c and 8d.</t>
  </si>
  <si>
    <t>Attachment 8c - Accumulated Deferred Income Taxes (ADIT) Worksheet (Beginning of Year)</t>
  </si>
  <si>
    <t>Line 30</t>
  </si>
  <si>
    <t>Line 44</t>
  </si>
  <si>
    <t>Line 18</t>
  </si>
  <si>
    <t>Subtotal</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</si>
  <si>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</si>
  <si>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</si>
  <si>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</si>
  <si>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</si>
  <si>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</si>
  <si>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</si>
  <si>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</si>
  <si>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</si>
  <si>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</si>
  <si>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</si>
  <si>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</si>
  <si>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</si>
  <si>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</si>
  <si>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</si>
  <si>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ADIT- 282</t>
  </si>
  <si>
    <t>Plant Items</t>
  </si>
  <si>
    <t xml:space="preserve">Subtotal - p274.b </t>
  </si>
  <si>
    <t>Instructions for Account 282:</t>
  </si>
  <si>
    <t>ADIT- 283</t>
  </si>
  <si>
    <t>Depreciation Items</t>
  </si>
  <si>
    <t xml:space="preserve">Subtotal - p276.b  </t>
  </si>
  <si>
    <t>Instructions for Account 283:</t>
  </si>
  <si>
    <t>Attachment 8d - Accumulated Deferred Income Taxes (ADIT) Worksheet (End of Year)</t>
  </si>
  <si>
    <t>Subtotal - p234.c</t>
  </si>
  <si>
    <t xml:space="preserve">Subtotal - p275.k </t>
  </si>
  <si>
    <t xml:space="preserve">Subtotal - p277.k  </t>
  </si>
  <si>
    <t>Attachment 8e - Accumulated Deferred Income Taxes (ADIT) Average Worksheet (True-Up)</t>
  </si>
  <si>
    <t>Total Plant &amp; Labor Related</t>
  </si>
  <si>
    <t>Line 20</t>
  </si>
  <si>
    <t>Wages &amp; Salary Allocator</t>
  </si>
  <si>
    <t>ADIT True-Up Total</t>
  </si>
  <si>
    <t>Balance-EOY (Attach 8d, Line 30 less Line 26)</t>
  </si>
  <si>
    <t>Balance-EOY-Prorated (Attach 8f, Line 14)</t>
  </si>
  <si>
    <t>Balance-EOY-Total (Lines 10+11)</t>
  </si>
  <si>
    <t>Balance-EOY (Attach 8d, Line 44 less Line 40)</t>
  </si>
  <si>
    <t>Balance-EOY-Prorated (Attach 8f, Line 28)</t>
  </si>
  <si>
    <t>Balance-EOY-Total (Lines 14+15)</t>
  </si>
  <si>
    <t>Balance-EOY (Attach 8d, Line 18 less Line 14)</t>
  </si>
  <si>
    <t>Balance-EOY-Prorated (Attach 8f, Line 42)</t>
  </si>
  <si>
    <t>Balance-EOY-Total (Lines 18+19)</t>
  </si>
  <si>
    <t>Attachment 8f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</si>
  <si>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</si>
  <si>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</si>
  <si>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</si>
  <si>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</si>
  <si>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  (h)-(e)</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</si>
  <si>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</si>
  <si>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</si>
  <si>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</si>
  <si>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</si>
  <si>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ROE will be supported in the original filing and no change in ROE may be made absent a filing with FERC.  A 50 basis point adder for RTO participation may be added to the ROE up to the upper end of the zone of reasonableness established by FERC</t>
    </r>
    <r>
      <rPr>
        <b/>
        <sz val="10"/>
        <color rgb="FFFF0000"/>
        <rFont val="Times New Roman"/>
        <family val="1"/>
      </rPr>
      <t>.</t>
    </r>
  </si>
  <si>
    <r>
      <t>ADIT-282-Proration-</t>
    </r>
    <r>
      <rPr>
        <b/>
        <sz val="12"/>
        <rFont val="Arial Narrow"/>
        <family val="2"/>
      </rPr>
      <t>Note A</t>
    </r>
  </si>
  <si>
    <r>
      <t>ADIT-283-Proration-</t>
    </r>
    <r>
      <rPr>
        <b/>
        <sz val="12"/>
        <rFont val="Arial Narrow"/>
        <family val="2"/>
      </rPr>
      <t>Note B</t>
    </r>
  </si>
  <si>
    <r>
      <t>ADIT-190-Proration-</t>
    </r>
    <r>
      <rPr>
        <b/>
        <sz val="12"/>
        <rFont val="Arial Narrow"/>
        <family val="2"/>
      </rPr>
      <t>Note C</t>
    </r>
  </si>
  <si>
    <r>
      <t>ADIT-282-Proration-</t>
    </r>
    <r>
      <rPr>
        <b/>
        <sz val="10"/>
        <rFont val="Arial Narrow"/>
        <family val="2"/>
      </rPr>
      <t>Note A</t>
    </r>
  </si>
  <si>
    <r>
      <t>ADIT-283-Proration-</t>
    </r>
    <r>
      <rPr>
        <b/>
        <sz val="10"/>
        <rFont val="Arial Narrow"/>
        <family val="2"/>
      </rPr>
      <t>Note B</t>
    </r>
  </si>
  <si>
    <r>
      <t>ADIT-190-Proration-</t>
    </r>
    <r>
      <rPr>
        <b/>
        <sz val="10"/>
        <rFont val="Arial Narrow"/>
        <family val="2"/>
      </rPr>
      <t>Note C</t>
    </r>
  </si>
  <si>
    <t>Calculate using 13 month average balance, reconciling to FERC Form No. 1 by Page, Line, and Column as shown in Attachment 4 for inputs on page 2 of 5 above, except ADIT, page 2, lines 19-22, which is on Attachment 8a or 8e and shown on Attachment 5. Calculate using 13 month average balance, reconciling to FERC Form No. 1 by Page, Line, and Column as shown in Attachment 5 for inputs on lines 27, 28 and 29 of page 4 of 5 above.  For the first Rate Year, as defined in the Protocols, GLH will use thirteen months of balances in calculating the 13- month average for the determination of the projected net revenue requirement</t>
  </si>
  <si>
    <t>Project True-Up Adjustment is calculated on the Attachment GG - GLH and Attachment MM - GLH True-Up Template (see col. K). For projects other than Attachment GG or MM, the Project True-up Adjustment is calculated on Attachment 3.</t>
  </si>
  <si>
    <t>1) From Attachment GG - GLH True-Up Calculation, Column G and Attachment MM - GLH True-Up Calculation, Column G, and Attachment O-GLH.</t>
  </si>
  <si>
    <t>Projected end of year ADIT must be based solely on enacted tax law.  No assumptions for future estimated changes in tax law may be forecasted.</t>
  </si>
  <si>
    <r>
      <t xml:space="preserve">Only amounts in ADIT-190 related to net operating loss </t>
    </r>
    <r>
      <rPr>
        <strike/>
        <sz val="12"/>
        <rFont val="Arial Narrow"/>
        <family val="2"/>
      </rPr>
      <t>NOL</t>
    </r>
    <r>
      <rPr>
        <sz val="12"/>
        <rFont val="Arial Narrow"/>
        <family val="2"/>
      </rPr>
      <t xml:space="preserve"> carryforwards, if applicable, are subject to proration.  See Line 18 in Attach 8c and 8d.</t>
    </r>
  </si>
  <si>
    <t>Actual end of year ADIT must be based solely on enacted tax law.  No assumptions for future estimated changes in tax law may be forecasted.</t>
  </si>
  <si>
    <t>Only amounts in ADIT-190 related to net operating loss  carryforwards, if applicable, are subject to proration.  See Line 18 in Attach 8c and 8d.</t>
  </si>
  <si>
    <t>Income Tax    Page 3, line 22 [CIT=(T/1-T) * (1-(WCLTD/R))] x Line 39</t>
  </si>
  <si>
    <t>Page 1 line 14</t>
  </si>
  <si>
    <t>Note A and Note D</t>
  </si>
  <si>
    <t>Total Income Taxes Allocated</t>
  </si>
  <si>
    <t xml:space="preserve">     Less Ancillary Service Expenses included in Transmission O&amp;M Accounts (Note U)</t>
  </si>
  <si>
    <t>Removes transmission plant determined by Commission order to be state-jurisdictional according to the seven-factor test (until Form 1 balances are adjusted to reflect application of seven-factor test) or removes transmission plant that is not under MISO functional control.</t>
  </si>
  <si>
    <t xml:space="preserve">     Less Ancillary Service Expenses included in Transmission O&amp;M Accounts </t>
  </si>
  <si>
    <t>Less: Ancillary Service Expenses included in above</t>
  </si>
  <si>
    <t>Attach O, p 3, line 1a col 5</t>
  </si>
  <si>
    <t>34a</t>
  </si>
  <si>
    <t>ACCOUNT 456 (OTHER ELECTRIC REVENUES)</t>
  </si>
  <si>
    <t>(Note NN)</t>
  </si>
  <si>
    <t>ACCOUNT 456.1 (REVENUES FROM TRANSMISSION OF ELECTRICTY OF OTHERS)</t>
  </si>
  <si>
    <t>NN</t>
  </si>
  <si>
    <t>End</t>
  </si>
  <si>
    <t xml:space="preserve">  Account No. 456</t>
  </si>
  <si>
    <t>39(b) = return from Page 3, Line 28, Col 3 times % in Line 38, Col b 
39(e) = return from Page 3, Line 28, Col 5 times % in Line 38, Col b</t>
  </si>
  <si>
    <t>Includes income related only to transmission facilities, such as pole attachments, rentals and special use, less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</si>
  <si>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 This line will exclude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</si>
  <si>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Account 456.1 entry shall be the annual total of the quarterly values reported at Form 1, Page 330.x.n., less any amounts related to Non-MISO assets or services.  For clarification, GLH commits to provided a workpaper itemizing each revenue source in order for interested parties to determine which revenues are related to MISO assets and services versus Non-MISO assets and services.  Non-MISO assets are transmission assets not under MISO functional control.</t>
  </si>
  <si>
    <t xml:space="preserve">Includes scheduling, system control and dispatch costs recorded in Accounts 561.1 through 561.3 and which are recovered in Schedule 1 or Schedule 24 rates.  Also excludes Account 561.4 and Account 561.8.  </t>
  </si>
  <si>
    <t>Includes revenue from electric operations properly credited to MISO customers and not includible in other accounts, such as compensation for minor or incidental services provided for others. GLH commits to provide a workpaper itemizing each revenue source for interested parties to determine which revenues should be reflected herein.</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</si>
  <si>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</si>
  <si>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DIVISOR</t>
  </si>
  <si>
    <t xml:space="preserve"> Less Transmission plant included in OATT Ancillary Services  </t>
  </si>
  <si>
    <t>(Line 1 minus Lines 2 &amp; Line 3)</t>
  </si>
  <si>
    <t>Attach 9A, p 2, line 2 col 5 (Note A)</t>
  </si>
  <si>
    <t>Attach 9A, p 2, line 8 col 5</t>
  </si>
  <si>
    <t>Attach 9A, p 2, lines 18a, 23a  &amp; 23b (Note B)</t>
  </si>
  <si>
    <t>Attach 9A, p 3, line 8 col 5</t>
  </si>
  <si>
    <t>Attach 9A, p 3, line 1 col 5</t>
  </si>
  <si>
    <t>Attach 9A, p 3, line 2 col 5, if any</t>
  </si>
  <si>
    <t>Attach 9A, p 3, line 7b col 5, if any</t>
  </si>
  <si>
    <t>Attach 9A, p 3, lines 10 &amp; 11, col 5 (Note G)</t>
  </si>
  <si>
    <t>Attach 9A, p 3, line 20 col 5</t>
  </si>
  <si>
    <t>Attach 9A, p 3, line 27 col 5</t>
  </si>
  <si>
    <t>Attach 9A, p 3, line 28 col 5</t>
  </si>
  <si>
    <t>Attach 9A, p 3, line 1a col 5</t>
  </si>
  <si>
    <t xml:space="preserve">Adjustment to make Line 6b equal to zero if there is no revenue requirement associated with Schedules 7, 8 &amp; 9.  </t>
  </si>
  <si>
    <t>Includes revenue from electric operations properly credited to Non-MISO customers and not includible in other accounts, such as compensation for minor or incidental services provided for others. GLH commits to provide a workpaper itemizing each revenue source for interested parties to determine which revenues should be reflected herein.</t>
  </si>
  <si>
    <t xml:space="preserve">  Total  (sum lines 12-15) [If there are no labor dollars, input $1 on line 13 which is then multiplied by the TP allocator on line 13]</t>
  </si>
  <si>
    <t>Non-MISO Rate Formula Template</t>
  </si>
  <si>
    <t>Attachment 9A-GLH</t>
  </si>
  <si>
    <t>Attachment 9A-GLH True-up Adjustment with Interest</t>
  </si>
  <si>
    <t xml:space="preserve">PLUS Incentives on Attachment 9B for projects other than those included in </t>
  </si>
  <si>
    <t>Attachment 9B, line 18</t>
  </si>
  <si>
    <t>REV. REQUIREMENT TO BE COLLECTED UNDER THE OATT</t>
  </si>
  <si>
    <t xml:space="preserve">Less Transmission plant included in ISO rates  </t>
  </si>
  <si>
    <t>Transmission plant not included in ISO rates</t>
  </si>
  <si>
    <t>Peak as would be reported on Page 401, Column d of Form 1 at the time of the applicable pricing zone coincident monthly peaks. Non-MISO assets are transmission assets not under MISO functional control.  Only Non-MISO related items are included.</t>
  </si>
  <si>
    <t>Labeled LF, LU, IF, IU on Pages 310-311 of Form 1 at the time of the applicable pricing zone coincident monthly peaks.  Only Non-MISO related items are included.</t>
  </si>
  <si>
    <t>Labeled LF on Page 328 of Form 1 at the time of the applicable pricing zone coincident monthly peaks.  Only Non-MISO related items are included.</t>
  </si>
  <si>
    <t>Labeled LF on Page 328 of Form 1 at the time of the applicable pricing zone coincident monthly peaks. Only Non-MISO related items are included.</t>
  </si>
  <si>
    <t>The FERC's annual charges for the year assessed the Transmission Owner for service under this formula rate.  Only Non-MISO related items are included.</t>
  </si>
  <si>
    <t>ROE will be supported in the original filing and no change in ROE may be made absent a filing with FERC.  A 50 basis point adder for RTO participation may be added to the ROE up to the upper end of the zone of reasonableness established by FERC.</t>
  </si>
  <si>
    <r>
      <t xml:space="preserve">Includes income related only to transmission facilities, such as pole attachments, rentals and special use, less any amounts related to </t>
    </r>
    <r>
      <rPr>
        <strike/>
        <sz val="10"/>
        <rFont val="Times New Roman"/>
        <family val="1"/>
      </rPr>
      <t>Non-</t>
    </r>
    <r>
      <rPr>
        <sz val="10"/>
        <rFont val="Times New Roman"/>
        <family val="1"/>
      </rPr>
      <t>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 and are included here.</t>
    </r>
  </si>
  <si>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 This line will include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</si>
  <si>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t>The revenues credited on Page 1, Lines 2-6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  These lines will include any amounts related to Non-MISO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</si>
  <si>
    <r>
      <t xml:space="preserve">Account 456.1 entry shall be the annual total of the quarterly values reported at Form 1, Page 330.x.n., less any amounts related to </t>
    </r>
    <r>
      <rPr>
        <strike/>
        <sz val="10"/>
        <rFont val="Times New Roman"/>
        <family val="1"/>
      </rPr>
      <t>Non-</t>
    </r>
    <r>
      <rPr>
        <sz val="10"/>
        <rFont val="Times New Roman"/>
        <family val="1"/>
      </rPr>
      <t>MISO assets or services.  For clarification, GLH commits to provide a workpaper itemizing each revenue source in order for interested parties to determine which revenues are related to MISO assets and services versus Non-MISO assets and services.  Non-MISO assets are transmission assets not under MISO functional control.</t>
    </r>
  </si>
  <si>
    <t>Includes system control, dispatch and scheduling costs in FERC accounts 561.1 through 561.4 and which are recovered in Schedule 1.  Also excludes Account 561.4 and Account 561.8.  MISO-related amounts are excluded from this attachment.</t>
  </si>
  <si>
    <t>Pursuant to Attachment GG of the MISO Tariff, removes dollar amount of the revenue requirements calculated pursuant to Attachment GG.  MISO-related amounts are excluded from this attachment.</t>
  </si>
  <si>
    <t>Removes from revenue credits revenue that are distributed pursuant to Schedules associated with Attachment GG of the MISO Tariff, since the Transmission Owner's Attachment O revenue requirements have already been reduced by the Attachment GG revenue requirements. MISO-related amounts are excluded from this attachment.</t>
  </si>
  <si>
    <t>Pursuant to Attachment MM of the MISO Tariff, removes dollar amount of the revenue requirements calculated pursuant to Attachment MM.  MISO-related amounts are excluded from this attachment.</t>
  </si>
  <si>
    <t>Removes from revenue credits revenues that are distributed pursuant to Schedules associated with Attachment MM of the MISO Tariff, since the  Transmission Owner's Attachment O revenue requirements have already been reduced by the Attachment MM revenue requirements. MISO-related amounts are excluded from this attachment.</t>
  </si>
  <si>
    <t>Schedule 10-FERC charges should not be included in O&amp;M recovered under Attachment O.</t>
  </si>
  <si>
    <t xml:space="preserve">DA in the allocator Column in this attachment means that the cost is directly assigned to  Non-MISO consistent with the attached workpapers. </t>
  </si>
  <si>
    <t xml:space="preserve">Round to zero if amount shown is not zero and there is no revenue requirement to recover under Schedules 7, 8, and 9 of the GLH OATT. </t>
  </si>
  <si>
    <t>Includes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</si>
  <si>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Attachment 9B (Note J)</t>
  </si>
  <si>
    <t>Non-MISO Project Revenue Requirement Worksheet</t>
  </si>
  <si>
    <t>To be completed in conjunction with Attachment 9A-GLH.</t>
  </si>
  <si>
    <t>(inputs from Attachment 9A-GLH are rounded to whole dollars)</t>
  </si>
  <si>
    <t>Less: Ancillary Service expenses included in above</t>
  </si>
  <si>
    <t>Discounts</t>
  </si>
  <si>
    <t>Gross Transmission Plant that is included on page 2 line 2 of Attachment 9A-GLH (see line 1 col (3)).</t>
  </si>
  <si>
    <t>Project True-Up Adjustment is calculated on the Attachment GG - GLH and Attachment MM - GLH True-Up Template (see col. K). For Non-MISO projects other than Attachment GG or MM, the Project True-up Adjustment is calculated on Attachment 9C.  MISO-related amounts will be excluded from this attachment.</t>
  </si>
  <si>
    <r>
      <t>Project Depreciation Expense is the actual value booked in Attachment 9A-GLH, Page 3, line 9 that is associated with the specified project.  Project Depreciation Expense includes the amortization of Abandoned Plant.  However, if FERC grants accelerated depreciation for a project the depreciation rate authorized by FERC will be used instead of the rates shown on Attachment 6 for all other projects. Line 15, Col. (13). Does not include</t>
    </r>
    <r>
      <rPr>
        <strike/>
        <sz val="10"/>
        <rFont val="Times New Roman"/>
        <family val="1"/>
      </rPr>
      <t>s</t>
    </r>
    <r>
      <rPr>
        <sz val="10"/>
        <rFont val="Times New Roman"/>
        <family val="1"/>
      </rPr>
      <t xml:space="preserve"> project related regulatory assets.</t>
    </r>
  </si>
  <si>
    <t>Any discounts related to Non-MISO specific project(s) will be included in this column. The amount in Column 17  above equals the amount by which the annual revenue requirement is reduced from the ceiling rate  (see line 15 col. (17)).</t>
  </si>
  <si>
    <t>This Attachment 9B is a reconciliation of the total calculated GridLiance Heartland Non-MISO ATRR and each of the related projects/assets.</t>
  </si>
  <si>
    <t>Attachment 9C (Note 3)</t>
  </si>
  <si>
    <t>Non-MISO Project True-Up</t>
  </si>
  <si>
    <t>1) From Attachment 9A-GLH and Attachment 9B</t>
  </si>
  <si>
    <t>For each Non-MISO project or Attachment 9A-GLH, the utility will populate the formula rate with the inputs for the True-Up Year.  The revenue requirements, based on actual operating results for the True-Up Year, associated with the projects and Attachment 9A-GLH and Attachment 9B will then be entered in Col. (C) above.  Column (D) contains the actual revenues received associated with Attachment 9A-GLH not paid by MISO to the utility during the True-Up Year.  Col. (E) is the Net Under/(Over) Collection where  Col. (D) is subtracted from Col. (C).   Column (F), line 2 is the interest calculated in accordance with Attachment O-GLH Annual True-Up, Information Exchange and Challenge Procedures.  Column (F), lines 2x contain the interest amounts calculated in column (J) of the Annual Attachment GG True-Up Calculation and the Annual Attachment MM True-Up Calculation.  Col. (G) is the sum of the Net Under/(Over) Collection in Col. (E) and the interest in Col. (F).  This includes only Non-MISO amounts.</t>
  </si>
  <si>
    <t>Rev. Req. Adj For Attachment 9A</t>
  </si>
  <si>
    <t>Incentives from Projects other than those in Attachment GG- GLH and Attachment MM_GLH.  This includes only amounts related to Non-MISO assets</t>
  </si>
  <si>
    <t>Attachment 9C, Page 1, Line 3, Col. (G)</t>
  </si>
  <si>
    <t>3) The Attachment 9C-Non-MISO Project True-Up is the actual True-Up calculation for Non-MISO amounts.</t>
  </si>
  <si>
    <t>Attachment 3, Page 1, Line 3, Col. (G)</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</si>
  <si>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</si>
  <si>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</si>
  <si>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Percentage of Transmission plant not included in ISO Rates  </t>
  </si>
  <si>
    <t>Includes transmission plant under MISO functional control and included in Attachment O-GLH</t>
  </si>
  <si>
    <t>2) The ‘revenue received’ is the total amount of revenue received by GLH in the True-Up Year from Attachment 9A, Line 36, page 4 of 5 of Attachment 9A-GLH.  This includes only Non-MISO amounts.</t>
  </si>
  <si>
    <t>Page 1 of  2</t>
  </si>
  <si>
    <t>Income Tax Allowance</t>
  </si>
  <si>
    <t>Calculation of Effective Tax Rate</t>
  </si>
  <si>
    <t>(7)</t>
  </si>
  <si>
    <t>(8)</t>
  </si>
  <si>
    <t>(9)</t>
  </si>
  <si>
    <t>(10)</t>
  </si>
  <si>
    <t>(11)</t>
  </si>
  <si>
    <t>(12)</t>
  </si>
  <si>
    <t>(13)</t>
  </si>
  <si>
    <t>Description</t>
  </si>
  <si>
    <t>Corporations - Including C Corps</t>
  </si>
  <si>
    <t>S Corps, PTEs</t>
  </si>
  <si>
    <t>Individuals (including foreign), estates &amp; trusts</t>
  </si>
  <si>
    <t>Mutual funds</t>
  </si>
  <si>
    <t>Trusts</t>
  </si>
  <si>
    <t>UBTI entities - pension funds, IRA, Keogh Plans</t>
  </si>
  <si>
    <t>Tax Exempt Entities</t>
  </si>
  <si>
    <r>
      <t xml:space="preserve">Weighted Average Income Tax Rate 
</t>
    </r>
    <r>
      <rPr>
        <sz val="10"/>
        <color rgb="FF000000"/>
        <rFont val="Times New Roman"/>
        <family val="1"/>
      </rPr>
      <t>(Sum Cols. 5-11)</t>
    </r>
  </si>
  <si>
    <r>
      <t xml:space="preserve">Total 
</t>
    </r>
    <r>
      <rPr>
        <sz val="10"/>
        <color rgb="FF000000"/>
        <rFont val="Times New Roman"/>
        <family val="1"/>
      </rPr>
      <t>(Sum Cols. 5-11)</t>
    </r>
  </si>
  <si>
    <t>FIT = Weighted Marginal Federal Income Tax Rate</t>
  </si>
  <si>
    <t>Partners with Actual or Potential Income Tax Liability</t>
  </si>
  <si>
    <t>Note C</t>
  </si>
  <si>
    <t xml:space="preserve"> (Col. 13, Lines 25 - 31)</t>
  </si>
  <si>
    <t>Weighted Average Federal Income Tax Rate</t>
  </si>
  <si>
    <t>SIT = Weighted Marginal State Income Tax Rate</t>
  </si>
  <si>
    <t>Weighted Average State Income Tax Rate</t>
  </si>
  <si>
    <t>p = Weighted Average State Income Tax Rate Value of Federal Tax Deductibility</t>
  </si>
  <si>
    <t>(Page 2, Col. 56, Line 6 )</t>
  </si>
  <si>
    <t>Weighted Average X</t>
  </si>
  <si>
    <t>Projected Distributive Share of Income from Transmission Investment</t>
  </si>
  <si>
    <t xml:space="preserve"> (Col. 10, Lines 37 - 43)</t>
  </si>
  <si>
    <r>
      <rPr>
        <b/>
        <sz val="10"/>
        <color rgb="FF000000"/>
        <rFont val="Times New Roman"/>
        <family val="1"/>
      </rPr>
      <t>Income Tax Allowance</t>
    </r>
    <r>
      <rPr>
        <sz val="10"/>
        <color rgb="FF000000"/>
        <rFont val="Times New Roman"/>
        <family val="1"/>
      </rPr>
      <t xml:space="preserve"> (ITA)</t>
    </r>
  </si>
  <si>
    <t>Note D</t>
  </si>
  <si>
    <r>
      <rPr>
        <b/>
        <sz val="10"/>
        <color rgb="FF000000"/>
        <rFont val="Times New Roman"/>
        <family val="1"/>
      </rPr>
      <t>Composite Income Tax Rate</t>
    </r>
    <r>
      <rPr>
        <sz val="10"/>
        <color rgb="FF000000"/>
        <rFont val="Times New Roman"/>
        <family val="1"/>
      </rPr>
      <t xml:space="preserve"> [T=SIT * (1-FIT) + FIT - (p * FIT)]</t>
    </r>
  </si>
  <si>
    <t>Private Equity (PE) Investment Ownership of GridLiance Heartland LLC (GLH)</t>
  </si>
  <si>
    <t>Note F</t>
  </si>
  <si>
    <t>Ownership of Funds by FERC Categories of Investors</t>
  </si>
  <si>
    <t>BCP VI</t>
  </si>
  <si>
    <t>BEP II/II.F</t>
  </si>
  <si>
    <t>BCP VI SBS</t>
  </si>
  <si>
    <t>BEP II SBS</t>
  </si>
  <si>
    <t>BTAS</t>
  </si>
  <si>
    <t>Weighted Average PE Ownership of GLH by FERC Categories of Investors</t>
  </si>
  <si>
    <t>Weighted Average 
Private Equity Ownership</t>
  </si>
  <si>
    <t>Total Ownership</t>
  </si>
  <si>
    <t>Total Ownership Adjusted</t>
  </si>
  <si>
    <t>Corporations (feeder LP)</t>
  </si>
  <si>
    <t>Individuals</t>
  </si>
  <si>
    <t>Mutual Funds</t>
  </si>
  <si>
    <t>UBTI Entities</t>
  </si>
  <si>
    <t>Non-Taxpaying Entities</t>
  </si>
  <si>
    <t>Total Private Equity Ownership (Note E)</t>
  </si>
  <si>
    <t>Separate Individual Ownership (Note F)</t>
  </si>
  <si>
    <t xml:space="preserve">Represents the weighted average federal or state tax rate for each category of partners.  Support to be provided for the use of any marginal federal income tax rate that differs from any </t>
  </si>
  <si>
    <t>applicable presumptive marginal federal income tax rates that have been adopted by the Commission.</t>
  </si>
  <si>
    <t>From Page 2 below.</t>
  </si>
  <si>
    <t>Calculation of ownership by category of investor.</t>
  </si>
  <si>
    <t>Income Tax Allowance (ITA) equals one less the ownership percentage of tax exempt entities and is based upon the Commission's order in Docket Nos. ER18-2342, EL19-29, and ER19-2488.</t>
  </si>
  <si>
    <t>One (1) minus Separate Individual Ownership (Line 45).</t>
  </si>
  <si>
    <t>Based on GLH records.</t>
  </si>
  <si>
    <t>(6)</t>
  </si>
  <si>
    <t>State</t>
  </si>
  <si>
    <r>
      <t xml:space="preserve">Apportionment </t>
    </r>
    <r>
      <rPr>
        <b/>
        <i/>
        <sz val="10"/>
        <color rgb="FF000000"/>
        <rFont val="Times New Roman"/>
        <family val="1"/>
      </rPr>
      <t xml:space="preserve">
</t>
    </r>
    <r>
      <rPr>
        <sz val="10"/>
        <color rgb="FF000000"/>
        <rFont val="Times New Roman"/>
        <family val="1"/>
      </rPr>
      <t>based on situs gross plant</t>
    </r>
  </si>
  <si>
    <t>State Income Tax Rate</t>
  </si>
  <si>
    <t>Percent Federal Taxes Deductible</t>
  </si>
  <si>
    <r>
      <t>Weighted Rate (</t>
    </r>
    <r>
      <rPr>
        <sz val="10"/>
        <color rgb="FF000000"/>
        <rFont val="Times New Roman"/>
        <family val="1"/>
      </rPr>
      <t>Col. 2 * Col. 3)</t>
    </r>
  </si>
  <si>
    <r>
      <t xml:space="preserve">Weighted Rate for Impact of Federal Tax Deductibility
</t>
    </r>
    <r>
      <rPr>
        <sz val="10"/>
        <color rgb="FF000000"/>
        <rFont val="Times New Roman"/>
        <family val="1"/>
      </rPr>
      <t>(Col. 2 * Col. 4)</t>
    </r>
  </si>
  <si>
    <t>Illinois</t>
  </si>
  <si>
    <t>Kentucky</t>
  </si>
  <si>
    <t>State 3</t>
  </si>
  <si>
    <t>State 4</t>
  </si>
  <si>
    <t>State 5</t>
  </si>
  <si>
    <t>Total Weighted Average</t>
  </si>
  <si>
    <t>Actual ownership</t>
  </si>
  <si>
    <t>For Informational Purposes Only</t>
  </si>
  <si>
    <t>Upon request, GridLiance Heartland will provide any relevant ownership agreements to support the ownership categories and associated inputs used to calculate GridLiance Heartland's income tax liability</t>
  </si>
  <si>
    <t xml:space="preserve">Upon request, GridLiance Heartland will provide supporting documents, including tax returns or, where the federal income tax rate is concerned, notice that GridLiance Heartland elected to take the 20 percent deduction available to pass-through entities.  </t>
  </si>
  <si>
    <t xml:space="preserve">     T=SIT * (1-FIT) + FIT - (p*FIT)</t>
  </si>
  <si>
    <t>Attachment 10a</t>
  </si>
  <si>
    <t>Attachment 10</t>
  </si>
  <si>
    <t>(Note K)  (Attachment 10, Col. 12, Line 12)</t>
  </si>
  <si>
    <t xml:space="preserve">WCLTD = Page 4, Line 27; R = Page 4, Line 30 </t>
  </si>
  <si>
    <t>(Line 22) times (Page 4, Line 30) times (Page 2, Line 30)</t>
  </si>
  <si>
    <t>See Attachment 10</t>
  </si>
  <si>
    <r>
      <t xml:space="preserve">The currently effective income tax rate, where FIT is the </t>
    </r>
    <r>
      <rPr>
        <u/>
        <sz val="10"/>
        <color rgb="FF0000FF"/>
        <rFont val="Times New Roman"/>
        <family val="1"/>
      </rPr>
      <t>weighted average</t>
    </r>
    <r>
      <rPr>
        <sz val="10"/>
        <rFont val="Times New Roman"/>
        <family val="1"/>
      </rPr>
      <t xml:space="preserve"> Federal income tax rate; SIT is the </t>
    </r>
    <r>
      <rPr>
        <u/>
        <sz val="10"/>
        <color rgb="FF0000FF"/>
        <rFont val="Times New Roman"/>
        <family val="1"/>
      </rPr>
      <t>weighted average</t>
    </r>
    <r>
      <rPr>
        <sz val="10"/>
        <rFont val="Times New Roman"/>
        <family val="1"/>
      </rPr>
      <t xml:space="preserv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t>
    </r>
    <r>
      <rPr>
        <u/>
        <sz val="10"/>
        <color rgb="FF0000FF"/>
        <rFont val="Times New Roman"/>
        <family val="1"/>
      </rPr>
      <t>Excess Deferred Income Taxes reduce income tax expense by the amount of the expense multiplied by (T/1-T).</t>
    </r>
  </si>
  <si>
    <t>For the 12 months ended 12/31/2020</t>
  </si>
  <si>
    <t>The Ohio River Crossing</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</si>
  <si>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</si>
  <si>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EEI Non-MISO Assets</t>
  </si>
  <si>
    <t>Depreciation</t>
  </si>
  <si>
    <t>Property basis difference resulting from accelerated tax depreciation.</t>
  </si>
  <si>
    <t xml:space="preserve">  Total  (sum lines 12-15) [ If there are no labor dollars, input $1 on line 13 which is then multiplied by the TP allocator on line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</si>
</sst>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quot;$&quot;#,##0"/>
    <numFmt numFmtId="167" formatCode="_(* #,##0_);_(* \(#,##0\);_(* &quot;-&quot;??_);_(@_)"/>
    <numFmt numFmtId="168" formatCode="&quot;$&quot;#,##0.000"/>
    <numFmt numFmtId="169" formatCode="0.0000"/>
    <numFmt numFmtId="170" formatCode="0.000%"/>
    <numFmt numFmtId="171" formatCode="#,##0.0"/>
    <numFmt numFmtId="172" formatCode="_(* #,##0.0000_);_(* \(#,##0.0000\);_(* &quot;-&quot;??_);_(@_)"/>
    <numFmt numFmtId="173" formatCode="#,##0.0000"/>
    <numFmt numFmtId="174" formatCode="_(* #,##0.00000_);_(* \(#,##0.00000\);_(* &quot;-&quot;??_);_(@_)"/>
    <numFmt numFmtId="175" formatCode="_(* #,##0.0000000_);_(* \(#,##0.0000000\);_(* &quot;-&quot;??_);_(@_)"/>
    <numFmt numFmtId="176" formatCode="_(* #,##0.0_);_(* \(#,##0.0\);_(* &quot;-&quot;??_);_(@_)"/>
    <numFmt numFmtId="177" formatCode="#,##0.000"/>
    <numFmt numFmtId="178" formatCode="#,##0.00000"/>
    <numFmt numFmtId="179" formatCode="0_);\(0\)"/>
    <numFmt numFmtId="180" formatCode="&quot;$&quot;#,##0.0000"/>
    <numFmt numFmtId="181" formatCode="_(&quot;$&quot;* #,##0_);_(&quot;$&quot;* \(#,##0\);_(&quot;$&quot;* &quot;-&quot;??_);_(@_)"/>
    <numFmt numFmtId="182" formatCode="0.0000%"/>
    <numFmt numFmtId="183" formatCode="0.0%"/>
    <numFmt numFmtId="184" formatCode="0.000000000000000%"/>
    <numFmt numFmtId="185" formatCode="0.00000%"/>
    <numFmt numFmtId="186" formatCode="0.00000000000000%"/>
    <numFmt numFmtId="187" formatCode="0.000000000000%"/>
  </numFmts>
  <fonts count="46">
    <font>
      <sz val="12"/>
      <name val="Arial MT"/>
      <family val="2"/>
    </font>
    <font>
      <sz val="10"/>
      <name val="Arial"/>
      <family val="2"/>
    </font>
    <font>
      <sz val="10"/>
      <name val="Times New Roman"/>
      <family val="1"/>
    </font>
    <font>
      <sz val="12"/>
      <name val="Arial MT"/>
      <family val="2"/>
    </font>
    <font>
      <b/>
      <i/>
      <strike/>
      <sz val="10"/>
      <name val="Times New Roman"/>
      <family val="1"/>
    </font>
    <font>
      <sz val="10"/>
      <color indexed="10"/>
      <name val="Times New Roman"/>
      <family val="1"/>
    </font>
    <font>
      <sz val="12"/>
      <name val="Times New Roman"/>
      <family val="1"/>
    </font>
    <font>
      <strike/>
      <sz val="10"/>
      <name val="Times New Roman"/>
      <family val="1"/>
    </font>
    <font>
      <b/>
      <sz val="10"/>
      <name val="Times New Roman"/>
      <family val="1"/>
    </font>
    <font>
      <sz val="10"/>
      <color indexed="40"/>
      <name val="Times New Roman"/>
      <family val="1"/>
    </font>
    <font>
      <sz val="12"/>
      <name val="Arial Narrow"/>
      <family val="2"/>
    </font>
    <font>
      <strike/>
      <sz val="10"/>
      <color indexed="10"/>
      <name val="Times New Roman"/>
      <family val="1"/>
    </font>
    <font>
      <u/>
      <sz val="10"/>
      <name val="Times New Roman"/>
      <family val="1"/>
    </font>
    <font>
      <sz val="10"/>
      <color rgb="FFFF0000"/>
      <name val="Times New Roman"/>
      <family val="1"/>
    </font>
    <font>
      <sz val="10"/>
      <color indexed="17"/>
      <name val="Times New Roman"/>
      <family val="1"/>
    </font>
    <font>
      <b/>
      <u/>
      <sz val="10"/>
      <name val="Times New Roman"/>
      <family val="1"/>
    </font>
    <font>
      <sz val="10"/>
      <color indexed="8"/>
      <name val="Times New Roman"/>
      <family val="1"/>
    </font>
    <font>
      <sz val="10"/>
      <name val="Arial Narrow"/>
      <family val="2"/>
    </font>
    <font>
      <sz val="12"/>
      <name val="Arial"/>
      <family val="2"/>
    </font>
    <font>
      <b/>
      <sz val="12"/>
      <name val="Arial Narrow"/>
      <family val="2"/>
    </font>
    <font>
      <sz val="11"/>
      <color theme="1"/>
      <name val="Calibri"/>
      <family val="2"/>
      <scheme val="minor"/>
    </font>
    <font>
      <sz val="10"/>
      <color theme="1"/>
      <name val="Times New Roman"/>
      <family val="1"/>
    </font>
    <font>
      <vertAlign val="superscript"/>
      <sz val="10"/>
      <color theme="1"/>
      <name val="Times New Roman"/>
      <family val="1"/>
    </font>
    <font>
      <sz val="11"/>
      <name val="Times New Roman"/>
      <family val="1"/>
    </font>
    <font>
      <sz val="11"/>
      <color indexed="40"/>
      <name val="Times New Roman"/>
      <family val="1"/>
    </font>
    <font>
      <sz val="9"/>
      <name val="Helv"/>
      <family val="2"/>
    </font>
    <font>
      <u/>
      <sz val="11"/>
      <name val="Garamond"/>
      <family val="1"/>
    </font>
    <font>
      <sz val="11"/>
      <name val="Garamond"/>
      <family val="1"/>
    </font>
    <font>
      <b/>
      <sz val="11"/>
      <name val="Garamond"/>
      <family val="1"/>
    </font>
    <font>
      <b/>
      <u/>
      <sz val="10"/>
      <name val="Arial"/>
      <family val="2"/>
    </font>
    <font>
      <b/>
      <sz val="11"/>
      <name val="Arial"/>
      <family val="2"/>
    </font>
    <font>
      <b/>
      <sz val="10"/>
      <name val="Arial"/>
      <family val="2"/>
    </font>
    <font>
      <sz val="14"/>
      <name val="Arial"/>
      <family val="2"/>
    </font>
    <font>
      <b/>
      <sz val="12"/>
      <name val="Arial"/>
      <family val="2"/>
    </font>
    <font>
      <b/>
      <sz val="10"/>
      <color rgb="FFFF0000"/>
      <name val="Times New Roman"/>
      <family val="1"/>
    </font>
    <font>
      <b/>
      <u/>
      <sz val="10"/>
      <color rgb="FFFF0000"/>
      <name val="Times New Roman"/>
      <family val="1"/>
    </font>
    <font>
      <b/>
      <strike/>
      <sz val="10"/>
      <color rgb="FFFF0000"/>
      <name val="Times New Roman"/>
      <family val="1"/>
    </font>
    <font>
      <b/>
      <sz val="10"/>
      <name val="Arial Narrow"/>
      <family val="2"/>
    </font>
    <font>
      <strike/>
      <sz val="12"/>
      <name val="Arial Narrow"/>
      <family val="2"/>
    </font>
    <font>
      <sz val="12"/>
      <name val="Arial MT"/>
    </font>
    <font>
      <sz val="10"/>
      <color rgb="FF0000FF"/>
      <name val="Times New Roman"/>
      <family val="1"/>
    </font>
    <font>
      <b/>
      <sz val="10"/>
      <color rgb="FF000000"/>
      <name val="Times New Roman"/>
      <family val="1"/>
    </font>
    <font>
      <sz val="10"/>
      <color rgb="FF000000"/>
      <name val="Times New Roman"/>
      <family val="1"/>
    </font>
    <font>
      <b/>
      <sz val="10"/>
      <color indexed="8"/>
      <name val="Times New Roman"/>
      <family val="1"/>
    </font>
    <font>
      <b/>
      <i/>
      <sz val="10"/>
      <color rgb="FF000000"/>
      <name val="Times New Roman"/>
      <family val="1"/>
    </font>
    <font>
      <u/>
      <sz val="10"/>
      <color rgb="FF0000FF"/>
      <name val="Times New Roman"/>
      <family val="1"/>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rgb="FFFF00FF"/>
        <bgColor indexed="64"/>
      </patternFill>
    </fill>
    <fill>
      <patternFill patternType="solid">
        <fgColor rgb="FFFFFFCC"/>
        <bgColor rgb="FF000000"/>
      </patternFill>
    </fill>
    <fill>
      <patternFill patternType="solid">
        <fgColor rgb="FFFFFF99"/>
        <bgColor rgb="FF000000"/>
      </patternFill>
    </fill>
  </fills>
  <borders count="40">
    <border>
      <left/>
      <right/>
      <top/>
      <bottom/>
      <diagonal/>
    </border>
    <border>
      <left/>
      <right/>
      <top/>
      <bottom style="medium">
        <color auto="1"/>
      </bottom>
      <diagonal/>
    </border>
    <border>
      <left/>
      <right/>
      <top/>
      <bottom style="double">
        <color auto="1"/>
      </bottom>
      <diagonal/>
    </border>
    <border>
      <left/>
      <right/>
      <top style="thin">
        <color auto="1"/>
      </top>
      <bottom style="double">
        <color auto="1"/>
      </bottom>
      <diagonal/>
    </border>
    <border>
      <left/>
      <right/>
      <top style="medium">
        <color auto="1"/>
      </top>
      <bottom style="double">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s>
  <cellStyleXfs count="32">
    <xf numFmtId="164" fontId="0" fillId="0" borderId="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164" fontId="3" fillId="0" borderId="0" applyProtection="0"/>
    <xf numFmtId="164" fontId="3" fillId="0" borderId="0" applyProtection="0"/>
    <xf numFmtId="0" fontId="3" fillId="0" borderId="0" applyProtection="0"/>
    <xf numFmtId="164" fontId="3" fillId="0" borderId="0" applyProtection="0"/>
    <xf numFmtId="164" fontId="3" fillId="0" borderId="0" applyProtection="0"/>
    <xf numFmtId="0" fontId="20" fillId="0" borderId="0"/>
    <xf numFmtId="164" fontId="3" fillId="0" borderId="0" applyProtection="0"/>
    <xf numFmtId="0" fontId="1" fillId="0" borderId="0"/>
    <xf numFmtId="0" fontId="1" fillId="0" borderId="0"/>
    <xf numFmtId="164" fontId="3" fillId="0" borderId="0" applyProtection="0"/>
    <xf numFmtId="0" fontId="1" fillId="0" borderId="0"/>
    <xf numFmtId="0" fontId="1" fillId="0" borderId="0"/>
    <xf numFmtId="7" fontId="25" fillId="0" borderId="0"/>
    <xf numFmtId="9" fontId="1" fillId="0" borderId="0" applyFont="0" applyFill="0" applyBorder="0" applyAlignment="0" applyProtection="0"/>
    <xf numFmtId="0" fontId="23" fillId="0" borderId="0"/>
    <xf numFmtId="0" fontId="20" fillId="0" borderId="0"/>
    <xf numFmtId="43" fontId="20" fillId="0" borderId="0" applyFont="0" applyFill="0" applyBorder="0" applyAlignment="0" applyProtection="0"/>
    <xf numFmtId="0" fontId="20" fillId="0" borderId="0"/>
    <xf numFmtId="0" fontId="1" fillId="0" borderId="0"/>
    <xf numFmtId="41" fontId="1" fillId="0" borderId="0" applyFont="0" applyFill="0" applyBorder="0" applyAlignment="0" applyProtection="0"/>
    <xf numFmtId="0" fontId="1" fillId="0" borderId="0"/>
    <xf numFmtId="164" fontId="39" fillId="0" borderId="0" applyProtection="0"/>
    <xf numFmtId="164" fontId="39" fillId="0" borderId="0" applyProtection="0"/>
    <xf numFmtId="164" fontId="39" fillId="0" borderId="0" applyProtection="0"/>
    <xf numFmtId="164" fontId="39" fillId="0" borderId="0" applyProtection="0"/>
    <xf numFmtId="9" fontId="1" fillId="0" borderId="0" applyFont="0" applyFill="0" applyBorder="0" applyAlignment="0" applyProtection="0"/>
    <xf numFmtId="43" fontId="1" fillId="0" borderId="0" applyFont="0" applyFill="0" applyBorder="0" applyAlignment="0" applyProtection="0"/>
  </cellStyleXfs>
  <cellXfs count="803">
    <xf numFmtId="164" fontId="0" fillId="0" borderId="0" xfId="0"/>
    <xf numFmtId="0" fontId="2" fillId="0" borderId="0" xfId="4" applyFont="1"/>
    <xf numFmtId="164" fontId="2" fillId="0" borderId="0" xfId="0" applyFont="1"/>
    <xf numFmtId="0" fontId="2" fillId="0" borderId="0" xfId="4" applyFont="1" applyAlignment="1">
      <alignment horizontal="right"/>
    </xf>
    <xf numFmtId="164" fontId="2" fillId="0" borderId="0" xfId="5" applyFont="1"/>
    <xf numFmtId="0" fontId="2" fillId="0" borderId="0" xfId="5" applyNumberFormat="1" applyFont="1" applyProtection="1">
      <protection locked="0"/>
    </xf>
    <xf numFmtId="0" fontId="2" fillId="0" borderId="0" xfId="5" applyNumberFormat="1" applyFont="1" applyAlignment="1" applyProtection="1">
      <alignment horizontal="center"/>
      <protection locked="0"/>
    </xf>
    <xf numFmtId="0" fontId="2" fillId="2" borderId="0" xfId="4" applyFont="1" applyFill="1"/>
    <xf numFmtId="0" fontId="2" fillId="2" borderId="0" xfId="5" applyNumberFormat="1" applyFont="1" applyFill="1"/>
    <xf numFmtId="0" fontId="2" fillId="2" borderId="0" xfId="6" applyNumberFormat="1" applyFont="1" applyFill="1" applyAlignment="1">
      <alignment horizontal="right"/>
    </xf>
    <xf numFmtId="3" fontId="2" fillId="0" borderId="0" xfId="5" applyNumberFormat="1" applyFont="1"/>
    <xf numFmtId="3" fontId="2" fillId="0" borderId="0" xfId="5" applyNumberFormat="1" applyFont="1" applyAlignment="1">
      <alignment horizontal="center"/>
    </xf>
    <xf numFmtId="0" fontId="2" fillId="0" borderId="0" xfId="5" applyNumberFormat="1" applyFont="1"/>
    <xf numFmtId="0" fontId="4" fillId="0" borderId="0" xfId="5" applyNumberFormat="1" applyFont="1"/>
    <xf numFmtId="164" fontId="2" fillId="0" borderId="0" xfId="0" applyFont="1" applyAlignment="1">
      <alignment horizontal="center"/>
    </xf>
    <xf numFmtId="49" fontId="2" fillId="0" borderId="0" xfId="5" applyNumberFormat="1" applyFont="1"/>
    <xf numFmtId="49" fontId="2" fillId="0" borderId="0" xfId="5" applyNumberFormat="1" applyFont="1" applyAlignment="1">
      <alignment horizontal="center"/>
    </xf>
    <xf numFmtId="0" fontId="2" fillId="0" borderId="0" xfId="5" applyNumberFormat="1" applyFont="1" applyAlignment="1">
      <alignment horizontal="center"/>
    </xf>
    <xf numFmtId="0" fontId="2" fillId="0" borderId="1" xfId="5" applyNumberFormat="1" applyFont="1" applyBorder="1" applyAlignment="1" applyProtection="1">
      <alignment horizontal="center"/>
      <protection locked="0"/>
    </xf>
    <xf numFmtId="42" fontId="2" fillId="0" borderId="0" xfId="4" applyNumberFormat="1" applyFont="1"/>
    <xf numFmtId="0" fontId="2" fillId="0" borderId="1" xfId="5" applyNumberFormat="1" applyFont="1" applyBorder="1" applyAlignment="1" applyProtection="1">
      <alignment horizontal="centerContinuous"/>
      <protection locked="0"/>
    </xf>
    <xf numFmtId="43" fontId="2" fillId="0" borderId="0" xfId="1" applyFont="1"/>
    <xf numFmtId="3" fontId="2" fillId="0" borderId="0" xfId="4" applyNumberFormat="1" applyFont="1"/>
    <xf numFmtId="3" fontId="2" fillId="0" borderId="0" xfId="5" applyNumberFormat="1" applyFont="1" applyAlignment="1">
      <alignment horizontal="left"/>
    </xf>
    <xf numFmtId="43" fontId="2" fillId="0" borderId="1" xfId="1" applyFont="1" applyBorder="1"/>
    <xf numFmtId="43" fontId="2" fillId="0" borderId="0" xfId="1" applyFont="1" applyAlignment="1">
      <alignment horizontal="fill"/>
    </xf>
    <xf numFmtId="165" fontId="2" fillId="0" borderId="0" xfId="4" applyNumberFormat="1" applyFont="1"/>
    <xf numFmtId="165" fontId="2" fillId="0" borderId="0" xfId="5" applyNumberFormat="1" applyFont="1"/>
    <xf numFmtId="3" fontId="2" fillId="0" borderId="0" xfId="5" applyNumberFormat="1" applyFont="1" applyAlignment="1">
      <alignment horizontal="fill"/>
    </xf>
    <xf numFmtId="42" fontId="2" fillId="0" borderId="2" xfId="5" applyNumberFormat="1" applyFont="1" applyBorder="1" applyAlignment="1" applyProtection="1">
      <alignment horizontal="right"/>
      <protection locked="0"/>
    </xf>
    <xf numFmtId="166" fontId="5" fillId="0" borderId="0" xfId="0" applyNumberFormat="1" applyFont="1"/>
    <xf numFmtId="164" fontId="5" fillId="0" borderId="0" xfId="0" applyFont="1"/>
    <xf numFmtId="0" fontId="2" fillId="0" borderId="0" xfId="7" applyFont="1" applyAlignment="1" applyProtection="1">
      <alignment horizontal="center"/>
      <protection locked="0"/>
    </xf>
    <xf numFmtId="0" fontId="2" fillId="0" borderId="0" xfId="7" applyFont="1"/>
    <xf numFmtId="0" fontId="2" fillId="0" borderId="0" xfId="7" applyFont="1" applyAlignment="1">
      <alignment horizontal="left"/>
    </xf>
    <xf numFmtId="167" fontId="2" fillId="0" borderId="0" xfId="1" applyNumberFormat="1" applyFont="1"/>
    <xf numFmtId="3" fontId="2" fillId="0" borderId="0" xfId="7" applyNumberFormat="1" applyFont="1"/>
    <xf numFmtId="42" fontId="2" fillId="0" borderId="2" xfId="7" applyNumberFormat="1" applyFont="1" applyBorder="1" applyAlignment="1" applyProtection="1">
      <alignment horizontal="right"/>
      <protection locked="0"/>
    </xf>
    <xf numFmtId="0" fontId="2" fillId="0" borderId="0" xfId="0" applyNumberFormat="1" applyFont="1" applyAlignment="1" applyProtection="1">
      <alignment horizontal="center"/>
      <protection locked="0"/>
    </xf>
    <xf numFmtId="0" fontId="2" fillId="0" borderId="0" xfId="0" applyNumberFormat="1" applyFont="1"/>
    <xf numFmtId="3" fontId="2" fillId="0" borderId="0" xfId="0" applyNumberFormat="1" applyFont="1"/>
    <xf numFmtId="0" fontId="6" fillId="0" borderId="0" xfId="0" applyNumberFormat="1" applyFont="1"/>
    <xf numFmtId="0" fontId="2" fillId="0" borderId="0" xfId="0" applyNumberFormat="1" applyFont="1" applyProtection="1">
      <protection locked="0"/>
    </xf>
    <xf numFmtId="43" fontId="2" fillId="2" borderId="0" xfId="1" applyFont="1" applyFill="1"/>
    <xf numFmtId="43" fontId="2" fillId="2" borderId="1" xfId="1" applyFont="1" applyFill="1" applyBorder="1"/>
    <xf numFmtId="43" fontId="2" fillId="0" borderId="0" xfId="1" applyFont="1" applyAlignment="1">
      <alignment horizontal="center"/>
    </xf>
    <xf numFmtId="0" fontId="2" fillId="0" borderId="0" xfId="0" applyNumberFormat="1" applyFont="1" applyAlignment="1">
      <alignment horizontal="left"/>
    </xf>
    <xf numFmtId="43" fontId="2" fillId="2" borderId="0" xfId="1" applyFont="1" applyFill="1" applyProtection="1">
      <protection locked="0"/>
    </xf>
    <xf numFmtId="43" fontId="2" fillId="0" borderId="0" xfId="1" applyFont="1" applyProtection="1">
      <protection locked="0"/>
    </xf>
    <xf numFmtId="168" fontId="2" fillId="0" borderId="0" xfId="0" applyNumberFormat="1" applyFont="1" applyProtection="1">
      <protection locked="0"/>
    </xf>
    <xf numFmtId="168" fontId="2" fillId="0" borderId="0" xfId="5" applyNumberFormat="1" applyFont="1" applyProtection="1">
      <protection locked="0"/>
    </xf>
    <xf numFmtId="0" fontId="2" fillId="0" borderId="0" xfId="5" applyNumberFormat="1" applyFont="1" applyAlignment="1">
      <alignment horizontal="right"/>
    </xf>
    <xf numFmtId="169" fontId="2" fillId="0" borderId="0" xfId="5" applyNumberFormat="1" applyFont="1"/>
    <xf numFmtId="0" fontId="7" fillId="0" borderId="0" xfId="5" applyNumberFormat="1" applyFont="1"/>
    <xf numFmtId="3" fontId="8" fillId="0" borderId="0" xfId="5" applyNumberFormat="1" applyFont="1" applyAlignment="1">
      <alignment horizontal="center"/>
    </xf>
    <xf numFmtId="0" fontId="8" fillId="0" borderId="0" xfId="5" applyNumberFormat="1" applyFont="1" applyAlignment="1" applyProtection="1">
      <alignment horizontal="center"/>
      <protection locked="0"/>
    </xf>
    <xf numFmtId="164" fontId="8" fillId="0" borderId="0" xfId="5" applyFont="1" applyAlignment="1">
      <alignment horizontal="center"/>
    </xf>
    <xf numFmtId="3" fontId="8" fillId="0" borderId="0" xfId="5" applyNumberFormat="1" applyFont="1"/>
    <xf numFmtId="0" fontId="8" fillId="0" borderId="0" xfId="5" applyNumberFormat="1" applyFont="1"/>
    <xf numFmtId="43" fontId="2" fillId="0" borderId="0" xfId="1" applyFont="1" applyAlignment="1">
      <alignment horizontal="right"/>
    </xf>
    <xf numFmtId="167" fontId="2" fillId="0" borderId="1" xfId="1" applyNumberFormat="1" applyFont="1" applyBorder="1"/>
    <xf numFmtId="170" fontId="2" fillId="0" borderId="0" xfId="5" applyNumberFormat="1" applyFont="1" applyAlignment="1">
      <alignment horizontal="center"/>
    </xf>
    <xf numFmtId="3" fontId="2" fillId="0" borderId="0" xfId="5" quotePrefix="1" applyNumberFormat="1" applyFont="1" applyAlignment="1">
      <alignment horizontal="left"/>
    </xf>
    <xf numFmtId="167" fontId="2" fillId="0" borderId="0" xfId="1" applyNumberFormat="1" applyFont="1" applyFill="1"/>
    <xf numFmtId="167" fontId="2" fillId="0" borderId="2" xfId="1" applyNumberFormat="1" applyFont="1" applyFill="1" applyBorder="1"/>
    <xf numFmtId="170" fontId="2" fillId="0" borderId="0" xfId="4" applyNumberFormat="1" applyFont="1" applyAlignment="1">
      <alignment horizontal="center"/>
    </xf>
    <xf numFmtId="167" fontId="2" fillId="0" borderId="2" xfId="1" applyNumberFormat="1" applyFont="1" applyBorder="1"/>
    <xf numFmtId="3" fontId="2" fillId="0" borderId="0" xfId="5" applyNumberFormat="1" applyFont="1" applyAlignment="1">
      <alignment horizontal="right"/>
    </xf>
    <xf numFmtId="171" fontId="2" fillId="0" borderId="0" xfId="5" applyNumberFormat="1" applyFont="1" applyAlignment="1">
      <alignment horizontal="left"/>
    </xf>
    <xf numFmtId="167" fontId="2" fillId="0" borderId="0" xfId="1" applyNumberFormat="1" applyFont="1" applyAlignment="1">
      <alignment horizontal="right"/>
    </xf>
    <xf numFmtId="3" fontId="9" fillId="0" borderId="0" xfId="5" applyNumberFormat="1" applyFont="1"/>
    <xf numFmtId="3" fontId="9" fillId="0" borderId="0" xfId="4" applyNumberFormat="1" applyFont="1"/>
    <xf numFmtId="164" fontId="9" fillId="0" borderId="0" xfId="0" applyFont="1"/>
    <xf numFmtId="167" fontId="2" fillId="3" borderId="0" xfId="1" applyNumberFormat="1" applyFont="1" applyFill="1"/>
    <xf numFmtId="0" fontId="2" fillId="0" borderId="0" xfId="5" applyNumberFormat="1" applyFont="1" applyAlignment="1">
      <alignment wrapText="1"/>
    </xf>
    <xf numFmtId="3" fontId="2" fillId="0" borderId="0" xfId="5" applyNumberFormat="1" applyFont="1" applyAlignment="1">
      <alignment wrapText="1"/>
    </xf>
    <xf numFmtId="0" fontId="2" fillId="0" borderId="0" xfId="5" quotePrefix="1" applyNumberFormat="1" applyFont="1" applyAlignment="1">
      <alignment horizontal="left"/>
    </xf>
    <xf numFmtId="170" fontId="2" fillId="0" borderId="0" xfId="5" applyNumberFormat="1" applyFont="1" applyAlignment="1">
      <alignment horizontal="left"/>
    </xf>
    <xf numFmtId="172" fontId="2" fillId="0" borderId="0" xfId="1" applyNumberFormat="1" applyFont="1" applyAlignment="1">
      <alignment horizontal="right"/>
    </xf>
    <xf numFmtId="10" fontId="2" fillId="0" borderId="0" xfId="5" applyNumberFormat="1" applyFont="1" applyAlignment="1">
      <alignment horizontal="left"/>
    </xf>
    <xf numFmtId="167" fontId="2" fillId="0" borderId="1" xfId="1" applyNumberFormat="1" applyFont="1" applyBorder="1" applyAlignment="1">
      <alignment horizontal="right"/>
    </xf>
    <xf numFmtId="170" fontId="2" fillId="0" borderId="0" xfId="5" applyNumberFormat="1" applyFont="1" applyAlignment="1" applyProtection="1">
      <alignment horizontal="left"/>
      <protection locked="0"/>
    </xf>
    <xf numFmtId="173" fontId="2" fillId="0" borderId="0" xfId="5" applyNumberFormat="1" applyFont="1"/>
    <xf numFmtId="165" fontId="2" fillId="0" borderId="0" xfId="4" applyNumberFormat="1" applyFont="1" applyAlignment="1">
      <alignment horizontal="center"/>
    </xf>
    <xf numFmtId="167" fontId="2" fillId="0" borderId="3" xfId="1" applyNumberFormat="1" applyFont="1" applyBorder="1"/>
    <xf numFmtId="0" fontId="2" fillId="0" borderId="0" xfId="0" applyNumberFormat="1" applyFont="1" applyAlignment="1">
      <alignment horizontal="left" wrapText="1"/>
    </xf>
    <xf numFmtId="167" fontId="2" fillId="2" borderId="0" xfId="1" applyNumberFormat="1" applyFont="1" applyFill="1"/>
    <xf numFmtId="172" fontId="2" fillId="0" borderId="0" xfId="1" applyNumberFormat="1" applyFont="1" applyAlignment="1">
      <alignment horizontal="center"/>
    </xf>
    <xf numFmtId="167" fontId="2" fillId="0" borderId="4" xfId="1" applyNumberFormat="1" applyFont="1" applyBorder="1"/>
    <xf numFmtId="167" fontId="2" fillId="0" borderId="4" xfId="1" applyNumberFormat="1" applyFont="1" applyFill="1" applyBorder="1"/>
    <xf numFmtId="166" fontId="2" fillId="0" borderId="0" xfId="0" applyNumberFormat="1" applyFont="1"/>
    <xf numFmtId="164" fontId="2" fillId="0" borderId="0" xfId="5" applyFont="1" applyAlignment="1">
      <alignment horizontal="center"/>
    </xf>
    <xf numFmtId="164" fontId="2" fillId="0" borderId="0" xfId="5" applyFont="1" applyAlignment="1">
      <alignment horizontal="right"/>
    </xf>
    <xf numFmtId="0" fontId="9" fillId="0" borderId="0" xfId="5" applyNumberFormat="1" applyFont="1" applyAlignment="1" applyProtection="1">
      <alignment horizontal="center"/>
      <protection locked="0"/>
    </xf>
    <xf numFmtId="0" fontId="2" fillId="0" borderId="1" xfId="5" applyNumberFormat="1" applyFont="1" applyBorder="1" applyProtection="1">
      <protection locked="0"/>
    </xf>
    <xf numFmtId="0" fontId="2" fillId="0" borderId="1" xfId="5" applyNumberFormat="1" applyFont="1" applyBorder="1"/>
    <xf numFmtId="167" fontId="2" fillId="2" borderId="1" xfId="1" applyNumberFormat="1" applyFont="1" applyFill="1" applyBorder="1"/>
    <xf numFmtId="43" fontId="2" fillId="0" borderId="0" xfId="1" applyNumberFormat="1" applyFont="1" applyAlignment="1">
      <alignment horizontal="right"/>
    </xf>
    <xf numFmtId="43" fontId="2" fillId="0" borderId="0" xfId="1" applyFont="1" applyAlignment="1" applyProtection="1">
      <alignment horizontal="center"/>
      <protection locked="0"/>
    </xf>
    <xf numFmtId="3" fontId="2" fillId="0" borderId="1" xfId="5" applyNumberFormat="1" applyFont="1" applyBorder="1"/>
    <xf numFmtId="3" fontId="2" fillId="0" borderId="1" xfId="5" applyNumberFormat="1" applyFont="1" applyBorder="1" applyAlignment="1">
      <alignment horizontal="center"/>
    </xf>
    <xf numFmtId="4" fontId="2" fillId="0" borderId="0" xfId="5" applyNumberFormat="1" applyFont="1"/>
    <xf numFmtId="3" fontId="2" fillId="0" borderId="0" xfId="4" applyNumberFormat="1" applyFont="1" applyAlignment="1">
      <alignment horizontal="center"/>
    </xf>
    <xf numFmtId="0" fontId="2" fillId="0" borderId="1" xfId="4" applyFont="1" applyBorder="1" applyAlignment="1">
      <alignment horizontal="center"/>
    </xf>
    <xf numFmtId="0" fontId="2" fillId="0" borderId="0" xfId="4" applyFont="1" applyAlignment="1">
      <alignment horizontal="center"/>
    </xf>
    <xf numFmtId="43" fontId="2" fillId="0" borderId="0" xfId="1" applyNumberFormat="1" applyFont="1"/>
    <xf numFmtId="165" fontId="2" fillId="0" borderId="0" xfId="5" applyNumberFormat="1" applyFont="1" applyAlignment="1">
      <alignment horizontal="center"/>
    </xf>
    <xf numFmtId="165" fontId="2" fillId="0" borderId="0" xfId="5" applyNumberFormat="1" applyFont="1" applyAlignment="1" applyProtection="1">
      <alignment horizontal="center"/>
      <protection locked="0"/>
    </xf>
    <xf numFmtId="174" fontId="2" fillId="0" borderId="0" xfId="1" applyNumberFormat="1" applyFont="1"/>
    <xf numFmtId="174" fontId="2" fillId="0" borderId="0" xfId="1" applyNumberFormat="1" applyFont="1" applyAlignment="1">
      <alignment horizontal="center"/>
    </xf>
    <xf numFmtId="175" fontId="2" fillId="0" borderId="0" xfId="1" applyNumberFormat="1" applyFont="1"/>
    <xf numFmtId="167" fontId="2" fillId="0" borderId="0" xfId="1" applyNumberFormat="1" applyFont="1" applyAlignment="1">
      <alignment horizontal="center"/>
    </xf>
    <xf numFmtId="9" fontId="2" fillId="0" borderId="0" xfId="3" applyFont="1" applyAlignment="1">
      <alignment horizontal="center"/>
    </xf>
    <xf numFmtId="10" fontId="2" fillId="0" borderId="0" xfId="3" applyNumberFormat="1" applyFont="1" applyAlignment="1">
      <alignment horizontal="center"/>
    </xf>
    <xf numFmtId="10" fontId="2" fillId="0" borderId="0" xfId="3" applyNumberFormat="1" applyFont="1"/>
    <xf numFmtId="3" fontId="2" fillId="0" borderId="0" xfId="5" quotePrefix="1" applyNumberFormat="1" applyFont="1"/>
    <xf numFmtId="167" fontId="2" fillId="0" borderId="1" xfId="1" applyNumberFormat="1" applyFont="1" applyBorder="1" applyAlignment="1">
      <alignment horizontal="center"/>
    </xf>
    <xf numFmtId="9" fontId="2" fillId="0" borderId="1" xfId="3" applyFont="1" applyBorder="1" applyAlignment="1">
      <alignment horizontal="center"/>
    </xf>
    <xf numFmtId="10" fontId="2" fillId="0" borderId="1" xfId="3" applyNumberFormat="1" applyFont="1" applyBorder="1"/>
    <xf numFmtId="10" fontId="2" fillId="0" borderId="0" xfId="3" applyNumberFormat="1" applyFont="1" applyFill="1"/>
    <xf numFmtId="0" fontId="5" fillId="0" borderId="0" xfId="5" applyNumberFormat="1" applyFont="1" applyProtection="1">
      <protection locked="0"/>
    </xf>
    <xf numFmtId="164" fontId="5" fillId="0" borderId="0" xfId="5" applyFont="1"/>
    <xf numFmtId="176" fontId="2" fillId="3" borderId="0" xfId="1" applyNumberFormat="1" applyFont="1" applyFill="1" applyProtection="1">
      <protection locked="0"/>
    </xf>
    <xf numFmtId="38" fontId="2" fillId="0" borderId="0" xfId="5" applyNumberFormat="1" applyFont="1"/>
    <xf numFmtId="164" fontId="2" fillId="0" borderId="1" xfId="5" applyFont="1" applyBorder="1"/>
    <xf numFmtId="176" fontId="2" fillId="3" borderId="1" xfId="1" applyNumberFormat="1" applyFont="1" applyFill="1" applyBorder="1" applyProtection="1">
      <protection locked="0"/>
    </xf>
    <xf numFmtId="176" fontId="2" fillId="0" borderId="0" xfId="1" applyNumberFormat="1" applyFont="1"/>
    <xf numFmtId="166" fontId="2" fillId="0" borderId="0" xfId="5" applyNumberFormat="1" applyFont="1"/>
    <xf numFmtId="177" fontId="2" fillId="0" borderId="0" xfId="5" applyNumberFormat="1" applyFont="1" applyProtection="1">
      <protection locked="0"/>
    </xf>
    <xf numFmtId="1" fontId="2" fillId="0" borderId="0" xfId="5" applyNumberFormat="1" applyFont="1"/>
    <xf numFmtId="0" fontId="2" fillId="0" borderId="0" xfId="5" applyNumberFormat="1" applyFont="1" applyAlignment="1" applyProtection="1">
      <alignment horizontal="left"/>
      <protection locked="0"/>
    </xf>
    <xf numFmtId="167" fontId="2" fillId="2" borderId="0" xfId="1" applyNumberFormat="1" applyFont="1" applyFill="1" applyProtection="1">
      <protection locked="0"/>
    </xf>
    <xf numFmtId="167" fontId="2" fillId="2" borderId="1" xfId="1" applyNumberFormat="1" applyFont="1" applyFill="1" applyBorder="1" applyProtection="1">
      <protection locked="0"/>
    </xf>
    <xf numFmtId="164" fontId="2" fillId="0" borderId="0" xfId="0" applyFont="1" applyProtection="1">
      <protection locked="0"/>
    </xf>
    <xf numFmtId="0" fontId="2" fillId="0" borderId="0" xfId="5" applyNumberFormat="1" applyFont="1" applyAlignment="1" applyProtection="1">
      <alignment horizontal="center" wrapText="1"/>
      <protection locked="0"/>
    </xf>
    <xf numFmtId="167" fontId="2" fillId="0" borderId="0" xfId="1" applyNumberFormat="1" applyFont="1" applyAlignment="1" applyProtection="1">
      <alignment horizontal="center"/>
      <protection locked="0"/>
    </xf>
    <xf numFmtId="164" fontId="2" fillId="0" borderId="0" xfId="5" applyFont="1" applyProtection="1">
      <protection locked="0"/>
    </xf>
    <xf numFmtId="166" fontId="2" fillId="0" borderId="0" xfId="5" applyNumberFormat="1" applyFont="1" applyAlignment="1" applyProtection="1">
      <alignment horizontal="right"/>
      <protection locked="0"/>
    </xf>
    <xf numFmtId="166" fontId="2" fillId="0" borderId="0" xfId="5" applyNumberFormat="1" applyFont="1" applyProtection="1">
      <protection locked="0"/>
    </xf>
    <xf numFmtId="0" fontId="2" fillId="0" borderId="0" xfId="5" applyNumberFormat="1" applyFont="1" applyAlignment="1" applyProtection="1">
      <alignment horizontal="left" indent="8"/>
      <protection locked="0"/>
    </xf>
    <xf numFmtId="3" fontId="2" fillId="0" borderId="0" xfId="5" applyNumberFormat="1" applyFont="1" applyAlignment="1">
      <alignment vertical="top" wrapText="1"/>
    </xf>
    <xf numFmtId="0" fontId="2" fillId="0" borderId="0" xfId="5" applyNumberFormat="1" applyFont="1" applyAlignment="1" applyProtection="1">
      <alignment vertical="top" wrapText="1"/>
      <protection locked="0"/>
    </xf>
    <xf numFmtId="0" fontId="2" fillId="0" borderId="0" xfId="0" applyNumberFormat="1" applyFont="1" applyFill="1" applyProtection="1">
      <protection locked="0"/>
    </xf>
    <xf numFmtId="0" fontId="2" fillId="0" borderId="0" xfId="0" applyNumberFormat="1" applyFont="1" applyAlignment="1" applyProtection="1">
      <alignment horizontal="center" vertical="top"/>
      <protection locked="0"/>
    </xf>
    <xf numFmtId="0" fontId="2" fillId="0" borderId="0" xfId="0" applyNumberFormat="1" applyFont="1" applyAlignment="1" applyProtection="1">
      <alignment vertical="top"/>
      <protection locked="0"/>
    </xf>
    <xf numFmtId="0" fontId="2" fillId="0" borderId="0" xfId="5" applyNumberFormat="1" applyFont="1" applyAlignment="1" applyProtection="1">
      <alignment vertical="top"/>
      <protection locked="0"/>
    </xf>
    <xf numFmtId="43" fontId="2" fillId="0" borderId="0" xfId="1" applyFont="1" applyAlignment="1" applyProtection="1">
      <alignment vertical="top"/>
      <protection locked="0"/>
    </xf>
    <xf numFmtId="0" fontId="2" fillId="0" borderId="0" xfId="4" applyFont="1" applyAlignment="1">
      <alignment vertical="top" wrapText="1"/>
    </xf>
    <xf numFmtId="164" fontId="2" fillId="0" borderId="0" xfId="0" applyFont="1" applyAlignment="1"/>
    <xf numFmtId="0" fontId="2" fillId="0" borderId="0" xfId="4" applyNumberFormat="1" applyFont="1" applyFill="1" applyAlignment="1">
      <alignment vertical="top" wrapText="1"/>
    </xf>
    <xf numFmtId="0" fontId="2" fillId="0" borderId="0" xfId="0" applyNumberFormat="1" applyFont="1" applyFill="1"/>
    <xf numFmtId="164" fontId="2" fillId="0" borderId="0" xfId="0" applyFont="1" applyAlignment="1">
      <alignment horizontal="center" vertical="top"/>
    </xf>
    <xf numFmtId="164" fontId="2" fillId="0" borderId="0" xfId="0" applyFont="1" applyFill="1"/>
    <xf numFmtId="164" fontId="2" fillId="0" borderId="0" xfId="0" applyFont="1" applyFill="1" applyAlignment="1">
      <alignment horizontal="center" vertical="top"/>
    </xf>
    <xf numFmtId="0" fontId="2" fillId="0" borderId="0" xfId="4" applyNumberFormat="1" applyFont="1" applyFill="1" applyAlignment="1">
      <alignment vertical="top"/>
    </xf>
    <xf numFmtId="0" fontId="2" fillId="0" borderId="0" xfId="4" applyNumberFormat="1" applyFont="1" applyAlignment="1">
      <alignment vertical="top"/>
    </xf>
    <xf numFmtId="166" fontId="2" fillId="0" borderId="0" xfId="5" applyNumberFormat="1" applyFont="1" applyFill="1" applyBorder="1" applyAlignment="1" applyProtection="1">
      <alignment vertical="top"/>
    </xf>
    <xf numFmtId="3" fontId="2" fillId="0" borderId="0" xfId="5" applyNumberFormat="1" applyFont="1" applyAlignment="1" applyProtection="1">
      <alignment vertical="top"/>
    </xf>
    <xf numFmtId="3" fontId="2" fillId="0" borderId="0" xfId="5" applyNumberFormat="1" applyFont="1" applyFill="1" applyAlignment="1" applyProtection="1">
      <alignment vertical="top"/>
    </xf>
    <xf numFmtId="164" fontId="2" fillId="0" borderId="0" xfId="0" applyFont="1" applyAlignment="1">
      <alignment vertical="top"/>
    </xf>
    <xf numFmtId="164" fontId="2" fillId="0" borderId="0" xfId="0" applyFont="1" applyFill="1" applyAlignment="1"/>
    <xf numFmtId="0" fontId="6" fillId="0" borderId="0" xfId="8" applyNumberFormat="1" applyFont="1"/>
    <xf numFmtId="164" fontId="2" fillId="0" borderId="0" xfId="6" applyFont="1"/>
    <xf numFmtId="164" fontId="2" fillId="0" borderId="0" xfId="6" applyFont="1" applyAlignment="1">
      <alignment horizontal="right"/>
    </xf>
    <xf numFmtId="0" fontId="2" fillId="0" borderId="0" xfId="6" applyNumberFormat="1" applyFont="1" applyAlignment="1" applyProtection="1">
      <alignment horizontal="center"/>
      <protection locked="0"/>
    </xf>
    <xf numFmtId="0" fontId="2" fillId="0" borderId="0" xfId="6" applyNumberFormat="1" applyFont="1" applyProtection="1">
      <protection locked="0"/>
    </xf>
    <xf numFmtId="0" fontId="2" fillId="0" borderId="0" xfId="6" applyNumberFormat="1" applyFont="1" applyAlignment="1">
      <alignment horizontal="right"/>
    </xf>
    <xf numFmtId="0" fontId="2" fillId="0" borderId="0" xfId="6" applyNumberFormat="1" applyFont="1"/>
    <xf numFmtId="0" fontId="14" fillId="0" borderId="0" xfId="6" applyNumberFormat="1" applyFont="1"/>
    <xf numFmtId="3" fontId="2" fillId="0" borderId="0" xfId="6" applyNumberFormat="1" applyFont="1"/>
    <xf numFmtId="0" fontId="14" fillId="0" borderId="0" xfId="6" applyNumberFormat="1" applyFont="1" applyAlignment="1">
      <alignment horizontal="center"/>
    </xf>
    <xf numFmtId="49" fontId="2" fillId="0" borderId="0" xfId="6" applyNumberFormat="1" applyFont="1"/>
    <xf numFmtId="49" fontId="2" fillId="0" borderId="0" xfId="0" applyNumberFormat="1" applyFont="1"/>
    <xf numFmtId="0" fontId="2" fillId="0" borderId="0" xfId="0" applyNumberFormat="1" applyFont="1" applyAlignment="1">
      <alignment horizontal="center"/>
    </xf>
    <xf numFmtId="49" fontId="2" fillId="0" borderId="0" xfId="0" applyNumberFormat="1" applyFont="1" applyAlignment="1">
      <alignment horizontal="center"/>
    </xf>
    <xf numFmtId="49" fontId="2" fillId="0" borderId="0" xfId="6" applyNumberFormat="1" applyFont="1" applyAlignment="1">
      <alignment horizontal="center"/>
    </xf>
    <xf numFmtId="3" fontId="8" fillId="0" borderId="0" xfId="0" applyNumberFormat="1" applyFont="1" applyAlignment="1">
      <alignment horizontal="center"/>
    </xf>
    <xf numFmtId="0" fontId="2" fillId="0" borderId="0" xfId="6" applyNumberFormat="1" applyFont="1" applyAlignment="1">
      <alignment horizontal="center"/>
    </xf>
    <xf numFmtId="164" fontId="8" fillId="0" borderId="0" xfId="0" applyFont="1" applyAlignment="1">
      <alignment horizontal="center"/>
    </xf>
    <xf numFmtId="0" fontId="8" fillId="0" borderId="0" xfId="0" applyNumberFormat="1" applyFont="1" applyAlignment="1" applyProtection="1">
      <alignment horizontal="center"/>
      <protection locked="0"/>
    </xf>
    <xf numFmtId="0" fontId="8" fillId="0" borderId="0" xfId="6" applyNumberFormat="1" applyFont="1" applyAlignment="1" applyProtection="1">
      <alignment horizontal="center"/>
      <protection locked="0"/>
    </xf>
    <xf numFmtId="0" fontId="8" fillId="0" borderId="0" xfId="6" applyNumberFormat="1" applyFont="1" applyAlignment="1">
      <alignment horizontal="center"/>
    </xf>
    <xf numFmtId="0" fontId="8" fillId="0" borderId="0" xfId="0" applyNumberFormat="1" applyFont="1"/>
    <xf numFmtId="0" fontId="15" fillId="0" borderId="0" xfId="0" applyNumberFormat="1" applyFont="1" applyAlignment="1" applyProtection="1">
      <alignment horizontal="center"/>
      <protection locked="0"/>
    </xf>
    <xf numFmtId="3" fontId="2" fillId="0" borderId="0" xfId="6" applyNumberFormat="1" applyFont="1" applyAlignment="1">
      <alignment horizontal="center"/>
    </xf>
    <xf numFmtId="3" fontId="2" fillId="0" borderId="0" xfId="6" applyNumberFormat="1" applyFont="1" applyAlignment="1">
      <alignment horizontal="left"/>
    </xf>
    <xf numFmtId="167" fontId="2" fillId="0" borderId="5" xfId="1" applyNumberFormat="1" applyFont="1" applyBorder="1"/>
    <xf numFmtId="3" fontId="2" fillId="0" borderId="0" xfId="0" applyNumberFormat="1" applyFont="1" applyAlignment="1">
      <alignment horizontal="left"/>
    </xf>
    <xf numFmtId="3" fontId="2" fillId="0" borderId="0" xfId="0" applyNumberFormat="1" applyFont="1" applyAlignment="1">
      <alignment horizontal="center"/>
    </xf>
    <xf numFmtId="10" fontId="16" fillId="0" borderId="0" xfId="3" applyNumberFormat="1" applyFont="1"/>
    <xf numFmtId="10" fontId="8" fillId="0" borderId="0" xfId="6" applyNumberFormat="1" applyFont="1"/>
    <xf numFmtId="3" fontId="8" fillId="0" borderId="0" xfId="6" applyNumberFormat="1" applyFont="1"/>
    <xf numFmtId="178" fontId="8" fillId="0" borderId="0" xfId="6" applyNumberFormat="1" applyFont="1"/>
    <xf numFmtId="3" fontId="12" fillId="0" borderId="0" xfId="0" applyNumberFormat="1" applyFont="1"/>
    <xf numFmtId="43" fontId="8" fillId="0" borderId="0" xfId="1" applyFont="1"/>
    <xf numFmtId="164" fontId="2" fillId="0" borderId="0" xfId="0" applyFont="1" applyAlignment="1">
      <alignment horizontal="left"/>
    </xf>
    <xf numFmtId="10" fontId="8" fillId="0" borderId="0" xfId="3" applyNumberFormat="1" applyFont="1"/>
    <xf numFmtId="0" fontId="2" fillId="0" borderId="0" xfId="6" applyNumberFormat="1" applyFont="1" applyAlignment="1">
      <alignment horizontal="fill"/>
    </xf>
    <xf numFmtId="3" fontId="5" fillId="0" borderId="0" xfId="6" applyNumberFormat="1" applyFont="1"/>
    <xf numFmtId="164" fontId="5" fillId="0" borderId="0" xfId="6" applyFont="1"/>
    <xf numFmtId="49" fontId="8" fillId="0" borderId="0" xfId="0" applyNumberFormat="1" applyFont="1" applyAlignment="1">
      <alignment horizontal="center"/>
    </xf>
    <xf numFmtId="164" fontId="8" fillId="0" borderId="0" xfId="0" applyFont="1"/>
    <xf numFmtId="3" fontId="8" fillId="0" borderId="0" xfId="0" applyNumberFormat="1" applyFont="1" applyAlignment="1">
      <alignment horizontal="left"/>
    </xf>
    <xf numFmtId="166" fontId="2" fillId="0" borderId="0" xfId="6" applyNumberFormat="1" applyFont="1"/>
    <xf numFmtId="170" fontId="2" fillId="0" borderId="0" xfId="6" applyNumberFormat="1" applyFont="1" applyAlignment="1">
      <alignment horizontal="center"/>
    </xf>
    <xf numFmtId="0" fontId="5" fillId="0" borderId="0" xfId="6" applyNumberFormat="1" applyFont="1"/>
    <xf numFmtId="170" fontId="2" fillId="0" borderId="0" xfId="0" applyNumberFormat="1" applyFont="1" applyAlignment="1">
      <alignment horizontal="left"/>
    </xf>
    <xf numFmtId="170" fontId="2" fillId="0" borderId="0" xfId="0" applyNumberFormat="1" applyFont="1" applyAlignment="1">
      <alignment horizontal="center"/>
    </xf>
    <xf numFmtId="49" fontId="2" fillId="0" borderId="0" xfId="6" applyNumberFormat="1" applyFont="1" applyAlignment="1">
      <alignment horizontal="left"/>
    </xf>
    <xf numFmtId="164" fontId="2" fillId="0" borderId="0" xfId="6" applyFont="1" applyAlignment="1">
      <alignment horizontal="center"/>
    </xf>
    <xf numFmtId="10" fontId="2" fillId="0" borderId="0" xfId="6" applyNumberFormat="1" applyFont="1"/>
    <xf numFmtId="0" fontId="8" fillId="0" borderId="0" xfId="6" applyNumberFormat="1" applyFont="1"/>
    <xf numFmtId="164" fontId="17" fillId="0" borderId="0" xfId="6" applyFont="1"/>
    <xf numFmtId="179" fontId="8" fillId="0" borderId="0" xfId="6" applyNumberFormat="1" applyFont="1" applyAlignment="1">
      <alignment horizontal="center"/>
    </xf>
    <xf numFmtId="179" fontId="8" fillId="0" borderId="0" xfId="6" quotePrefix="1" applyNumberFormat="1" applyFont="1" applyAlignment="1">
      <alignment horizontal="center"/>
    </xf>
    <xf numFmtId="164" fontId="8" fillId="0" borderId="6" xfId="6" applyFont="1" applyBorder="1" applyAlignment="1">
      <alignment horizontal="center" wrapText="1"/>
    </xf>
    <xf numFmtId="164" fontId="8" fillId="0" borderId="7" xfId="6" applyFont="1" applyBorder="1"/>
    <xf numFmtId="164" fontId="8" fillId="0" borderId="7" xfId="6" applyFont="1" applyBorder="1" applyAlignment="1">
      <alignment horizontal="center" wrapText="1"/>
    </xf>
    <xf numFmtId="0" fontId="8" fillId="0" borderId="7" xfId="6" applyNumberFormat="1" applyFont="1" applyBorder="1" applyAlignment="1">
      <alignment horizontal="center" wrapText="1"/>
    </xf>
    <xf numFmtId="164" fontId="8" fillId="0" borderId="7" xfId="0" applyFont="1" applyBorder="1" applyAlignment="1">
      <alignment horizontal="center" wrapText="1"/>
    </xf>
    <xf numFmtId="0" fontId="8" fillId="0" borderId="7" xfId="0" applyNumberFormat="1" applyFont="1" applyBorder="1" applyAlignment="1">
      <alignment horizontal="center" wrapText="1"/>
    </xf>
    <xf numFmtId="164" fontId="8" fillId="0" borderId="8" xfId="0" applyFont="1" applyBorder="1" applyAlignment="1">
      <alignment horizontal="center" wrapText="1"/>
    </xf>
    <xf numFmtId="164" fontId="8" fillId="0" borderId="9" xfId="6" applyFont="1" applyBorder="1" applyAlignment="1">
      <alignment horizontal="center" wrapText="1"/>
    </xf>
    <xf numFmtId="0" fontId="8" fillId="0" borderId="10" xfId="6" applyNumberFormat="1" applyFont="1" applyBorder="1" applyAlignment="1">
      <alignment horizontal="center" wrapText="1"/>
    </xf>
    <xf numFmtId="3" fontId="8" fillId="0" borderId="9" xfId="6" applyNumberFormat="1" applyFont="1" applyBorder="1" applyAlignment="1">
      <alignment horizontal="center" wrapText="1"/>
    </xf>
    <xf numFmtId="0" fontId="2" fillId="0" borderId="11" xfId="6" applyNumberFormat="1" applyFont="1" applyBorder="1" applyAlignment="1">
      <alignment horizontal="left"/>
    </xf>
    <xf numFmtId="0" fontId="2" fillId="0" borderId="10" xfId="6" applyNumberFormat="1" applyFont="1" applyBorder="1"/>
    <xf numFmtId="0" fontId="2" fillId="0" borderId="10" xfId="6" applyNumberFormat="1" applyFont="1" applyBorder="1" applyAlignment="1">
      <alignment wrapText="1"/>
    </xf>
    <xf numFmtId="0" fontId="2" fillId="0" borderId="10" xfId="6" applyNumberFormat="1" applyFont="1" applyBorder="1" applyAlignment="1">
      <alignment horizontal="center" wrapText="1"/>
    </xf>
    <xf numFmtId="164" fontId="2" fillId="0" borderId="10" xfId="6" applyFont="1" applyBorder="1" applyAlignment="1">
      <alignment wrapText="1"/>
    </xf>
    <xf numFmtId="164" fontId="2" fillId="0" borderId="12" xfId="6" applyFont="1" applyBorder="1" applyAlignment="1">
      <alignment wrapText="1"/>
    </xf>
    <xf numFmtId="0" fontId="2" fillId="0" borderId="9" xfId="6" applyNumberFormat="1" applyFont="1" applyBorder="1" applyAlignment="1">
      <alignment horizontal="center" wrapText="1"/>
    </xf>
    <xf numFmtId="0" fontId="2" fillId="0" borderId="11" xfId="6" applyNumberFormat="1" applyFont="1" applyBorder="1" applyAlignment="1">
      <alignment horizontal="center" wrapText="1"/>
    </xf>
    <xf numFmtId="3" fontId="2" fillId="0" borderId="9" xfId="6" applyNumberFormat="1" applyFont="1" applyBorder="1" applyAlignment="1">
      <alignment horizontal="center" wrapText="1"/>
    </xf>
    <xf numFmtId="3" fontId="2" fillId="0" borderId="10" xfId="6" applyNumberFormat="1" applyFont="1" applyBorder="1" applyAlignment="1">
      <alignment horizontal="center" wrapText="1"/>
    </xf>
    <xf numFmtId="0" fontId="2" fillId="0" borderId="6" xfId="6" applyNumberFormat="1" applyFont="1" applyBorder="1"/>
    <xf numFmtId="0" fontId="2" fillId="0" borderId="7" xfId="6" applyNumberFormat="1" applyFont="1" applyBorder="1"/>
    <xf numFmtId="164" fontId="2" fillId="0" borderId="7" xfId="6" applyFont="1" applyBorder="1"/>
    <xf numFmtId="0" fontId="2" fillId="0" borderId="13" xfId="6" applyNumberFormat="1" applyFont="1" applyBorder="1"/>
    <xf numFmtId="3" fontId="2" fillId="0" borderId="7" xfId="6" applyNumberFormat="1" applyFont="1" applyBorder="1"/>
    <xf numFmtId="3" fontId="2" fillId="0" borderId="13" xfId="6" applyNumberFormat="1" applyFont="1" applyBorder="1"/>
    <xf numFmtId="164" fontId="2" fillId="0" borderId="14" xfId="9" applyFont="1" applyBorder="1"/>
    <xf numFmtId="164" fontId="2" fillId="0" borderId="0" xfId="9" applyFont="1"/>
    <xf numFmtId="43" fontId="2" fillId="3" borderId="0" xfId="1" applyFont="1" applyFill="1"/>
    <xf numFmtId="43" fontId="2" fillId="0" borderId="15" xfId="1" applyFont="1" applyBorder="1"/>
    <xf numFmtId="167" fontId="2" fillId="0" borderId="15" xfId="1" applyNumberFormat="1" applyFont="1" applyBorder="1"/>
    <xf numFmtId="167" fontId="2" fillId="2" borderId="15" xfId="1" applyNumberFormat="1" applyFont="1" applyFill="1" applyBorder="1"/>
    <xf numFmtId="167" fontId="2" fillId="3" borderId="15" xfId="1" applyNumberFormat="1" applyFont="1" applyFill="1" applyBorder="1"/>
    <xf numFmtId="164" fontId="2" fillId="0" borderId="14" xfId="6" applyFont="1" applyBorder="1"/>
    <xf numFmtId="164" fontId="2" fillId="0" borderId="16" xfId="6" applyFont="1" applyBorder="1"/>
    <xf numFmtId="164" fontId="2" fillId="0" borderId="5" xfId="6" applyFont="1" applyBorder="1"/>
    <xf numFmtId="10" fontId="2" fillId="0" borderId="5" xfId="1" applyNumberFormat="1" applyFont="1" applyBorder="1"/>
    <xf numFmtId="180" fontId="2" fillId="0" borderId="5" xfId="6" applyNumberFormat="1" applyFont="1" applyBorder="1"/>
    <xf numFmtId="164" fontId="2" fillId="0" borderId="17" xfId="6" applyFont="1" applyBorder="1"/>
    <xf numFmtId="43" fontId="2" fillId="0" borderId="17" xfId="1" applyFont="1" applyBorder="1"/>
    <xf numFmtId="164" fontId="7" fillId="0" borderId="17" xfId="6" applyFont="1" applyBorder="1"/>
    <xf numFmtId="164" fontId="7" fillId="0" borderId="5" xfId="6" applyFont="1" applyBorder="1"/>
    <xf numFmtId="167" fontId="2" fillId="0" borderId="17" xfId="1" applyNumberFormat="1" applyFont="1" applyBorder="1"/>
    <xf numFmtId="1" fontId="2" fillId="0" borderId="0" xfId="1" applyNumberFormat="1" applyFont="1" applyAlignment="1">
      <alignment horizontal="center"/>
    </xf>
    <xf numFmtId="164" fontId="2" fillId="0" borderId="1" xfId="6" applyFont="1" applyBorder="1"/>
    <xf numFmtId="164" fontId="2" fillId="0" borderId="0" xfId="6" applyFont="1" applyAlignment="1">
      <alignment horizontal="center" vertical="top"/>
    </xf>
    <xf numFmtId="164" fontId="2" fillId="0" borderId="0" xfId="6" applyFont="1" applyAlignment="1">
      <alignment wrapText="1"/>
    </xf>
    <xf numFmtId="164" fontId="2" fillId="0" borderId="0" xfId="6" applyFont="1" applyAlignment="1">
      <alignment vertical="top" wrapText="1"/>
    </xf>
    <xf numFmtId="164" fontId="2" fillId="0" borderId="0" xfId="6" applyFont="1" applyAlignment="1">
      <alignment horizontal="left"/>
    </xf>
    <xf numFmtId="164" fontId="2" fillId="0" borderId="0" xfId="6" applyFont="1" applyAlignment="1">
      <alignment horizontal="left" wrapText="1"/>
    </xf>
    <xf numFmtId="164" fontId="2" fillId="0" borderId="0" xfId="6" applyFont="1" applyAlignment="1">
      <alignment vertical="center" wrapText="1"/>
    </xf>
    <xf numFmtId="164" fontId="2" fillId="0" borderId="0" xfId="6" applyFont="1" applyAlignment="1">
      <alignment horizontal="left" vertical="center"/>
    </xf>
    <xf numFmtId="164" fontId="2" fillId="0" borderId="0" xfId="6" applyFont="1" applyAlignment="1">
      <alignment horizontal="left" vertical="center" wrapText="1"/>
    </xf>
    <xf numFmtId="164" fontId="3" fillId="0" borderId="0" xfId="6"/>
    <xf numFmtId="0" fontId="18" fillId="0" borderId="0" xfId="6" applyNumberFormat="1" applyFont="1"/>
    <xf numFmtId="0" fontId="19" fillId="0" borderId="0" xfId="6" applyNumberFormat="1" applyFont="1" applyAlignment="1">
      <alignment horizontal="center"/>
    </xf>
    <xf numFmtId="0" fontId="19" fillId="0" borderId="0" xfId="5" applyNumberFormat="1" applyFont="1" applyAlignment="1">
      <alignment horizontal="center"/>
    </xf>
    <xf numFmtId="164" fontId="19" fillId="0" borderId="0" xfId="0" applyFont="1" applyAlignment="1">
      <alignment horizontal="center"/>
    </xf>
    <xf numFmtId="167" fontId="19" fillId="0" borderId="0" xfId="1" applyNumberFormat="1" applyFont="1" applyAlignment="1">
      <alignment horizontal="center"/>
    </xf>
    <xf numFmtId="43" fontId="2" fillId="2" borderId="0" xfId="1" applyFont="1" applyFill="1" applyAlignment="1">
      <alignment horizontal="center"/>
    </xf>
    <xf numFmtId="9" fontId="2" fillId="0" borderId="0" xfId="3" applyFont="1"/>
    <xf numFmtId="169" fontId="2" fillId="0" borderId="0" xfId="1" applyNumberFormat="1" applyFont="1"/>
    <xf numFmtId="164" fontId="2" fillId="0" borderId="0" xfId="5" applyFont="1" applyAlignment="1">
      <alignment wrapText="1"/>
    </xf>
    <xf numFmtId="10" fontId="21" fillId="0" borderId="0" xfId="10" applyNumberFormat="1" applyFont="1"/>
    <xf numFmtId="169" fontId="2" fillId="0" borderId="1" xfId="1" applyNumberFormat="1" applyFont="1" applyBorder="1"/>
    <xf numFmtId="43" fontId="2" fillId="0" borderId="0" xfId="1" applyFont="1" applyAlignment="1">
      <alignment horizontal="left"/>
    </xf>
    <xf numFmtId="43" fontId="2" fillId="0" borderId="1" xfId="1" applyFont="1" applyBorder="1" applyAlignment="1">
      <alignment horizontal="right"/>
    </xf>
    <xf numFmtId="167" fontId="2" fillId="0" borderId="0" xfId="1" applyNumberFormat="1" applyFont="1" applyAlignment="1">
      <alignment horizontal="left" indent="2"/>
    </xf>
    <xf numFmtId="172" fontId="2" fillId="0" borderId="0" xfId="1" applyNumberFormat="1" applyFont="1"/>
    <xf numFmtId="167" fontId="2" fillId="0" borderId="0" xfId="1" applyNumberFormat="1" applyFont="1" applyAlignment="1"/>
    <xf numFmtId="0" fontId="2" fillId="0" borderId="0" xfId="11" applyNumberFormat="1" applyFont="1" applyAlignment="1" applyProtection="1">
      <alignment horizontal="center"/>
      <protection locked="0"/>
    </xf>
    <xf numFmtId="164" fontId="21" fillId="0" borderId="0" xfId="0" applyFont="1"/>
    <xf numFmtId="164" fontId="17" fillId="0" borderId="0" xfId="6" applyFont="1" applyAlignment="1">
      <alignment horizontal="center"/>
    </xf>
    <xf numFmtId="164" fontId="21" fillId="0" borderId="6" xfId="0" applyFont="1" applyBorder="1"/>
    <xf numFmtId="164" fontId="21" fillId="0" borderId="7" xfId="0" applyFont="1" applyBorder="1"/>
    <xf numFmtId="164" fontId="21" fillId="0" borderId="8" xfId="0" applyFont="1" applyBorder="1"/>
    <xf numFmtId="164" fontId="21" fillId="0" borderId="16" xfId="0" applyFont="1" applyBorder="1"/>
    <xf numFmtId="164" fontId="21" fillId="0" borderId="5" xfId="0" applyFont="1" applyBorder="1"/>
    <xf numFmtId="164" fontId="21" fillId="0" borderId="18" xfId="0" applyFont="1" applyBorder="1"/>
    <xf numFmtId="0" fontId="17" fillId="0" borderId="0" xfId="1" applyNumberFormat="1" applyFont="1" applyAlignment="1">
      <alignment horizontal="center"/>
    </xf>
    <xf numFmtId="164" fontId="21" fillId="3" borderId="0" xfId="0" applyFont="1" applyFill="1"/>
    <xf numFmtId="164" fontId="21" fillId="0" borderId="13" xfId="0" applyFont="1" applyBorder="1"/>
    <xf numFmtId="164" fontId="21" fillId="0" borderId="9" xfId="0" applyFont="1" applyBorder="1" applyAlignment="1">
      <alignment horizontal="center"/>
    </xf>
    <xf numFmtId="164" fontId="21" fillId="0" borderId="11" xfId="0" applyFont="1" applyBorder="1" applyAlignment="1">
      <alignment horizontal="center"/>
    </xf>
    <xf numFmtId="164" fontId="21" fillId="0" borderId="17" xfId="0" applyFont="1" applyBorder="1" applyAlignment="1">
      <alignment horizontal="center"/>
    </xf>
    <xf numFmtId="164" fontId="21" fillId="0" borderId="0" xfId="0" applyFont="1" applyAlignment="1">
      <alignment horizontal="center"/>
    </xf>
    <xf numFmtId="164" fontId="21" fillId="0" borderId="13" xfId="0" applyFont="1" applyBorder="1" applyAlignment="1">
      <alignment horizontal="center"/>
    </xf>
    <xf numFmtId="164" fontId="21" fillId="0" borderId="15" xfId="0" applyFont="1" applyBorder="1" applyAlignment="1">
      <alignment horizontal="center"/>
    </xf>
    <xf numFmtId="164" fontId="21" fillId="0" borderId="15" xfId="0" applyFont="1" applyBorder="1"/>
    <xf numFmtId="164" fontId="2" fillId="0" borderId="15" xfId="0" applyFont="1" applyBorder="1" applyAlignment="1">
      <alignment horizontal="center"/>
    </xf>
    <xf numFmtId="43" fontId="21" fillId="3" borderId="6" xfId="1" applyFont="1" applyFill="1" applyBorder="1"/>
    <xf numFmtId="43" fontId="21" fillId="3" borderId="6" xfId="1" applyFont="1" applyFill="1" applyBorder="1" applyAlignment="1">
      <alignment horizontal="center"/>
    </xf>
    <xf numFmtId="43" fontId="21" fillId="0" borderId="13" xfId="1" applyFont="1" applyBorder="1"/>
    <xf numFmtId="43" fontId="21" fillId="3" borderId="8" xfId="1" applyFont="1" applyFill="1" applyBorder="1"/>
    <xf numFmtId="43" fontId="21" fillId="0" borderId="13" xfId="1" applyFont="1" applyBorder="1" applyAlignment="1">
      <alignment horizontal="center"/>
    </xf>
    <xf numFmtId="164" fontId="21" fillId="3" borderId="15" xfId="0" applyFont="1" applyFill="1" applyBorder="1"/>
    <xf numFmtId="43" fontId="21" fillId="3" borderId="14" xfId="1" applyFont="1" applyFill="1" applyBorder="1"/>
    <xf numFmtId="43" fontId="21" fillId="3" borderId="14" xfId="1" applyFont="1" applyFill="1" applyBorder="1" applyAlignment="1">
      <alignment horizontal="center"/>
    </xf>
    <xf numFmtId="43" fontId="21" fillId="0" borderId="15" xfId="1" applyFont="1" applyBorder="1"/>
    <xf numFmtId="43" fontId="21" fillId="3" borderId="19" xfId="1" applyFont="1" applyFill="1" applyBorder="1"/>
    <xf numFmtId="164" fontId="21" fillId="3" borderId="17" xfId="0" applyFont="1" applyFill="1" applyBorder="1"/>
    <xf numFmtId="43" fontId="21" fillId="3" borderId="16" xfId="1" applyFont="1" applyFill="1" applyBorder="1"/>
    <xf numFmtId="43" fontId="21" fillId="3" borderId="16" xfId="1" applyFont="1" applyFill="1" applyBorder="1" applyAlignment="1">
      <alignment horizontal="center"/>
    </xf>
    <xf numFmtId="43" fontId="21" fillId="0" borderId="17" xfId="1" applyFont="1" applyBorder="1"/>
    <xf numFmtId="43" fontId="21" fillId="3" borderId="18" xfId="1" applyFont="1" applyFill="1" applyBorder="1"/>
    <xf numFmtId="43" fontId="21" fillId="0" borderId="0" xfId="1" applyFont="1"/>
    <xf numFmtId="43" fontId="21" fillId="0" borderId="0" xfId="1" applyFont="1" applyAlignment="1">
      <alignment horizontal="center"/>
    </xf>
    <xf numFmtId="167" fontId="17" fillId="0" borderId="0" xfId="1" applyNumberFormat="1" applyFont="1"/>
    <xf numFmtId="167" fontId="2" fillId="0" borderId="0" xfId="1" applyNumberFormat="1" applyFont="1" applyAlignment="1">
      <alignment horizontal="left" vertical="top"/>
    </xf>
    <xf numFmtId="181" fontId="2" fillId="0" borderId="0" xfId="2" applyNumberFormat="1" applyFont="1"/>
    <xf numFmtId="181" fontId="0" fillId="0" borderId="0" xfId="2" applyNumberFormat="1" applyFont="1"/>
    <xf numFmtId="164" fontId="2" fillId="0" borderId="0" xfId="0" applyFont="1" applyAlignment="1">
      <alignment vertical="top" wrapText="1"/>
    </xf>
    <xf numFmtId="0" fontId="17" fillId="0" borderId="0" xfId="6" applyNumberFormat="1" applyFont="1"/>
    <xf numFmtId="164" fontId="8" fillId="0" borderId="0" xfId="6" applyFont="1"/>
    <xf numFmtId="49" fontId="2" fillId="0" borderId="0" xfId="1" applyNumberFormat="1" applyFont="1" applyAlignment="1">
      <alignment horizontal="center"/>
    </xf>
    <xf numFmtId="164" fontId="2" fillId="0" borderId="0" xfId="6" quotePrefix="1" applyFont="1" applyAlignment="1">
      <alignment horizontal="left"/>
    </xf>
    <xf numFmtId="164" fontId="2" fillId="0" borderId="0" xfId="6" applyFont="1" applyAlignment="1">
      <alignment horizontal="center" wrapText="1"/>
    </xf>
    <xf numFmtId="43" fontId="2" fillId="0" borderId="7" xfId="1" applyFont="1" applyBorder="1"/>
    <xf numFmtId="1" fontId="2" fillId="0" borderId="0" xfId="6" applyNumberFormat="1" applyFont="1" applyAlignment="1">
      <alignment horizontal="left"/>
    </xf>
    <xf numFmtId="0" fontId="2" fillId="0" borderId="0" xfId="12" applyFont="1"/>
    <xf numFmtId="0" fontId="9" fillId="0" borderId="0" xfId="0" applyNumberFormat="1" applyFont="1" applyAlignment="1">
      <alignment horizontal="center"/>
    </xf>
    <xf numFmtId="0" fontId="2" fillId="0" borderId="0" xfId="13" applyFont="1"/>
    <xf numFmtId="164" fontId="23" fillId="0" borderId="0" xfId="0" applyFont="1"/>
    <xf numFmtId="0" fontId="2" fillId="0" borderId="0" xfId="13" applyFont="1" applyAlignment="1">
      <alignment horizontal="center"/>
    </xf>
    <xf numFmtId="164" fontId="2" fillId="0" borderId="0" xfId="0" applyFont="1" applyAlignment="1">
      <alignment horizontal="right"/>
    </xf>
    <xf numFmtId="0" fontId="8" fillId="0" borderId="0" xfId="13" applyFont="1" applyAlignment="1">
      <alignment horizontal="centerContinuous"/>
    </xf>
    <xf numFmtId="0" fontId="8" fillId="0" borderId="9" xfId="13" applyFont="1" applyBorder="1" applyAlignment="1">
      <alignment horizontal="center"/>
    </xf>
    <xf numFmtId="0" fontId="2" fillId="0" borderId="0" xfId="0" applyNumberFormat="1" applyFont="1" applyAlignment="1">
      <alignment horizontal="center" wrapText="1"/>
    </xf>
    <xf numFmtId="0" fontId="8" fillId="0" borderId="0" xfId="13" applyFont="1" applyAlignment="1">
      <alignment horizontal="center" wrapText="1"/>
    </xf>
    <xf numFmtId="164" fontId="8" fillId="0" borderId="0" xfId="0" applyFont="1" applyAlignment="1">
      <alignment horizontal="center" wrapText="1"/>
    </xf>
    <xf numFmtId="164" fontId="23" fillId="0" borderId="0" xfId="0" applyFont="1" applyAlignment="1">
      <alignment wrapText="1"/>
    </xf>
    <xf numFmtId="164" fontId="2" fillId="0" borderId="0" xfId="0" applyFont="1" applyAlignment="1">
      <alignment wrapText="1"/>
    </xf>
    <xf numFmtId="0" fontId="8" fillId="0" borderId="0" xfId="13" applyFont="1" applyAlignment="1">
      <alignment horizontal="center"/>
    </xf>
    <xf numFmtId="0" fontId="8" fillId="0" borderId="0" xfId="7" applyFont="1" applyAlignment="1">
      <alignment horizontal="center" wrapText="1"/>
    </xf>
    <xf numFmtId="164" fontId="24" fillId="0" borderId="0" xfId="0" applyFont="1"/>
    <xf numFmtId="0" fontId="2" fillId="0" borderId="0" xfId="13" applyFont="1" applyAlignment="1">
      <alignment horizontal="left"/>
    </xf>
    <xf numFmtId="0" fontId="2" fillId="0" borderId="0" xfId="13" quotePrefix="1" applyFont="1" applyAlignment="1">
      <alignment horizontal="left"/>
    </xf>
    <xf numFmtId="41" fontId="2" fillId="2" borderId="0" xfId="13" applyNumberFormat="1" applyFont="1" applyFill="1"/>
    <xf numFmtId="41" fontId="2" fillId="3" borderId="0" xfId="13" applyNumberFormat="1" applyFont="1" applyFill="1"/>
    <xf numFmtId="0" fontId="2" fillId="0" borderId="0" xfId="13" applyFont="1" applyAlignment="1">
      <alignment horizontal="right"/>
    </xf>
    <xf numFmtId="43" fontId="2" fillId="0" borderId="3" xfId="1" applyFont="1" applyBorder="1"/>
    <xf numFmtId="37" fontId="2" fillId="0" borderId="0" xfId="13" applyNumberFormat="1" applyFont="1"/>
    <xf numFmtId="164" fontId="2" fillId="0" borderId="0" xfId="14" applyFont="1"/>
    <xf numFmtId="0" fontId="8" fillId="0" borderId="0" xfId="13" applyFont="1" applyAlignment="1">
      <alignment horizontal="centerContinuous" wrapText="1"/>
    </xf>
    <xf numFmtId="0" fontId="8" fillId="5" borderId="0" xfId="7" applyFont="1" applyFill="1" applyAlignment="1">
      <alignment horizontal="center" wrapText="1"/>
    </xf>
    <xf numFmtId="41" fontId="21" fillId="6" borderId="0" xfId="13" applyNumberFormat="1" applyFont="1" applyFill="1"/>
    <xf numFmtId="43" fontId="2" fillId="6" borderId="3" xfId="1" applyFont="1" applyFill="1" applyBorder="1"/>
    <xf numFmtId="164" fontId="2" fillId="5" borderId="0" xfId="0" applyFont="1" applyFill="1"/>
    <xf numFmtId="44" fontId="2" fillId="0" borderId="0" xfId="0" applyNumberFormat="1" applyFont="1"/>
    <xf numFmtId="0" fontId="2" fillId="0" borderId="0" xfId="15" applyFont="1"/>
    <xf numFmtId="0" fontId="2" fillId="0" borderId="0" xfId="15" applyFont="1" applyAlignment="1">
      <alignment horizontal="center"/>
    </xf>
    <xf numFmtId="3" fontId="2" fillId="0" borderId="0" xfId="15" applyNumberFormat="1" applyFont="1" applyAlignment="1">
      <alignment horizontal="center" wrapText="1"/>
    </xf>
    <xf numFmtId="0" fontId="2" fillId="0" borderId="0" xfId="15" applyFont="1" applyAlignment="1">
      <alignment horizontal="center" wrapText="1"/>
    </xf>
    <xf numFmtId="0" fontId="2" fillId="3" borderId="0" xfId="15" applyFont="1" applyFill="1"/>
    <xf numFmtId="167" fontId="2" fillId="3" borderId="0" xfId="1" applyNumberFormat="1" applyFont="1" applyFill="1" applyAlignment="1">
      <alignment horizontal="center"/>
    </xf>
    <xf numFmtId="167" fontId="2" fillId="0" borderId="0" xfId="1" applyNumberFormat="1" applyFont="1" applyAlignment="1">
      <alignment horizontal="center" wrapText="1"/>
    </xf>
    <xf numFmtId="164" fontId="9" fillId="3" borderId="0" xfId="0" applyFont="1" applyFill="1"/>
    <xf numFmtId="0" fontId="2" fillId="3" borderId="5" xfId="15" applyFont="1" applyFill="1" applyBorder="1"/>
    <xf numFmtId="167" fontId="2" fillId="3" borderId="5" xfId="1" applyNumberFormat="1" applyFont="1" applyFill="1" applyBorder="1"/>
    <xf numFmtId="167" fontId="2" fillId="3" borderId="5" xfId="1" applyNumberFormat="1" applyFont="1" applyFill="1" applyBorder="1" applyAlignment="1">
      <alignment horizontal="center"/>
    </xf>
    <xf numFmtId="164" fontId="9" fillId="3" borderId="5" xfId="0" applyFont="1" applyFill="1" applyBorder="1"/>
    <xf numFmtId="167" fontId="2" fillId="0" borderId="5" xfId="1" applyNumberFormat="1" applyFont="1" applyBorder="1" applyAlignment="1">
      <alignment horizontal="center" wrapText="1"/>
    </xf>
    <xf numFmtId="0" fontId="7" fillId="0" borderId="0" xfId="0" applyNumberFormat="1" applyFont="1" applyAlignment="1">
      <alignment horizontal="center"/>
    </xf>
    <xf numFmtId="164" fontId="7" fillId="0" borderId="0" xfId="0" applyFont="1" applyAlignment="1">
      <alignment horizontal="center"/>
    </xf>
    <xf numFmtId="44" fontId="7" fillId="0" borderId="0" xfId="0" applyNumberFormat="1" applyFont="1"/>
    <xf numFmtId="0" fontId="2" fillId="0" borderId="0" xfId="0" applyNumberFormat="1" applyFont="1" applyAlignment="1">
      <alignment horizontal="center" vertical="top"/>
    </xf>
    <xf numFmtId="0" fontId="2" fillId="0" borderId="0" xfId="4" applyFont="1" applyAlignment="1">
      <alignment vertical="top"/>
    </xf>
    <xf numFmtId="49" fontId="2" fillId="0" borderId="0" xfId="0" applyNumberFormat="1" applyFont="1" applyAlignment="1">
      <alignment horizontal="center" vertical="center" wrapText="1"/>
    </xf>
    <xf numFmtId="0" fontId="2" fillId="0" borderId="0" xfId="16" applyFont="1" applyAlignment="1">
      <alignment horizontal="center" vertical="center" wrapText="1"/>
    </xf>
    <xf numFmtId="164" fontId="2" fillId="0" borderId="0" xfId="0" applyFont="1" applyAlignment="1">
      <alignment horizontal="center" vertical="center" wrapText="1"/>
    </xf>
    <xf numFmtId="0" fontId="2" fillId="0" borderId="0" xfId="16" applyFont="1" applyAlignment="1">
      <alignment horizontal="center" wrapText="1"/>
    </xf>
    <xf numFmtId="0" fontId="2" fillId="0" borderId="0" xfId="16" applyFont="1" applyAlignment="1">
      <alignment horizontal="center"/>
    </xf>
    <xf numFmtId="0" fontId="2" fillId="0" borderId="0" xfId="13" applyFont="1" applyAlignment="1">
      <alignment horizontal="center" wrapText="1"/>
    </xf>
    <xf numFmtId="0" fontId="2" fillId="0" borderId="0" xfId="7" applyFont="1" applyAlignment="1">
      <alignment horizontal="center" wrapText="1"/>
    </xf>
    <xf numFmtId="164" fontId="9" fillId="0" borderId="0" xfId="0" applyFont="1" applyAlignment="1">
      <alignment horizontal="center"/>
    </xf>
    <xf numFmtId="0" fontId="2" fillId="0" borderId="0" xfId="16" applyFont="1" applyAlignment="1">
      <alignment wrapText="1"/>
    </xf>
    <xf numFmtId="0" fontId="7" fillId="0" borderId="0" xfId="16" applyFont="1" applyAlignment="1">
      <alignment horizontal="center"/>
    </xf>
    <xf numFmtId="0" fontId="2" fillId="0" borderId="0" xfId="16" applyFont="1"/>
    <xf numFmtId="167" fontId="2" fillId="3" borderId="0" xfId="1" applyNumberFormat="1" applyFont="1" applyFill="1" applyAlignment="1">
      <alignment horizontal="right"/>
    </xf>
    <xf numFmtId="0" fontId="2" fillId="0" borderId="7" xfId="16" applyFont="1" applyBorder="1"/>
    <xf numFmtId="181" fontId="2" fillId="0" borderId="7" xfId="2" applyNumberFormat="1" applyFont="1" applyBorder="1"/>
    <xf numFmtId="0" fontId="7" fillId="0" borderId="0" xfId="16" applyFont="1"/>
    <xf numFmtId="0" fontId="2" fillId="0" borderId="0" xfId="16" applyFont="1" applyAlignment="1">
      <alignment horizontal="left" wrapText="1"/>
    </xf>
    <xf numFmtId="167" fontId="2" fillId="0" borderId="7" xfId="2" applyNumberFormat="1" applyFont="1" applyBorder="1"/>
    <xf numFmtId="1" fontId="2" fillId="0" borderId="0" xfId="0" applyNumberFormat="1" applyFont="1" applyAlignment="1">
      <alignment horizontal="center"/>
    </xf>
    <xf numFmtId="3" fontId="2" fillId="0" borderId="0" xfId="0" applyNumberFormat="1" applyFont="1" applyFill="1"/>
    <xf numFmtId="167" fontId="2" fillId="0" borderId="0" xfId="1" applyNumberFormat="1" applyFont="1" applyProtection="1">
      <protection locked="0"/>
    </xf>
    <xf numFmtId="10" fontId="2" fillId="3" borderId="0" xfId="3" quotePrefix="1" applyNumberFormat="1" applyFont="1" applyFill="1" applyAlignment="1">
      <alignment horizontal="right"/>
    </xf>
    <xf numFmtId="43" fontId="2" fillId="0" borderId="0" xfId="16" applyNumberFormat="1" applyFont="1"/>
    <xf numFmtId="10" fontId="2" fillId="3" borderId="0" xfId="1" applyNumberFormat="1" applyFont="1" applyFill="1"/>
    <xf numFmtId="167" fontId="2" fillId="3" borderId="1" xfId="1" applyNumberFormat="1" applyFont="1" applyFill="1" applyBorder="1" applyAlignment="1">
      <alignment horizontal="center"/>
    </xf>
    <xf numFmtId="10" fontId="2" fillId="3" borderId="0" xfId="3" quotePrefix="1" applyNumberFormat="1" applyFont="1" applyFill="1"/>
    <xf numFmtId="49" fontId="2" fillId="0" borderId="0" xfId="0" applyNumberFormat="1" applyFont="1" applyFill="1" applyAlignment="1">
      <alignment horizontal="center"/>
    </xf>
    <xf numFmtId="1" fontId="2" fillId="0" borderId="0" xfId="0" applyNumberFormat="1" applyFont="1" applyFill="1" applyAlignment="1">
      <alignment horizontal="center"/>
    </xf>
    <xf numFmtId="7" fontId="26" fillId="0" borderId="0" xfId="17" applyFont="1"/>
    <xf numFmtId="7" fontId="26" fillId="0" borderId="0" xfId="17" applyFont="1" applyAlignment="1">
      <alignment horizontal="center"/>
    </xf>
    <xf numFmtId="7" fontId="27" fillId="0" borderId="0" xfId="17" applyFont="1" applyAlignment="1">
      <alignment horizontal="center"/>
    </xf>
    <xf numFmtId="7" fontId="27" fillId="0" borderId="0" xfId="17" applyFont="1"/>
    <xf numFmtId="182" fontId="28" fillId="0" borderId="0" xfId="18" applyNumberFormat="1" applyFont="1" applyAlignment="1">
      <alignment horizontal="center"/>
    </xf>
    <xf numFmtId="179" fontId="27" fillId="0" borderId="0" xfId="1" applyNumberFormat="1" applyFont="1" applyAlignment="1">
      <alignment horizontal="left"/>
    </xf>
    <xf numFmtId="182" fontId="27" fillId="0" borderId="0" xfId="18" applyNumberFormat="1" applyFont="1" applyAlignment="1">
      <alignment horizontal="center"/>
    </xf>
    <xf numFmtId="179" fontId="26" fillId="0" borderId="0" xfId="1" applyNumberFormat="1" applyFont="1" applyAlignment="1">
      <alignment horizontal="left"/>
    </xf>
    <xf numFmtId="182" fontId="27" fillId="0" borderId="0" xfId="18" applyNumberFormat="1" applyFont="1"/>
    <xf numFmtId="10" fontId="27" fillId="0" borderId="0" xfId="17" applyNumberFormat="1" applyFont="1"/>
    <xf numFmtId="182" fontId="2" fillId="0" borderId="0" xfId="18" applyNumberFormat="1" applyFont="1"/>
    <xf numFmtId="7" fontId="2" fillId="0" borderId="0" xfId="17" quotePrefix="1" applyFont="1"/>
    <xf numFmtId="7" fontId="27" fillId="0" borderId="0" xfId="17" applyFont="1" applyAlignment="1">
      <alignment horizontal="left"/>
    </xf>
    <xf numFmtId="7" fontId="2" fillId="0" borderId="0" xfId="17" applyFont="1"/>
    <xf numFmtId="182" fontId="2" fillId="0" borderId="0" xfId="18" applyNumberFormat="1" applyFont="1" applyAlignment="1">
      <alignment horizontal="center"/>
    </xf>
    <xf numFmtId="164" fontId="27" fillId="0" borderId="0" xfId="0" applyFont="1"/>
    <xf numFmtId="2" fontId="27" fillId="0" borderId="0" xfId="0" applyNumberFormat="1" applyFont="1" applyAlignment="1">
      <alignment horizontal="left"/>
    </xf>
    <xf numFmtId="164" fontId="27" fillId="0" borderId="0" xfId="0" applyFont="1" applyAlignment="1">
      <alignment horizontal="left"/>
    </xf>
    <xf numFmtId="10" fontId="27" fillId="0" borderId="0" xfId="3" applyNumberFormat="1" applyFont="1" applyAlignment="1">
      <alignment horizontal="center"/>
    </xf>
    <xf numFmtId="2" fontId="2" fillId="0" borderId="0" xfId="0" applyNumberFormat="1" applyFont="1" applyAlignment="1">
      <alignment horizontal="center"/>
    </xf>
    <xf numFmtId="2" fontId="2" fillId="0" borderId="0" xfId="0" applyNumberFormat="1" applyFont="1"/>
    <xf numFmtId="0" fontId="1" fillId="0" borderId="0" xfId="15" applyAlignment="1">
      <alignment horizontal="center"/>
    </xf>
    <xf numFmtId="0" fontId="29" fillId="0" borderId="0" xfId="15" applyFont="1" applyAlignment="1">
      <alignment horizontal="left"/>
    </xf>
    <xf numFmtId="0" fontId="1" fillId="0" borderId="0" xfId="15"/>
    <xf numFmtId="164" fontId="30" fillId="0" borderId="0" xfId="6" applyFont="1" applyAlignment="1">
      <alignment horizontal="center"/>
    </xf>
    <xf numFmtId="164" fontId="13" fillId="0" borderId="0" xfId="0" applyFont="1"/>
    <xf numFmtId="0" fontId="21" fillId="0" borderId="0" xfId="10" applyFont="1"/>
    <xf numFmtId="0" fontId="15" fillId="0" borderId="0" xfId="15" applyFont="1" applyAlignment="1">
      <alignment horizontal="left"/>
    </xf>
    <xf numFmtId="164" fontId="8" fillId="0" borderId="0" xfId="6" applyFont="1" applyAlignment="1">
      <alignment horizontal="center"/>
    </xf>
    <xf numFmtId="0" fontId="31" fillId="0" borderId="0" xfId="19" applyFont="1" applyAlignment="1">
      <alignment horizontal="center"/>
    </xf>
    <xf numFmtId="164" fontId="8" fillId="0" borderId="0" xfId="6" applyFont="1" applyAlignment="1">
      <alignment horizontal="center" wrapText="1"/>
    </xf>
    <xf numFmtId="0" fontId="8" fillId="0" borderId="0" xfId="19" applyFont="1" applyAlignment="1">
      <alignment horizontal="center"/>
    </xf>
    <xf numFmtId="3" fontId="1" fillId="0" borderId="0" xfId="15" applyNumberFormat="1"/>
    <xf numFmtId="164" fontId="31" fillId="0" borderId="0" xfId="6" applyFont="1" applyAlignment="1">
      <alignment horizontal="center" wrapText="1"/>
    </xf>
    <xf numFmtId="0" fontId="1" fillId="0" borderId="0" xfId="20" applyFont="1"/>
    <xf numFmtId="166" fontId="1" fillId="0" borderId="0" xfId="20" applyNumberFormat="1" applyFont="1" applyAlignment="1">
      <alignment horizontal="right"/>
    </xf>
    <xf numFmtId="166" fontId="1" fillId="0" borderId="0" xfId="6" applyNumberFormat="1" applyFont="1"/>
    <xf numFmtId="3" fontId="2" fillId="0" borderId="0" xfId="15" applyNumberFormat="1" applyFont="1"/>
    <xf numFmtId="164" fontId="8" fillId="0" borderId="5" xfId="6" applyFont="1" applyBorder="1" applyAlignment="1">
      <alignment horizontal="center" wrapText="1"/>
    </xf>
    <xf numFmtId="167" fontId="1" fillId="0" borderId="0" xfId="21" applyNumberFormat="1" applyFont="1" applyAlignment="1">
      <alignment horizontal="right"/>
    </xf>
    <xf numFmtId="0" fontId="2" fillId="0" borderId="0" xfId="20" applyFont="1"/>
    <xf numFmtId="168" fontId="1" fillId="0" borderId="0" xfId="20" applyNumberFormat="1" applyFont="1"/>
    <xf numFmtId="164" fontId="1" fillId="0" borderId="0" xfId="6" applyFont="1"/>
    <xf numFmtId="168" fontId="2" fillId="0" borderId="0" xfId="22" applyNumberFormat="1" applyFont="1"/>
    <xf numFmtId="167" fontId="2" fillId="2" borderId="0" xfId="21" applyNumberFormat="1" applyFont="1" applyFill="1" applyAlignment="1">
      <alignment horizontal="right"/>
    </xf>
    <xf numFmtId="167" fontId="2" fillId="0" borderId="0" xfId="21" applyNumberFormat="1" applyFont="1" applyAlignment="1">
      <alignment horizontal="right"/>
    </xf>
    <xf numFmtId="167" fontId="0" fillId="0" borderId="0" xfId="1" applyNumberFormat="1" applyFont="1"/>
    <xf numFmtId="166" fontId="2" fillId="0" borderId="0" xfId="20" applyNumberFormat="1" applyFont="1"/>
    <xf numFmtId="164" fontId="2" fillId="3" borderId="0" xfId="0" applyFont="1" applyFill="1"/>
    <xf numFmtId="0" fontId="2" fillId="0" borderId="0" xfId="0" applyNumberFormat="1" applyFont="1" applyAlignment="1">
      <alignment horizontal="center" vertical="center"/>
    </xf>
    <xf numFmtId="164" fontId="2" fillId="0" borderId="1" xfId="6" applyFont="1" applyBorder="1" applyAlignment="1">
      <alignment horizontal="center"/>
    </xf>
    <xf numFmtId="0" fontId="10" fillId="0" borderId="0" xfId="23" applyFont="1"/>
    <xf numFmtId="0" fontId="18" fillId="0" borderId="0" xfId="23" applyFont="1"/>
    <xf numFmtId="0" fontId="19" fillId="0" borderId="0" xfId="23" applyFont="1"/>
    <xf numFmtId="0" fontId="10" fillId="0" borderId="0" xfId="23" applyFont="1" applyAlignment="1">
      <alignment horizontal="center"/>
    </xf>
    <xf numFmtId="0" fontId="18" fillId="0" borderId="0" xfId="23" applyFont="1" applyAlignment="1">
      <alignment horizontal="center"/>
    </xf>
    <xf numFmtId="0" fontId="32" fillId="0" borderId="0" xfId="23" applyFont="1"/>
    <xf numFmtId="0" fontId="10" fillId="0" borderId="5" xfId="23" applyFont="1" applyBorder="1" applyAlignment="1">
      <alignment horizontal="center"/>
    </xf>
    <xf numFmtId="0" fontId="10" fillId="0" borderId="5" xfId="23" applyFont="1" applyBorder="1"/>
    <xf numFmtId="0" fontId="18" fillId="0" borderId="5" xfId="23" applyFont="1" applyBorder="1"/>
    <xf numFmtId="0" fontId="10" fillId="0" borderId="5" xfId="23" applyFont="1" applyBorder="1" applyAlignment="1">
      <alignment horizontal="center" wrapText="1"/>
    </xf>
    <xf numFmtId="0" fontId="10" fillId="0" borderId="0" xfId="23" applyFont="1" applyAlignment="1">
      <alignment horizontal="right"/>
    </xf>
    <xf numFmtId="43" fontId="18" fillId="0" borderId="0" xfId="1" applyFont="1"/>
    <xf numFmtId="167" fontId="10" fillId="0" borderId="0" xfId="1" applyNumberFormat="1" applyFont="1"/>
    <xf numFmtId="37" fontId="10" fillId="0" borderId="0" xfId="23" applyNumberFormat="1" applyFont="1"/>
    <xf numFmtId="43" fontId="10" fillId="0" borderId="0" xfId="1" applyFont="1"/>
    <xf numFmtId="43" fontId="10" fillId="0" borderId="0" xfId="23" applyNumberFormat="1" applyFont="1"/>
    <xf numFmtId="9" fontId="10" fillId="0" borderId="0" xfId="23" applyNumberFormat="1" applyFont="1" applyAlignment="1">
      <alignment horizontal="left"/>
    </xf>
    <xf numFmtId="37" fontId="10" fillId="0" borderId="0" xfId="23" applyNumberFormat="1" applyFont="1" applyAlignment="1">
      <alignment horizontal="left"/>
    </xf>
    <xf numFmtId="0" fontId="10" fillId="0" borderId="5" xfId="23" applyFont="1" applyBorder="1" applyAlignment="1">
      <alignment horizontal="right" vertical="top"/>
    </xf>
    <xf numFmtId="0" fontId="10" fillId="0" borderId="5" xfId="23" applyFont="1" applyBorder="1" applyAlignment="1">
      <alignment horizontal="center" vertical="top" wrapText="1"/>
    </xf>
    <xf numFmtId="0" fontId="10" fillId="0" borderId="0" xfId="23" applyFont="1" applyAlignment="1">
      <alignment horizontal="left"/>
    </xf>
    <xf numFmtId="0" fontId="10" fillId="3" borderId="0" xfId="1" applyNumberFormat="1" applyFont="1" applyFill="1" applyAlignment="1">
      <alignment horizontal="center"/>
    </xf>
    <xf numFmtId="167" fontId="18" fillId="0" borderId="0" xfId="1" applyNumberFormat="1" applyFont="1"/>
    <xf numFmtId="43" fontId="18" fillId="0" borderId="0" xfId="23" applyNumberFormat="1" applyFont="1"/>
    <xf numFmtId="167" fontId="10" fillId="0" borderId="0" xfId="23" applyNumberFormat="1" applyFont="1"/>
    <xf numFmtId="167" fontId="18" fillId="0" borderId="0" xfId="23" applyNumberFormat="1" applyFont="1"/>
    <xf numFmtId="41" fontId="10" fillId="0" borderId="0" xfId="23" applyNumberFormat="1" applyFont="1" applyAlignment="1">
      <alignment horizontal="center"/>
    </xf>
    <xf numFmtId="41" fontId="33" fillId="0" borderId="0" xfId="23" applyNumberFormat="1" applyFont="1" applyAlignment="1">
      <alignment horizontal="center"/>
    </xf>
    <xf numFmtId="10" fontId="18" fillId="0" borderId="0" xfId="23" applyNumberFormat="1" applyFont="1"/>
    <xf numFmtId="10" fontId="10" fillId="0" borderId="0" xfId="3" applyNumberFormat="1" applyFont="1"/>
    <xf numFmtId="167" fontId="10" fillId="3" borderId="0" xfId="1" applyNumberFormat="1" applyFont="1" applyFill="1"/>
    <xf numFmtId="167" fontId="18" fillId="3" borderId="0" xfId="1" applyNumberFormat="1" applyFont="1" applyFill="1"/>
    <xf numFmtId="43" fontId="10" fillId="3" borderId="0" xfId="1" applyFont="1" applyFill="1"/>
    <xf numFmtId="0" fontId="10" fillId="0" borderId="0" xfId="23" applyFont="1" applyAlignment="1">
      <alignment horizontal="center" wrapText="1"/>
    </xf>
    <xf numFmtId="0" fontId="10" fillId="2" borderId="20" xfId="23" applyFont="1" applyFill="1" applyBorder="1"/>
    <xf numFmtId="41" fontId="10" fillId="2" borderId="9" xfId="23" applyNumberFormat="1" applyFont="1" applyFill="1" applyBorder="1"/>
    <xf numFmtId="41" fontId="10" fillId="2" borderId="9" xfId="24" applyFont="1" applyFill="1" applyBorder="1"/>
    <xf numFmtId="0" fontId="10" fillId="2" borderId="21" xfId="23" applyFont="1" applyFill="1" applyBorder="1" applyAlignment="1">
      <alignment wrapText="1"/>
    </xf>
    <xf numFmtId="0" fontId="10" fillId="2" borderId="20" xfId="23" applyFont="1" applyFill="1" applyBorder="1" applyAlignment="1">
      <alignment wrapText="1"/>
    </xf>
    <xf numFmtId="0" fontId="10" fillId="2" borderId="9" xfId="23" applyFont="1" applyFill="1" applyBorder="1"/>
    <xf numFmtId="0" fontId="10" fillId="4" borderId="20" xfId="23" applyFont="1" applyFill="1" applyBorder="1" applyAlignment="1">
      <alignment wrapText="1"/>
    </xf>
    <xf numFmtId="41" fontId="10" fillId="4" borderId="9" xfId="23" applyNumberFormat="1" applyFont="1" applyFill="1" applyBorder="1"/>
    <xf numFmtId="0" fontId="10" fillId="4" borderId="21" xfId="23" applyFont="1" applyFill="1" applyBorder="1" applyAlignment="1">
      <alignment wrapText="1"/>
    </xf>
    <xf numFmtId="0" fontId="10" fillId="0" borderId="22" xfId="23" applyFont="1" applyBorder="1"/>
    <xf numFmtId="167" fontId="10" fillId="0" borderId="9" xfId="1" applyNumberFormat="1" applyFont="1" applyBorder="1"/>
    <xf numFmtId="37" fontId="10" fillId="0" borderId="21" xfId="23" applyNumberFormat="1" applyFont="1" applyBorder="1" applyAlignment="1">
      <alignment wrapText="1"/>
    </xf>
    <xf numFmtId="0" fontId="10" fillId="0" borderId="23" xfId="23" applyFont="1" applyBorder="1"/>
    <xf numFmtId="167" fontId="10" fillId="2" borderId="9" xfId="1" applyNumberFormat="1" applyFont="1" applyFill="1" applyBorder="1"/>
    <xf numFmtId="167" fontId="10" fillId="2" borderId="9" xfId="1" applyNumberFormat="1" applyFont="1" applyFill="1" applyBorder="1" applyAlignment="1">
      <alignment horizontal="right"/>
    </xf>
    <xf numFmtId="167" fontId="10" fillId="2" borderId="9" xfId="1" applyNumberFormat="1" applyFont="1" applyFill="1" applyBorder="1" applyAlignment="1">
      <alignment horizontal="center"/>
    </xf>
    <xf numFmtId="0" fontId="10" fillId="0" borderId="24" xfId="23" applyFont="1" applyBorder="1"/>
    <xf numFmtId="167" fontId="10" fillId="2" borderId="13" xfId="1" applyNumberFormat="1" applyFont="1" applyFill="1" applyBorder="1"/>
    <xf numFmtId="0" fontId="10" fillId="2" borderId="25" xfId="23" applyFont="1" applyFill="1" applyBorder="1" applyAlignment="1">
      <alignment wrapText="1"/>
    </xf>
    <xf numFmtId="0" fontId="10" fillId="0" borderId="26" xfId="23" applyFont="1" applyBorder="1"/>
    <xf numFmtId="167" fontId="10" fillId="0" borderId="27" xfId="1" applyNumberFormat="1" applyFont="1" applyBorder="1"/>
    <xf numFmtId="0" fontId="10" fillId="0" borderId="28" xfId="23" applyFont="1" applyBorder="1" applyAlignment="1">
      <alignment wrapText="1"/>
    </xf>
    <xf numFmtId="37" fontId="10" fillId="0" borderId="0" xfId="23" applyNumberFormat="1" applyFont="1" applyAlignment="1">
      <alignment horizontal="center"/>
    </xf>
    <xf numFmtId="37" fontId="10" fillId="0" borderId="0" xfId="23" applyNumberFormat="1" applyFont="1" applyAlignment="1">
      <alignment wrapText="1"/>
    </xf>
    <xf numFmtId="0" fontId="10" fillId="0" borderId="0" xfId="23" applyFont="1" applyAlignment="1">
      <alignment wrapText="1"/>
    </xf>
    <xf numFmtId="37" fontId="10" fillId="2" borderId="22" xfId="23" applyNumberFormat="1" applyFont="1" applyFill="1" applyBorder="1" applyAlignment="1">
      <alignment horizontal="center"/>
    </xf>
    <xf numFmtId="37" fontId="10" fillId="2" borderId="9" xfId="23" applyNumberFormat="1" applyFont="1" applyFill="1" applyBorder="1"/>
    <xf numFmtId="0" fontId="10" fillId="2" borderId="22" xfId="23" applyFont="1" applyFill="1" applyBorder="1" applyAlignment="1">
      <alignment horizontal="center"/>
    </xf>
    <xf numFmtId="41" fontId="10" fillId="4" borderId="9" xfId="24" applyFont="1" applyFill="1" applyBorder="1"/>
    <xf numFmtId="0" fontId="10" fillId="0" borderId="20" xfId="23" applyFont="1" applyBorder="1"/>
    <xf numFmtId="0" fontId="10" fillId="0" borderId="29" xfId="23" applyFont="1" applyBorder="1"/>
    <xf numFmtId="0" fontId="10" fillId="2" borderId="20" xfId="25" applyFont="1" applyFill="1" applyBorder="1"/>
    <xf numFmtId="41" fontId="10" fillId="0" borderId="0" xfId="24" applyFont="1"/>
    <xf numFmtId="0" fontId="10" fillId="0" borderId="30" xfId="23" applyFont="1" applyBorder="1"/>
    <xf numFmtId="167" fontId="10" fillId="2" borderId="13" xfId="1" applyNumberFormat="1" applyFont="1" applyFill="1" applyBorder="1" applyAlignment="1">
      <alignment horizontal="right"/>
    </xf>
    <xf numFmtId="167" fontId="10" fillId="0" borderId="27" xfId="1" applyNumberFormat="1" applyFont="1" applyBorder="1" applyAlignment="1">
      <alignment horizontal="right"/>
    </xf>
    <xf numFmtId="167" fontId="10" fillId="0" borderId="0" xfId="23" applyNumberFormat="1" applyFont="1" applyAlignment="1">
      <alignment wrapText="1"/>
    </xf>
    <xf numFmtId="0" fontId="10" fillId="0" borderId="0" xfId="23" applyFont="1" applyAlignment="1">
      <alignment horizontal="centerContinuous"/>
    </xf>
    <xf numFmtId="0" fontId="10" fillId="0" borderId="0" xfId="23" applyFont="1"/>
    <xf numFmtId="0" fontId="18" fillId="0" borderId="5" xfId="23" applyFont="1" applyBorder="1" applyAlignment="1">
      <alignment horizontal="center" wrapText="1"/>
    </xf>
    <xf numFmtId="43" fontId="10" fillId="0" borderId="0" xfId="1" applyFont="1" applyAlignment="1">
      <alignment horizontal="center"/>
    </xf>
    <xf numFmtId="0" fontId="17" fillId="0" borderId="0" xfId="23" applyFont="1"/>
    <xf numFmtId="0" fontId="17" fillId="0" borderId="0" xfId="23" applyFont="1" applyAlignment="1">
      <alignment horizontal="left"/>
    </xf>
    <xf numFmtId="0" fontId="17" fillId="0" borderId="0" xfId="23" applyFont="1" applyAlignment="1">
      <alignment horizontal="center"/>
    </xf>
    <xf numFmtId="0" fontId="17" fillId="0" borderId="34" xfId="23" applyFont="1" applyBorder="1" applyAlignment="1">
      <alignment horizontal="center"/>
    </xf>
    <xf numFmtId="0" fontId="17" fillId="0" borderId="35" xfId="23" applyFont="1" applyBorder="1" applyAlignment="1">
      <alignment horizontal="center"/>
    </xf>
    <xf numFmtId="0" fontId="17" fillId="0" borderId="5" xfId="23" applyFont="1" applyBorder="1" applyAlignment="1">
      <alignment horizontal="right" vertical="top"/>
    </xf>
    <xf numFmtId="0" fontId="17" fillId="0" borderId="5" xfId="23" applyFont="1" applyBorder="1" applyAlignment="1">
      <alignment horizontal="center" vertical="top" wrapText="1"/>
    </xf>
    <xf numFmtId="0" fontId="17" fillId="0" borderId="36" xfId="23" applyFont="1" applyBorder="1" applyAlignment="1">
      <alignment horizontal="center" vertical="top" wrapText="1"/>
    </xf>
    <xf numFmtId="0" fontId="17" fillId="0" borderId="37" xfId="23" applyFont="1" applyBorder="1" applyAlignment="1">
      <alignment horizontal="center" vertical="top" wrapText="1"/>
    </xf>
    <xf numFmtId="0" fontId="17" fillId="0" borderId="34" xfId="23" applyFont="1" applyBorder="1"/>
    <xf numFmtId="0" fontId="17" fillId="0" borderId="35" xfId="23" applyFont="1" applyBorder="1"/>
    <xf numFmtId="0" fontId="17" fillId="0" borderId="0" xfId="23" applyFont="1" applyAlignment="1">
      <alignment horizontal="right"/>
    </xf>
    <xf numFmtId="0" fontId="17" fillId="3" borderId="0" xfId="1" applyNumberFormat="1" applyFont="1" applyFill="1" applyAlignment="1">
      <alignment horizontal="center"/>
    </xf>
    <xf numFmtId="10" fontId="17" fillId="0" borderId="0" xfId="3" applyNumberFormat="1" applyFont="1"/>
    <xf numFmtId="167" fontId="17" fillId="0" borderId="34" xfId="1" applyNumberFormat="1" applyFont="1" applyBorder="1"/>
    <xf numFmtId="167" fontId="17" fillId="0" borderId="35" xfId="1" applyNumberFormat="1" applyFont="1" applyBorder="1"/>
    <xf numFmtId="167" fontId="17" fillId="3" borderId="0" xfId="1" applyNumberFormat="1" applyFont="1" applyFill="1"/>
    <xf numFmtId="167" fontId="17" fillId="0" borderId="36" xfId="1" applyNumberFormat="1" applyFont="1" applyBorder="1"/>
    <xf numFmtId="167" fontId="17" fillId="0" borderId="5" xfId="1" applyNumberFormat="1" applyFont="1" applyBorder="1"/>
    <xf numFmtId="167" fontId="17" fillId="3" borderId="5" xfId="1" applyNumberFormat="1" applyFont="1" applyFill="1" applyBorder="1"/>
    <xf numFmtId="167" fontId="17" fillId="0" borderId="37" xfId="1" applyNumberFormat="1" applyFont="1" applyBorder="1"/>
    <xf numFmtId="167" fontId="17" fillId="0" borderId="7" xfId="1" applyNumberFormat="1" applyFont="1" applyBorder="1"/>
    <xf numFmtId="167" fontId="17" fillId="0" borderId="38" xfId="1" applyNumberFormat="1" applyFont="1" applyBorder="1"/>
    <xf numFmtId="167" fontId="17" fillId="0" borderId="1" xfId="1" applyNumberFormat="1" applyFont="1" applyBorder="1"/>
    <xf numFmtId="167" fontId="17" fillId="0" borderId="39" xfId="1" applyNumberFormat="1" applyFont="1" applyBorder="1"/>
    <xf numFmtId="41" fontId="17" fillId="0" borderId="0" xfId="23" applyNumberFormat="1" applyFont="1" applyAlignment="1">
      <alignment horizontal="center"/>
    </xf>
    <xf numFmtId="1" fontId="35" fillId="0" borderId="0" xfId="0" applyNumberFormat="1" applyFont="1" applyFill="1" applyAlignment="1">
      <alignment horizontal="center"/>
    </xf>
    <xf numFmtId="0" fontId="36" fillId="0" borderId="0" xfId="13" applyFont="1"/>
    <xf numFmtId="0" fontId="19" fillId="0" borderId="0" xfId="23" applyFont="1" applyAlignment="1">
      <alignment horizontal="right"/>
    </xf>
    <xf numFmtId="0" fontId="37" fillId="0" borderId="0" xfId="23" applyFont="1"/>
    <xf numFmtId="0" fontId="37" fillId="0" borderId="0" xfId="23" applyFont="1" applyAlignment="1">
      <alignment horizontal="right"/>
    </xf>
    <xf numFmtId="0" fontId="10" fillId="0" borderId="0" xfId="23" applyFont="1" applyAlignment="1">
      <alignment horizontal="right"/>
    </xf>
    <xf numFmtId="0" fontId="10" fillId="0" borderId="0" xfId="23" applyFont="1" applyAlignment="1">
      <alignment horizontal="right"/>
    </xf>
    <xf numFmtId="0" fontId="17" fillId="0" borderId="0" xfId="23" applyFont="1" applyAlignment="1">
      <alignment horizontal="right"/>
    </xf>
    <xf numFmtId="43" fontId="2" fillId="0" borderId="0" xfId="1" applyFont="1" applyFill="1" applyAlignment="1">
      <alignment horizontal="right"/>
    </xf>
    <xf numFmtId="3" fontId="2" fillId="0" borderId="0" xfId="7" applyNumberFormat="1" applyFont="1" applyFill="1"/>
    <xf numFmtId="3" fontId="2" fillId="0" borderId="0" xfId="5" applyNumberFormat="1" applyFont="1" applyFill="1"/>
    <xf numFmtId="3" fontId="2" fillId="0" borderId="0" xfId="5" applyNumberFormat="1" applyFont="1" applyFill="1" applyAlignment="1">
      <alignment horizontal="left"/>
    </xf>
    <xf numFmtId="0" fontId="2" fillId="0" borderId="0" xfId="5" applyNumberFormat="1" applyFont="1" applyFill="1" applyProtection="1">
      <protection locked="0"/>
    </xf>
    <xf numFmtId="0" fontId="2" fillId="0" borderId="0" xfId="5" applyNumberFormat="1" applyFont="1" applyFill="1"/>
    <xf numFmtId="167" fontId="2" fillId="0" borderId="0" xfId="1" applyNumberFormat="1" applyFont="1" applyFill="1" applyAlignment="1" applyProtection="1">
      <alignment horizontal="center"/>
      <protection locked="0"/>
    </xf>
    <xf numFmtId="167" fontId="2" fillId="0" borderId="0" xfId="1" applyNumberFormat="1" applyFont="1" applyFill="1" applyAlignment="1">
      <alignment horizontal="center"/>
    </xf>
    <xf numFmtId="0" fontId="2" fillId="0" borderId="0" xfId="0" applyNumberFormat="1" applyFont="1" applyFill="1" applyAlignment="1">
      <alignment wrapText="1"/>
    </xf>
    <xf numFmtId="0" fontId="2" fillId="0" borderId="0" xfId="0" applyNumberFormat="1" applyFont="1" applyAlignment="1">
      <alignment horizontal="center" vertical="center" wrapText="1"/>
    </xf>
    <xf numFmtId="164" fontId="2" fillId="0" borderId="0" xfId="0" applyFont="1" applyAlignment="1">
      <alignment horizontal="center"/>
    </xf>
    <xf numFmtId="43" fontId="2" fillId="0" borderId="0" xfId="1" applyFont="1" applyFill="1"/>
    <xf numFmtId="3" fontId="2" fillId="0" borderId="0" xfId="5" applyNumberFormat="1" applyFont="1" applyFill="1" applyAlignment="1">
      <alignment horizontal="center"/>
    </xf>
    <xf numFmtId="0" fontId="2" fillId="0" borderId="0" xfId="4" applyFont="1" applyAlignment="1">
      <alignment wrapText="1"/>
    </xf>
    <xf numFmtId="0" fontId="2" fillId="0" borderId="0" xfId="5" applyNumberFormat="1" applyFont="1" applyAlignment="1" applyProtection="1">
      <alignment horizontal="center" vertical="top"/>
      <protection locked="0"/>
    </xf>
    <xf numFmtId="10" fontId="2" fillId="3" borderId="0" xfId="3" applyNumberFormat="1" applyFont="1" applyFill="1" applyAlignment="1" applyProtection="1">
      <alignment horizontal="center"/>
      <protection locked="0"/>
    </xf>
    <xf numFmtId="167" fontId="2" fillId="0" borderId="15" xfId="1" applyNumberFormat="1" applyFont="1" applyFill="1" applyBorder="1"/>
    <xf numFmtId="0" fontId="2" fillId="3" borderId="0" xfId="6" applyNumberFormat="1" applyFont="1" applyFill="1"/>
    <xf numFmtId="43" fontId="2" fillId="3" borderId="1" xfId="1" applyFont="1" applyFill="1" applyBorder="1" applyAlignment="1">
      <alignment horizontal="center"/>
    </xf>
    <xf numFmtId="167" fontId="2" fillId="0" borderId="0" xfId="0" applyNumberFormat="1" applyFont="1"/>
    <xf numFmtId="0" fontId="2" fillId="0" borderId="0" xfId="5" applyNumberFormat="1" applyFont="1" applyAlignment="1" applyProtection="1">
      <alignment vertical="top" wrapText="1"/>
      <protection locked="0"/>
    </xf>
    <xf numFmtId="164" fontId="2" fillId="0" borderId="0" xfId="5" applyFont="1" applyAlignment="1">
      <alignment horizontal="center"/>
    </xf>
    <xf numFmtId="3" fontId="2" fillId="0" borderId="0" xfId="6" applyNumberFormat="1" applyFont="1" applyAlignment="1">
      <alignment horizontal="center"/>
    </xf>
    <xf numFmtId="0" fontId="2" fillId="0" borderId="0" xfId="6" applyNumberFormat="1" applyFont="1" applyAlignment="1">
      <alignment horizontal="center"/>
    </xf>
    <xf numFmtId="0" fontId="2" fillId="0" borderId="0" xfId="5" applyNumberFormat="1" applyFont="1" applyAlignment="1">
      <alignment horizontal="center"/>
    </xf>
    <xf numFmtId="0" fontId="2" fillId="0" borderId="0" xfId="6" applyNumberFormat="1" applyFont="1" applyAlignment="1" applyProtection="1">
      <alignment horizontal="center"/>
      <protection locked="0"/>
    </xf>
    <xf numFmtId="164" fontId="2" fillId="0" borderId="0" xfId="0" applyFont="1" applyAlignment="1">
      <alignment horizontal="center"/>
    </xf>
    <xf numFmtId="0" fontId="2" fillId="0" borderId="0" xfId="0" applyNumberFormat="1" applyFont="1" applyAlignment="1">
      <alignment horizontal="center"/>
    </xf>
    <xf numFmtId="10" fontId="2" fillId="0" borderId="0" xfId="3" applyNumberFormat="1" applyFont="1" applyAlignment="1">
      <alignment horizontal="center"/>
    </xf>
    <xf numFmtId="164" fontId="2" fillId="0" borderId="0" xfId="6" applyFont="1" applyAlignment="1">
      <alignment horizontal="center"/>
    </xf>
    <xf numFmtId="164" fontId="2" fillId="0" borderId="0" xfId="6" applyFont="1" applyAlignment="1">
      <alignment horizontal="left" vertical="center" wrapText="1"/>
    </xf>
    <xf numFmtId="164" fontId="2" fillId="0" borderId="0" xfId="6" applyFont="1" applyAlignment="1">
      <alignment horizontal="left" wrapText="1"/>
    </xf>
    <xf numFmtId="0" fontId="2" fillId="0" borderId="0" xfId="6" applyNumberFormat="1" applyFont="1" applyAlignment="1" applyProtection="1">
      <alignment horizontal="center"/>
      <protection locked="0"/>
    </xf>
    <xf numFmtId="164" fontId="2" fillId="0" borderId="0" xfId="0" applyFont="1" applyAlignment="1">
      <alignment horizontal="center"/>
    </xf>
    <xf numFmtId="164" fontId="2" fillId="0" borderId="0" xfId="6" applyFont="1" applyAlignment="1">
      <alignment horizontal="center"/>
    </xf>
    <xf numFmtId="0" fontId="2" fillId="0" borderId="0" xfId="0" applyNumberFormat="1" applyFont="1" applyAlignment="1">
      <alignment wrapText="1"/>
    </xf>
    <xf numFmtId="10" fontId="2" fillId="3" borderId="0" xfId="3" applyNumberFormat="1" applyFont="1" applyFill="1" applyAlignment="1">
      <alignment horizontal="center"/>
    </xf>
    <xf numFmtId="166" fontId="2" fillId="0" borderId="0" xfId="5" applyNumberFormat="1" applyFont="1" applyAlignment="1">
      <alignment vertical="top"/>
    </xf>
    <xf numFmtId="3" fontId="2" fillId="0" borderId="0" xfId="5" applyNumberFormat="1" applyFont="1" applyAlignment="1">
      <alignment vertical="top"/>
    </xf>
    <xf numFmtId="164" fontId="2" fillId="3" borderId="0" xfId="6" applyFont="1" applyFill="1"/>
    <xf numFmtId="0" fontId="2" fillId="0" borderId="0" xfId="7" applyFont="1" applyAlignment="1" applyProtection="1">
      <alignment horizontal="center" vertical="top"/>
      <protection locked="0"/>
    </xf>
    <xf numFmtId="0" fontId="2" fillId="0" borderId="0" xfId="7" applyFont="1" applyFill="1" applyAlignment="1">
      <alignment horizontal="left"/>
    </xf>
    <xf numFmtId="164" fontId="21" fillId="3" borderId="13" xfId="0" applyFont="1" applyFill="1" applyBorder="1"/>
    <xf numFmtId="183" fontId="2" fillId="0" borderId="0" xfId="3" applyNumberFormat="1" applyFont="1" applyAlignment="1">
      <alignment horizontal="center"/>
    </xf>
    <xf numFmtId="175" fontId="8" fillId="0" borderId="0" xfId="1" applyNumberFormat="1" applyFont="1"/>
    <xf numFmtId="0" fontId="2" fillId="0" borderId="0" xfId="0" applyNumberFormat="1" applyFont="1" applyFill="1" applyAlignment="1" applyProtection="1">
      <alignment horizontal="center" vertical="top"/>
      <protection locked="0"/>
    </xf>
    <xf numFmtId="0" fontId="2" fillId="0" borderId="0" xfId="5" applyNumberFormat="1" applyFont="1" applyAlignment="1" applyProtection="1">
      <alignment vertical="top" wrapText="1"/>
      <protection locked="0"/>
    </xf>
    <xf numFmtId="164" fontId="2" fillId="0" borderId="0" xfId="0" applyFont="1" applyFill="1" applyAlignment="1">
      <alignment vertical="top" wrapText="1"/>
    </xf>
    <xf numFmtId="0" fontId="2" fillId="0" borderId="0" xfId="5" applyNumberFormat="1" applyFont="1" applyFill="1" applyAlignment="1" applyProtection="1">
      <alignment vertical="top" wrapText="1"/>
      <protection locked="0"/>
    </xf>
    <xf numFmtId="164" fontId="39" fillId="0" borderId="0" xfId="26"/>
    <xf numFmtId="0" fontId="2" fillId="0" borderId="0" xfId="27" applyNumberFormat="1" applyFont="1" applyProtection="1">
      <protection locked="0"/>
    </xf>
    <xf numFmtId="0" fontId="8" fillId="0" borderId="0" xfId="27" applyNumberFormat="1" applyFont="1" applyAlignment="1" applyProtection="1">
      <alignment horizontal="center"/>
      <protection locked="0"/>
    </xf>
    <xf numFmtId="0" fontId="8" fillId="0" borderId="0" xfId="28" applyNumberFormat="1" applyFont="1" applyAlignment="1" applyProtection="1">
      <alignment horizontal="center"/>
      <protection locked="0"/>
    </xf>
    <xf numFmtId="0" fontId="8" fillId="0" borderId="0" xfId="29" applyNumberFormat="1" applyFont="1" applyAlignment="1">
      <alignment horizontal="center"/>
    </xf>
    <xf numFmtId="0" fontId="40" fillId="0" borderId="0" xfId="29" applyNumberFormat="1" applyFont="1" applyAlignment="1">
      <alignment horizontal="center"/>
    </xf>
    <xf numFmtId="0" fontId="2" fillId="0" borderId="0" xfId="29" applyNumberFormat="1" applyFont="1" applyAlignment="1">
      <alignment horizontal="center"/>
    </xf>
    <xf numFmtId="37" fontId="2" fillId="0" borderId="0" xfId="1" quotePrefix="1" applyNumberFormat="1" applyFont="1" applyAlignment="1">
      <alignment horizontal="center"/>
    </xf>
    <xf numFmtId="0" fontId="41" fillId="0" borderId="5" xfId="26" applyNumberFormat="1" applyFont="1" applyBorder="1" applyAlignment="1">
      <alignment horizontal="center"/>
    </xf>
    <xf numFmtId="0" fontId="41" fillId="0" borderId="5" xfId="26" applyNumberFormat="1" applyFont="1" applyBorder="1" applyAlignment="1">
      <alignment horizontal="left"/>
    </xf>
    <xf numFmtId="0" fontId="41" fillId="0" borderId="5" xfId="26" applyNumberFormat="1" applyFont="1" applyBorder="1" applyAlignment="1">
      <alignment horizontal="center" wrapText="1"/>
    </xf>
    <xf numFmtId="0" fontId="42" fillId="0" borderId="0" xfId="26" applyNumberFormat="1" applyFont="1" applyAlignment="1">
      <alignment horizontal="center"/>
    </xf>
    <xf numFmtId="0" fontId="42" fillId="0" borderId="0" xfId="26" applyNumberFormat="1" applyFont="1" applyAlignment="1">
      <alignment horizontal="left"/>
    </xf>
    <xf numFmtId="0" fontId="42" fillId="0" borderId="0" xfId="26" quotePrefix="1" applyNumberFormat="1" applyFont="1" applyAlignment="1">
      <alignment horizontal="center"/>
    </xf>
    <xf numFmtId="0" fontId="42" fillId="0" borderId="0" xfId="26" applyNumberFormat="1" applyFont="1"/>
    <xf numFmtId="10" fontId="42" fillId="8" borderId="0" xfId="30" applyNumberFormat="1" applyFont="1" applyFill="1" applyAlignment="1">
      <alignment horizontal="center"/>
    </xf>
    <xf numFmtId="10" fontId="42" fillId="0" borderId="0" xfId="3" applyNumberFormat="1" applyFont="1" applyFill="1" applyAlignment="1">
      <alignment horizontal="center"/>
    </xf>
    <xf numFmtId="10" fontId="42" fillId="0" borderId="5" xfId="3" applyNumberFormat="1" applyFont="1" applyFill="1" applyBorder="1" applyAlignment="1">
      <alignment horizontal="center"/>
    </xf>
    <xf numFmtId="10" fontId="42" fillId="0" borderId="5" xfId="3" applyNumberFormat="1" applyFont="1" applyBorder="1" applyAlignment="1">
      <alignment horizontal="center"/>
    </xf>
    <xf numFmtId="0" fontId="42" fillId="0" borderId="5" xfId="26" applyNumberFormat="1" applyFont="1" applyBorder="1" applyAlignment="1">
      <alignment horizontal="center"/>
    </xf>
    <xf numFmtId="10" fontId="42" fillId="0" borderId="0" xfId="3" applyNumberFormat="1" applyFont="1" applyAlignment="1">
      <alignment horizontal="center"/>
    </xf>
    <xf numFmtId="10" fontId="42" fillId="0" borderId="0" xfId="26" applyNumberFormat="1" applyFont="1" applyAlignment="1">
      <alignment horizontal="center"/>
    </xf>
    <xf numFmtId="182" fontId="0" fillId="0" borderId="0" xfId="3" applyNumberFormat="1" applyFont="1"/>
    <xf numFmtId="10" fontId="41" fillId="0" borderId="0" xfId="3" applyNumberFormat="1" applyFont="1" applyAlignment="1">
      <alignment horizontal="center"/>
    </xf>
    <xf numFmtId="10" fontId="43" fillId="0" borderId="0" xfId="26" applyNumberFormat="1" applyFont="1" applyAlignment="1">
      <alignment horizontal="center"/>
    </xf>
    <xf numFmtId="10" fontId="41" fillId="0" borderId="0" xfId="26" applyNumberFormat="1" applyFont="1" applyAlignment="1">
      <alignment horizontal="center"/>
    </xf>
    <xf numFmtId="0" fontId="41" fillId="0" borderId="0" xfId="26" applyNumberFormat="1" applyFont="1" applyAlignment="1">
      <alignment horizontal="center"/>
    </xf>
    <xf numFmtId="0" fontId="42" fillId="0" borderId="0" xfId="26" applyNumberFormat="1" applyFont="1" applyAlignment="1">
      <alignment horizontal="left" indent="2"/>
    </xf>
    <xf numFmtId="184" fontId="0" fillId="0" borderId="0" xfId="3" applyNumberFormat="1" applyFont="1"/>
    <xf numFmtId="164" fontId="39" fillId="0" borderId="5" xfId="26" applyBorder="1"/>
    <xf numFmtId="0" fontId="42" fillId="0" borderId="5" xfId="26" applyNumberFormat="1" applyFont="1" applyBorder="1"/>
    <xf numFmtId="10" fontId="42" fillId="0" borderId="5" xfId="26" applyNumberFormat="1" applyFont="1" applyBorder="1" applyAlignment="1">
      <alignment horizontal="center"/>
    </xf>
    <xf numFmtId="10" fontId="42" fillId="0" borderId="0" xfId="26" applyNumberFormat="1" applyFont="1"/>
    <xf numFmtId="10" fontId="41" fillId="0" borderId="0" xfId="26" applyNumberFormat="1" applyFont="1"/>
    <xf numFmtId="185" fontId="0" fillId="0" borderId="0" xfId="3" applyNumberFormat="1" applyFont="1"/>
    <xf numFmtId="186" fontId="0" fillId="0" borderId="0" xfId="3" applyNumberFormat="1" applyFont="1"/>
    <xf numFmtId="170" fontId="0" fillId="0" borderId="0" xfId="3" applyNumberFormat="1" applyFont="1"/>
    <xf numFmtId="10" fontId="0" fillId="0" borderId="0" xfId="3" applyNumberFormat="1" applyFont="1"/>
    <xf numFmtId="0" fontId="41" fillId="0" borderId="0" xfId="26" applyNumberFormat="1" applyFont="1" applyAlignment="1">
      <alignment wrapText="1"/>
    </xf>
    <xf numFmtId="0" fontId="41" fillId="0" borderId="0" xfId="26" applyNumberFormat="1" applyFont="1" applyAlignment="1">
      <alignment horizontal="center" wrapText="1"/>
    </xf>
    <xf numFmtId="0" fontId="41" fillId="0" borderId="0" xfId="26" applyNumberFormat="1" applyFont="1"/>
    <xf numFmtId="187" fontId="42" fillId="0" borderId="0" xfId="26" applyNumberFormat="1" applyFont="1"/>
    <xf numFmtId="0" fontId="42" fillId="0" borderId="0" xfId="26" applyNumberFormat="1" applyFont="1" applyAlignment="1">
      <alignment horizontal="right"/>
    </xf>
    <xf numFmtId="10" fontId="42" fillId="0" borderId="7" xfId="3" applyNumberFormat="1" applyFont="1" applyFill="1" applyBorder="1" applyAlignment="1">
      <alignment horizontal="center"/>
    </xf>
    <xf numFmtId="43" fontId="42" fillId="0" borderId="0" xfId="1" applyFont="1" applyFill="1"/>
    <xf numFmtId="164" fontId="39" fillId="0" borderId="0" xfId="26" applyAlignment="1">
      <alignment horizontal="center"/>
    </xf>
    <xf numFmtId="10" fontId="42" fillId="0" borderId="0" xfId="3" applyNumberFormat="1" applyFont="1" applyFill="1"/>
    <xf numFmtId="164" fontId="2" fillId="0" borderId="0" xfId="26" applyFont="1"/>
    <xf numFmtId="164" fontId="2" fillId="0" borderId="5" xfId="26" applyFont="1" applyBorder="1"/>
    <xf numFmtId="0" fontId="41" fillId="0" borderId="5" xfId="23" applyFont="1" applyBorder="1" applyAlignment="1">
      <alignment wrapText="1"/>
    </xf>
    <xf numFmtId="0" fontId="41" fillId="0" borderId="0" xfId="23" applyFont="1" applyAlignment="1">
      <alignment wrapText="1"/>
    </xf>
    <xf numFmtId="167" fontId="42" fillId="0" borderId="0" xfId="1" applyNumberFormat="1" applyFont="1" applyBorder="1" applyAlignment="1">
      <alignment horizontal="center"/>
    </xf>
    <xf numFmtId="164" fontId="8" fillId="0" borderId="5" xfId="23" applyNumberFormat="1" applyFont="1" applyBorder="1" applyAlignment="1">
      <alignment horizontal="center" wrapText="1"/>
    </xf>
    <xf numFmtId="0" fontId="41" fillId="0" borderId="5" xfId="23" applyFont="1" applyBorder="1" applyAlignment="1">
      <alignment horizontal="left"/>
    </xf>
    <xf numFmtId="0" fontId="41" fillId="0" borderId="5" xfId="23" applyFont="1" applyBorder="1" applyAlignment="1">
      <alignment horizontal="center"/>
    </xf>
    <xf numFmtId="0" fontId="41" fillId="0" borderId="5" xfId="23" applyFont="1" applyBorder="1" applyAlignment="1">
      <alignment horizontal="center" wrapText="1"/>
    </xf>
    <xf numFmtId="0" fontId="42" fillId="0" borderId="5" xfId="23" applyFont="1" applyBorder="1" applyAlignment="1">
      <alignment horizontal="center"/>
    </xf>
    <xf numFmtId="0" fontId="42" fillId="0" borderId="0" xfId="23" applyFont="1" applyAlignment="1">
      <alignment horizontal="center" wrapText="1"/>
    </xf>
    <xf numFmtId="37" fontId="2" fillId="0" borderId="0" xfId="31" applyNumberFormat="1" applyFont="1" applyAlignment="1">
      <alignment horizontal="center"/>
    </xf>
    <xf numFmtId="0" fontId="42" fillId="8" borderId="0" xfId="23" applyFont="1" applyFill="1"/>
    <xf numFmtId="0" fontId="42" fillId="0" borderId="0" xfId="23" applyFont="1"/>
    <xf numFmtId="0" fontId="42" fillId="0" borderId="0" xfId="23" applyFont="1" applyAlignment="1">
      <alignment horizontal="center"/>
    </xf>
    <xf numFmtId="10" fontId="42" fillId="0" borderId="0" xfId="3" applyNumberFormat="1" applyFont="1"/>
    <xf numFmtId="37" fontId="2" fillId="0" borderId="5" xfId="31" applyNumberFormat="1" applyFont="1" applyBorder="1" applyAlignment="1">
      <alignment horizontal="center"/>
    </xf>
    <xf numFmtId="0" fontId="42" fillId="8" borderId="5" xfId="23" applyFont="1" applyFill="1" applyBorder="1"/>
    <xf numFmtId="0" fontId="42" fillId="0" borderId="5" xfId="23" applyFont="1" applyBorder="1"/>
    <xf numFmtId="10" fontId="42" fillId="8" borderId="5" xfId="30" applyNumberFormat="1" applyFont="1" applyFill="1" applyBorder="1" applyAlignment="1">
      <alignment horizontal="center"/>
    </xf>
    <xf numFmtId="0" fontId="42" fillId="0" borderId="0" xfId="23" applyFont="1" applyAlignment="1">
      <alignment horizontal="left" indent="1"/>
    </xf>
    <xf numFmtId="10" fontId="42" fillId="0" borderId="7" xfId="3" applyNumberFormat="1" applyFont="1" applyBorder="1" applyAlignment="1">
      <alignment horizontal="center"/>
    </xf>
    <xf numFmtId="10" fontId="42" fillId="0" borderId="0" xfId="3" applyNumberFormat="1" applyFont="1" applyBorder="1"/>
    <xf numFmtId="164" fontId="10" fillId="0" borderId="0" xfId="23" applyNumberFormat="1" applyFont="1" applyAlignment="1">
      <alignment horizontal="right"/>
    </xf>
    <xf numFmtId="164" fontId="10" fillId="0" borderId="0" xfId="23" applyNumberFormat="1" applyFont="1"/>
    <xf numFmtId="43" fontId="10" fillId="0" borderId="0" xfId="31" applyFont="1"/>
    <xf numFmtId="0" fontId="2" fillId="4" borderId="0" xfId="0" applyNumberFormat="1" applyFont="1" applyFill="1" applyAlignment="1" applyProtection="1">
      <alignment horizontal="center" vertical="top"/>
      <protection locked="0"/>
    </xf>
    <xf numFmtId="0" fontId="2" fillId="0" borderId="0" xfId="0" applyNumberFormat="1" applyFont="1" applyFill="1" applyAlignment="1" applyProtection="1">
      <alignment vertical="top"/>
      <protection locked="0"/>
    </xf>
    <xf numFmtId="3" fontId="2" fillId="0" borderId="0" xfId="0" applyNumberFormat="1" applyFont="1" applyFill="1" applyAlignment="1">
      <alignment vertical="top"/>
    </xf>
    <xf numFmtId="3" fontId="2" fillId="0" borderId="0" xfId="0" applyNumberFormat="1" applyFont="1" applyAlignment="1">
      <alignment vertical="top"/>
    </xf>
    <xf numFmtId="10" fontId="2" fillId="4" borderId="0" xfId="3" applyNumberFormat="1" applyFont="1" applyFill="1" applyAlignment="1" applyProtection="1">
      <alignment vertical="top"/>
      <protection locked="0"/>
    </xf>
    <xf numFmtId="0" fontId="12" fillId="0" borderId="0" xfId="0" applyNumberFormat="1" applyFont="1" applyFill="1" applyAlignment="1" applyProtection="1">
      <alignment vertical="top"/>
      <protection locked="0"/>
    </xf>
    <xf numFmtId="0" fontId="2" fillId="0" borderId="0" xfId="0" applyNumberFormat="1" applyFont="1" applyFill="1" applyAlignment="1">
      <alignment vertical="top"/>
    </xf>
    <xf numFmtId="0" fontId="2" fillId="0" borderId="0" xfId="8" applyNumberFormat="1" applyFont="1" applyFill="1" applyAlignment="1">
      <alignment vertical="top"/>
    </xf>
    <xf numFmtId="164" fontId="2" fillId="0" borderId="0" xfId="8" applyFont="1" applyAlignment="1">
      <alignment horizontal="center" vertical="top"/>
    </xf>
    <xf numFmtId="164" fontId="2" fillId="0" borderId="0" xfId="8" applyFont="1" applyFill="1" applyAlignment="1">
      <alignment horizontal="center" vertical="top"/>
    </xf>
    <xf numFmtId="164" fontId="2" fillId="0" borderId="0" xfId="0" applyFont="1" applyFill="1" applyAlignment="1">
      <alignment vertical="top"/>
    </xf>
    <xf numFmtId="0" fontId="2" fillId="0" borderId="0" xfId="0" applyNumberFormat="1" applyFont="1" applyAlignment="1">
      <alignment vertical="top"/>
    </xf>
    <xf numFmtId="164" fontId="8" fillId="0" borderId="0" xfId="0" applyFont="1" applyAlignment="1">
      <alignment horizontal="center" vertical="top"/>
    </xf>
    <xf numFmtId="3" fontId="2" fillId="0" borderId="0" xfId="5" applyNumberFormat="1" applyFont="1" applyFill="1" applyAlignment="1">
      <alignment horizontal="center"/>
    </xf>
    <xf numFmtId="164" fontId="2" fillId="0" borderId="0" xfId="0" applyFont="1" applyFill="1" applyAlignment="1">
      <alignment horizontal="center"/>
    </xf>
    <xf numFmtId="170" fontId="2" fillId="0" borderId="0" xfId="5" applyNumberFormat="1" applyFont="1" applyFill="1" applyAlignment="1">
      <alignment horizontal="left"/>
    </xf>
    <xf numFmtId="172" fontId="2" fillId="0" borderId="0" xfId="1" applyNumberFormat="1" applyFont="1" applyFill="1" applyAlignment="1">
      <alignment horizontal="right"/>
    </xf>
    <xf numFmtId="164" fontId="2" fillId="0" borderId="0" xfId="5" applyFont="1" applyFill="1"/>
    <xf numFmtId="10" fontId="2" fillId="0" borderId="0" xfId="5" applyNumberFormat="1" applyFont="1" applyFill="1" applyAlignment="1">
      <alignment horizontal="left"/>
    </xf>
    <xf numFmtId="167" fontId="2" fillId="0" borderId="0" xfId="1" applyNumberFormat="1" applyFont="1" applyFill="1" applyAlignment="1">
      <alignment horizontal="right"/>
    </xf>
    <xf numFmtId="3" fontId="2" fillId="0" borderId="0" xfId="4" applyNumberFormat="1" applyFont="1" applyFill="1"/>
    <xf numFmtId="0" fontId="2" fillId="0" borderId="0" xfId="4" applyFont="1" applyFill="1"/>
    <xf numFmtId="0" fontId="2" fillId="0" borderId="0" xfId="5" applyNumberFormat="1" applyFont="1" applyFill="1" applyAlignment="1" applyProtection="1">
      <alignment horizontal="center"/>
      <protection locked="0"/>
    </xf>
    <xf numFmtId="0" fontId="2" fillId="0" borderId="0" xfId="4" applyFont="1" applyFill="1" applyAlignment="1">
      <alignment horizontal="center"/>
    </xf>
    <xf numFmtId="3" fontId="12" fillId="0" borderId="0" xfId="5" applyNumberFormat="1" applyFont="1" applyFill="1" applyAlignment="1">
      <alignment horizontal="center"/>
    </xf>
    <xf numFmtId="0" fontId="2" fillId="0" borderId="0" xfId="5" applyNumberFormat="1" applyFont="1" applyFill="1" applyAlignment="1" applyProtection="1">
      <alignment horizontal="center" wrapText="1"/>
      <protection locked="0"/>
    </xf>
    <xf numFmtId="164" fontId="12" fillId="0" borderId="0" xfId="0" applyFont="1" applyFill="1"/>
    <xf numFmtId="10" fontId="2" fillId="0" borderId="0" xfId="3" applyNumberFormat="1" applyFont="1" applyFill="1" applyAlignment="1" applyProtection="1">
      <protection locked="0"/>
    </xf>
    <xf numFmtId="167" fontId="2" fillId="0" borderId="0" xfId="1" applyNumberFormat="1" applyFont="1" applyFill="1" applyAlignment="1" applyProtection="1">
      <protection locked="0"/>
    </xf>
    <xf numFmtId="10" fontId="2" fillId="0" borderId="0" xfId="3" applyNumberFormat="1" applyFont="1" applyFill="1" applyAlignment="1" applyProtection="1">
      <alignment vertical="top"/>
      <protection locked="0"/>
    </xf>
    <xf numFmtId="164" fontId="2" fillId="0" borderId="14" xfId="9" applyFont="1" applyFill="1" applyBorder="1"/>
    <xf numFmtId="43" fontId="2" fillId="0" borderId="0" xfId="1" applyFont="1" applyFill="1" applyAlignment="1">
      <alignment horizontal="left"/>
    </xf>
    <xf numFmtId="0" fontId="2" fillId="0" borderId="0" xfId="0" applyNumberFormat="1" applyFont="1" applyFill="1" applyAlignment="1" applyProtection="1">
      <alignment horizontal="left" vertical="top" wrapText="1"/>
      <protection locked="0"/>
    </xf>
    <xf numFmtId="0" fontId="2" fillId="0" borderId="0" xfId="5" applyNumberFormat="1" applyFont="1" applyAlignment="1" applyProtection="1">
      <alignment vertical="top" wrapText="1"/>
      <protection locked="0"/>
    </xf>
    <xf numFmtId="0" fontId="2" fillId="0" borderId="0" xfId="0" applyNumberFormat="1" applyFont="1" applyAlignment="1" applyProtection="1">
      <alignment horizontal="left" vertical="top" wrapText="1"/>
      <protection locked="0"/>
    </xf>
    <xf numFmtId="0" fontId="2" fillId="0" borderId="0" xfId="0" applyNumberFormat="1" applyFont="1" applyFill="1" applyAlignment="1">
      <alignment horizontal="left" vertical="top"/>
    </xf>
    <xf numFmtId="0" fontId="2" fillId="0" borderId="0" xfId="5" applyNumberFormat="1" applyFont="1" applyAlignment="1" applyProtection="1">
      <alignment horizontal="left" vertical="top" wrapText="1"/>
      <protection locked="0"/>
    </xf>
    <xf numFmtId="0" fontId="2" fillId="0" borderId="0" xfId="5" quotePrefix="1" applyNumberFormat="1" applyFont="1" applyFill="1" applyAlignment="1">
      <alignment horizontal="left" vertical="top" wrapText="1"/>
    </xf>
    <xf numFmtId="164" fontId="2" fillId="0" borderId="0" xfId="5" applyFont="1" applyAlignment="1">
      <alignment horizontal="center"/>
    </xf>
    <xf numFmtId="49" fontId="2" fillId="0" borderId="0" xfId="5" applyNumberFormat="1" applyFont="1" applyAlignment="1" applyProtection="1">
      <alignment horizontal="center"/>
      <protection locked="0"/>
    </xf>
    <xf numFmtId="0" fontId="11" fillId="0" borderId="0" xfId="5" applyNumberFormat="1" applyFont="1" applyAlignment="1" applyProtection="1">
      <alignment vertical="top" wrapText="1"/>
      <protection locked="0"/>
    </xf>
    <xf numFmtId="0" fontId="2" fillId="0" borderId="0" xfId="4" quotePrefix="1" applyFont="1" applyFill="1" applyAlignment="1">
      <alignment horizontal="left" vertical="top" wrapText="1"/>
    </xf>
    <xf numFmtId="0" fontId="2" fillId="0" borderId="0" xfId="0" applyNumberFormat="1" applyFont="1" applyFill="1" applyAlignment="1">
      <alignment horizontal="left" vertical="top" wrapText="1"/>
    </xf>
    <xf numFmtId="0" fontId="2" fillId="0" borderId="0" xfId="0" applyNumberFormat="1" applyFont="1" applyAlignment="1">
      <alignment horizontal="left" vertical="top" wrapText="1"/>
    </xf>
    <xf numFmtId="164" fontId="2" fillId="0" borderId="0" xfId="0" applyFont="1" applyAlignment="1">
      <alignment horizontal="left" vertical="top" wrapText="1"/>
    </xf>
    <xf numFmtId="0" fontId="2" fillId="0" borderId="0" xfId="7" applyFont="1" applyAlignment="1">
      <alignment vertical="top" wrapText="1"/>
    </xf>
    <xf numFmtId="0" fontId="2" fillId="0" borderId="0" xfId="4" applyFont="1" applyAlignment="1">
      <alignment horizontal="left" vertical="top" wrapText="1"/>
    </xf>
    <xf numFmtId="164" fontId="2" fillId="0" borderId="0" xfId="5" applyFont="1" applyAlignment="1">
      <alignment horizontal="left" vertical="top" wrapText="1"/>
    </xf>
    <xf numFmtId="164" fontId="2" fillId="0" borderId="0" xfId="0" applyFont="1" applyFill="1" applyAlignment="1">
      <alignment vertical="top" wrapText="1"/>
    </xf>
    <xf numFmtId="164" fontId="2" fillId="0" borderId="0" xfId="6" applyFont="1" applyAlignment="1">
      <alignment horizontal="left" vertical="top" wrapText="1"/>
    </xf>
    <xf numFmtId="164" fontId="2" fillId="0" borderId="0" xfId="6" applyFont="1" applyAlignment="1">
      <alignment horizontal="left" vertical="center" wrapText="1"/>
    </xf>
    <xf numFmtId="164" fontId="2" fillId="0" borderId="0" xfId="6" applyFont="1" applyAlignment="1">
      <alignment horizontal="left" wrapText="1"/>
    </xf>
    <xf numFmtId="164" fontId="3" fillId="0" borderId="0" xfId="0" applyFont="1" applyAlignment="1">
      <alignment horizontal="left" wrapText="1"/>
    </xf>
    <xf numFmtId="164" fontId="2" fillId="0" borderId="0" xfId="9" applyFont="1" applyAlignment="1">
      <alignment wrapText="1"/>
    </xf>
    <xf numFmtId="164" fontId="0" fillId="0" borderId="0" xfId="0" applyAlignment="1">
      <alignment vertical="top" wrapText="1"/>
    </xf>
    <xf numFmtId="0" fontId="2" fillId="0" borderId="0" xfId="5" applyNumberFormat="1" applyFont="1" applyFill="1" applyAlignment="1" applyProtection="1">
      <alignment vertical="top" wrapText="1"/>
      <protection locked="0"/>
    </xf>
    <xf numFmtId="0" fontId="2" fillId="0" borderId="0" xfId="4" quotePrefix="1" applyNumberFormat="1" applyFont="1" applyFill="1" applyAlignment="1">
      <alignment horizontal="left" vertical="top" wrapText="1"/>
    </xf>
    <xf numFmtId="0" fontId="2" fillId="0" borderId="0" xfId="4" applyNumberFormat="1" applyFont="1" applyFill="1" applyAlignment="1">
      <alignment horizontal="left" vertical="top" wrapText="1"/>
    </xf>
    <xf numFmtId="164" fontId="2" fillId="0" borderId="0" xfId="0" applyFont="1" applyFill="1" applyAlignment="1">
      <alignment horizontal="left" vertical="top" wrapText="1"/>
    </xf>
    <xf numFmtId="164" fontId="2" fillId="0" borderId="0" xfId="5" applyFont="1" applyFill="1" applyAlignment="1">
      <alignment horizontal="left" vertical="top" wrapText="1"/>
    </xf>
    <xf numFmtId="0" fontId="2" fillId="0" borderId="0" xfId="7" applyFont="1" applyFill="1" applyAlignment="1">
      <alignment vertical="top" wrapText="1"/>
    </xf>
    <xf numFmtId="0" fontId="2" fillId="0" borderId="0" xfId="5" applyNumberFormat="1" applyFont="1" applyFill="1" applyAlignment="1" applyProtection="1">
      <alignment horizontal="left" vertical="top" wrapText="1"/>
      <protection locked="0"/>
    </xf>
    <xf numFmtId="3" fontId="2" fillId="0" borderId="0" xfId="5" applyNumberFormat="1" applyFont="1" applyFill="1" applyAlignment="1">
      <alignment horizontal="center"/>
    </xf>
    <xf numFmtId="164" fontId="2" fillId="0" borderId="0" xfId="0" applyFont="1" applyFill="1" applyAlignment="1">
      <alignment horizontal="center"/>
    </xf>
    <xf numFmtId="164" fontId="0" fillId="0" borderId="0" xfId="0" applyAlignment="1">
      <alignment horizontal="left" wrapText="1"/>
    </xf>
    <xf numFmtId="3" fontId="2" fillId="0" borderId="0" xfId="6" applyNumberFormat="1" applyFont="1" applyAlignment="1">
      <alignment horizontal="center"/>
    </xf>
    <xf numFmtId="0" fontId="2" fillId="0" borderId="0" xfId="6" applyNumberFormat="1" applyFont="1" applyAlignment="1">
      <alignment horizontal="center"/>
    </xf>
    <xf numFmtId="0" fontId="2" fillId="0" borderId="0" xfId="5" applyNumberFormat="1" applyFont="1" applyAlignment="1">
      <alignment horizontal="center"/>
    </xf>
    <xf numFmtId="164" fontId="2" fillId="0" borderId="0" xfId="0" applyFont="1" applyFill="1" applyAlignment="1">
      <alignment horizontal="left" wrapText="1"/>
    </xf>
    <xf numFmtId="0" fontId="7" fillId="0" borderId="0" xfId="4" applyNumberFormat="1" applyFont="1" applyFill="1" applyAlignment="1">
      <alignment horizontal="left" vertical="top" wrapText="1"/>
    </xf>
    <xf numFmtId="0" fontId="8" fillId="0" borderId="11" xfId="13" applyFont="1" applyBorder="1" applyAlignment="1">
      <alignment horizontal="center"/>
    </xf>
    <xf numFmtId="0" fontId="8" fillId="0" borderId="10" xfId="13" applyFont="1" applyBorder="1" applyAlignment="1">
      <alignment horizontal="center"/>
    </xf>
    <xf numFmtId="0" fontId="8" fillId="0" borderId="12" xfId="13" applyFont="1" applyBorder="1" applyAlignment="1">
      <alignment horizontal="center"/>
    </xf>
    <xf numFmtId="164" fontId="8" fillId="0" borderId="11" xfId="0" applyFont="1" applyBorder="1" applyAlignment="1">
      <alignment horizontal="center"/>
    </xf>
    <xf numFmtId="164" fontId="8" fillId="0" borderId="10" xfId="0" applyFont="1" applyBorder="1" applyAlignment="1">
      <alignment horizontal="center"/>
    </xf>
    <xf numFmtId="164" fontId="8" fillId="0" borderId="12" xfId="0" applyFont="1" applyBorder="1" applyAlignment="1">
      <alignment horizontal="center"/>
    </xf>
    <xf numFmtId="164" fontId="2" fillId="0" borderId="0" xfId="0" applyFont="1" applyFill="1" applyAlignment="1">
      <alignment horizontal="left" vertical="center" wrapText="1"/>
    </xf>
    <xf numFmtId="0" fontId="2" fillId="0" borderId="0" xfId="6" applyNumberFormat="1" applyFont="1" applyAlignment="1" applyProtection="1">
      <alignment horizontal="center"/>
      <protection locked="0"/>
    </xf>
    <xf numFmtId="164" fontId="2" fillId="0" borderId="0" xfId="0" applyFont="1" applyAlignment="1">
      <alignment horizontal="center"/>
    </xf>
    <xf numFmtId="0" fontId="2" fillId="0" borderId="0" xfId="0" applyNumberFormat="1" applyFont="1" applyAlignment="1">
      <alignment horizontal="center"/>
    </xf>
    <xf numFmtId="10" fontId="2" fillId="0" borderId="0" xfId="3" applyNumberFormat="1" applyFont="1" applyAlignment="1">
      <alignment horizontal="center"/>
    </xf>
    <xf numFmtId="2" fontId="27" fillId="0" borderId="0" xfId="0" applyNumberFormat="1" applyFont="1" applyAlignment="1">
      <alignment horizontal="left" wrapText="1"/>
    </xf>
    <xf numFmtId="164" fontId="27" fillId="0" borderId="0" xfId="0" applyFont="1" applyAlignment="1">
      <alignment horizontal="left"/>
    </xf>
    <xf numFmtId="164" fontId="2" fillId="0" borderId="0" xfId="6" applyFont="1" applyAlignment="1">
      <alignment horizontal="center"/>
    </xf>
    <xf numFmtId="0" fontId="10" fillId="0" borderId="0" xfId="23" applyFont="1" applyAlignment="1">
      <alignment horizontal="center"/>
    </xf>
    <xf numFmtId="0" fontId="19" fillId="0" borderId="0" xfId="23" applyFont="1" applyAlignment="1">
      <alignment horizontal="center"/>
    </xf>
    <xf numFmtId="0" fontId="10" fillId="7" borderId="0" xfId="23" applyFont="1" applyFill="1" applyAlignment="1">
      <alignment horizontal="center"/>
    </xf>
    <xf numFmtId="0" fontId="10" fillId="0" borderId="0" xfId="23" applyFont="1" applyAlignment="1">
      <alignment wrapText="1"/>
    </xf>
    <xf numFmtId="0" fontId="10" fillId="0" borderId="0" xfId="23" applyFont="1" applyAlignment="1">
      <alignment horizontal="right"/>
    </xf>
    <xf numFmtId="164" fontId="0" fillId="0" borderId="0" xfId="0" applyAlignment="1">
      <alignment horizontal="right"/>
    </xf>
    <xf numFmtId="164" fontId="3" fillId="0" borderId="0" xfId="0" applyFont="1" applyAlignment="1">
      <alignment horizontal="center"/>
    </xf>
    <xf numFmtId="0" fontId="10" fillId="0" borderId="0" xfId="23" applyFont="1" applyAlignment="1">
      <alignment horizontal="left" wrapText="1"/>
    </xf>
    <xf numFmtId="164" fontId="0" fillId="0" borderId="0" xfId="0" applyAlignment="1"/>
    <xf numFmtId="0" fontId="10" fillId="0" borderId="0" xfId="23" applyFont="1"/>
    <xf numFmtId="0" fontId="17" fillId="0" borderId="31" xfId="23" applyFont="1" applyBorder="1" applyAlignment="1">
      <alignment horizontal="center"/>
    </xf>
    <xf numFmtId="0" fontId="17" fillId="0" borderId="32" xfId="23" applyFont="1" applyBorder="1" applyAlignment="1">
      <alignment horizontal="center"/>
    </xf>
    <xf numFmtId="0" fontId="17" fillId="0" borderId="33" xfId="23" applyFont="1" applyBorder="1" applyAlignment="1">
      <alignment horizontal="center"/>
    </xf>
    <xf numFmtId="0" fontId="17" fillId="0" borderId="0" xfId="23" applyFont="1" applyAlignment="1">
      <alignment horizontal="center"/>
    </xf>
    <xf numFmtId="0" fontId="17" fillId="0" borderId="0" xfId="23" applyFont="1" applyAlignment="1">
      <alignment horizontal="right"/>
    </xf>
    <xf numFmtId="164" fontId="3" fillId="0" borderId="0" xfId="0" applyFont="1" applyAlignment="1">
      <alignment horizontal="right"/>
    </xf>
    <xf numFmtId="164" fontId="3" fillId="0" borderId="0" xfId="0" applyFont="1" applyAlignment="1"/>
    <xf numFmtId="10" fontId="41" fillId="0" borderId="5" xfId="26" applyNumberFormat="1" applyFont="1" applyBorder="1" applyAlignment="1">
      <alignment horizontal="center"/>
    </xf>
    <xf numFmtId="10" fontId="41" fillId="3" borderId="0" xfId="26" applyNumberFormat="1" applyFont="1" applyFill="1" applyAlignment="1">
      <alignment horizontal="center"/>
    </xf>
    <xf numFmtId="10" fontId="42" fillId="9" borderId="7" xfId="3" applyNumberFormat="1" applyFont="1" applyFill="1" applyBorder="1" applyAlignment="1">
      <alignment horizontal="center"/>
    </xf>
    <xf numFmtId="10" fontId="42" fillId="3" borderId="5" xfId="26" applyNumberFormat="1" applyFont="1" applyFill="1" applyBorder="1" applyAlignment="1">
      <alignment horizontal="center"/>
    </xf>
    <xf numFmtId="10" fontId="42" fillId="9" borderId="0" xfId="30" applyNumberFormat="1" applyFont="1" applyFill="1" applyAlignment="1">
      <alignment horizontal="center"/>
    </xf>
    <xf numFmtId="10" fontId="42" fillId="9" borderId="5" xfId="30" applyNumberFormat="1" applyFont="1" applyFill="1" applyBorder="1" applyAlignment="1">
      <alignment horizontal="center"/>
    </xf>
    <xf numFmtId="0" fontId="42" fillId="9" borderId="0" xfId="23" applyFont="1" applyFill="1"/>
    <xf numFmtId="0" fontId="42" fillId="9" borderId="5" xfId="23" applyFont="1" applyFill="1" applyBorder="1"/>
    <xf numFmtId="10" fontId="42" fillId="9" borderId="5" xfId="3" applyNumberFormat="1" applyFont="1" applyFill="1" applyBorder="1" applyAlignment="1">
      <alignment horizontal="center"/>
    </xf>
    <xf numFmtId="0" fontId="41" fillId="3" borderId="0" xfId="26" applyNumberFormat="1" applyFont="1" applyFill="1" applyAlignment="1">
      <alignment horizontal="center"/>
    </xf>
    <xf numFmtId="10" fontId="42" fillId="9" borderId="0" xfId="3" applyNumberFormat="1" applyFont="1" applyFill="1" applyAlignment="1">
      <alignment horizontal="center"/>
    </xf>
  </cellXfs>
  <cellStyles count="32">
    <cellStyle name="Comma" xfId="1" builtinId="3"/>
    <cellStyle name="Comma [0] 2" xfId="24" xr:uid="{E8A18104-56F4-4E31-A8D2-9882C7493BEE}"/>
    <cellStyle name="Comma 2 2" xfId="31" xr:uid="{BBD29D53-9A63-4B07-8506-54F873496924}"/>
    <cellStyle name="Comma 8" xfId="21" xr:uid="{C5A122EB-0A52-4C15-9E91-D7E94C5906AC}"/>
    <cellStyle name="Currency" xfId="2" builtinId="4"/>
    <cellStyle name="Normal" xfId="0" builtinId="0"/>
    <cellStyle name="Normal 10" xfId="10" xr:uid="{2BD7F731-F217-43E0-8E60-59D432EA9EC2}"/>
    <cellStyle name="Normal 11" xfId="17" xr:uid="{5F74E43C-7735-4E60-A2C0-0DEDE1ABA968}"/>
    <cellStyle name="Normal 2" xfId="23" xr:uid="{505861A9-1D8F-4871-B492-2DDB4D3D281A}"/>
    <cellStyle name="Normal 2 2" xfId="19" xr:uid="{69BE72FC-694A-4B4F-BAE9-9A54D3B43AE2}"/>
    <cellStyle name="Normal 3" xfId="26" xr:uid="{E12DCA15-3985-462B-94C6-88BB596FCB3F}"/>
    <cellStyle name="Normal 3 2" xfId="15" xr:uid="{BC70ECA5-AC81-41E3-AFAB-319490F69D81}"/>
    <cellStyle name="Normal 3_Attach O, GG, Support -New Method 2-14-11" xfId="4" xr:uid="{3282B38E-4EBD-4ADD-B59A-3A89305ADD96}"/>
    <cellStyle name="Normal 5" xfId="16" xr:uid="{8BB52239-E373-49B5-BBBF-FDE8631C978A}"/>
    <cellStyle name="Normal 7" xfId="6" xr:uid="{7600E5B6-C0AE-4D2D-89D9-B6DCC2AC9C5B}"/>
    <cellStyle name="Normal 7 2" xfId="27" xr:uid="{7C6611DB-AA47-4C9F-8CA7-FE772F8C5BD9}"/>
    <cellStyle name="Normal 9" xfId="20" xr:uid="{B0147602-42F6-4F35-A7ED-0776D73C599F}"/>
    <cellStyle name="Normal 9 2" xfId="22" xr:uid="{BB571B62-0DCC-4857-A7DD-D6DDA84E7E14}"/>
    <cellStyle name="Normal_21 Exh B" xfId="7" xr:uid="{4745CA1E-F358-4E64-A273-B2BFAC69A13F}"/>
    <cellStyle name="Normal_AR workpaper --2002 Def Tax Exp by Account 8-14-02" xfId="25" xr:uid="{3DC167F9-1357-469E-80A3-EA6BAE585E51}"/>
    <cellStyle name="Normal_ATC Projected 2008 Monthly Plant Balances for Attachment O 2 (2)" xfId="14" xr:uid="{16890323-FC40-4246-BBAA-50DC9BB1317C}"/>
    <cellStyle name="Normal_Attachment GG Example 8 26 09" xfId="11" xr:uid="{BB5A0813-0D8E-4053-9A06-F2BE0541490E}"/>
    <cellStyle name="Normal_Attachment GG Example 8 26 09 2" xfId="28" xr:uid="{6E2DCC71-0E20-4D81-8F5E-D56CF99FC8C6}"/>
    <cellStyle name="Normal_Attachment GG Template ER11-28 11-18-10" xfId="9" xr:uid="{B7DAEF2C-2990-4788-942B-F50EDC4CE4EA}"/>
    <cellStyle name="Normal_Attachment O &amp; GG Final 11_11_09" xfId="8" xr:uid="{8102633C-DDFA-403B-BEC4-9F7E60A325C1}"/>
    <cellStyle name="Normal_Attachment O Support - 2004 True-up" xfId="12" xr:uid="{BDE37CE2-5A2D-4A03-BE13-6C5270E7C7F0}"/>
    <cellStyle name="Normal_Attachment Os for 2002 True-up" xfId="5" xr:uid="{C063949A-1199-4BA6-B191-A3EDCBB6F8C1}"/>
    <cellStyle name="Normal_Attachment Os for 2002 True-up 2" xfId="29" xr:uid="{312252FD-8FE6-4679-A973-27D298EB9F99}"/>
    <cellStyle name="Normal_Schedule O Info for Mike" xfId="13" xr:uid="{E5BF8B1A-9FAE-4BFA-A460-54CDE4C2D546}"/>
    <cellStyle name="Percent" xfId="3" builtinId="5"/>
    <cellStyle name="Percent 2 2" xfId="30" xr:uid="{60C12E4E-4282-460C-BEF7-392135C5ADA2}"/>
    <cellStyle name="Percent 7 2" xfId="18" xr:uid="{AA7E8F80-59CB-4076-B532-C3DA1599D70E}"/>
  </cellStyles>
  <dxfs count="0"/>
  <tableStyles count="0" defaultTableStyle="TableStyleMedium2" defaultPivotStyle="PivotStyleLight16"/>
  <colors>
    <mruColors>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9525</xdr:colOff>
      <xdr:row>52</xdr:row>
      <xdr:rowOff>9525</xdr:rowOff>
    </xdr:from>
    <xdr:to>
      <xdr:col>13</xdr:col>
      <xdr:colOff>9526</xdr:colOff>
      <xdr:row>63</xdr:row>
      <xdr:rowOff>0</xdr:rowOff>
    </xdr:to>
    <xdr:cxnSp macro="">
      <xdr:nvCxnSpPr>
        <xdr:cNvPr id="2" name="Straight Arrow Connector 1">
          <a:extLst>
            <a:ext uri="{FF2B5EF4-FFF2-40B4-BE49-F238E27FC236}">
              <a16:creationId xmlns:a16="http://schemas.microsoft.com/office/drawing/2014/main" id="{4ED2CDFA-1B31-4E3F-98EE-6ADF6098515C}"/>
            </a:ext>
          </a:extLst>
        </xdr:cNvPr>
        <xdr:cNvCxnSpPr/>
      </xdr:nvCxnSpPr>
      <xdr:spPr>
        <a:xfrm flipH="1">
          <a:off x="9248775" y="10534650"/>
          <a:ext cx="5372101" cy="2543175"/>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52</xdr:row>
      <xdr:rowOff>0</xdr:rowOff>
    </xdr:from>
    <xdr:to>
      <xdr:col>13</xdr:col>
      <xdr:colOff>19051</xdr:colOff>
      <xdr:row>63</xdr:row>
      <xdr:rowOff>0</xdr:rowOff>
    </xdr:to>
    <xdr:cxnSp macro="">
      <xdr:nvCxnSpPr>
        <xdr:cNvPr id="2" name="Straight Arrow Connector 1">
          <a:extLst>
            <a:ext uri="{FF2B5EF4-FFF2-40B4-BE49-F238E27FC236}">
              <a16:creationId xmlns:a16="http://schemas.microsoft.com/office/drawing/2014/main" id="{6889F8FD-83CD-492B-B05D-644BD84353F8}"/>
            </a:ext>
          </a:extLst>
        </xdr:cNvPr>
        <xdr:cNvCxnSpPr/>
      </xdr:nvCxnSpPr>
      <xdr:spPr>
        <a:xfrm flipH="1">
          <a:off x="9239250" y="10525125"/>
          <a:ext cx="5391151" cy="2552700"/>
        </a:xfrm>
        <a:prstGeom prst="straightConnector1">
          <a:avLst/>
        </a:prstGeom>
        <a:noFill/>
        <a:ln w="6350" cap="flat" cmpd="sng" algn="ctr">
          <a:solidFill>
            <a:srgbClr val="4472C4"/>
          </a:solidFill>
          <a:prstDash val="solid"/>
          <a:miter lim="800000"/>
          <a:headEnd type="triangle"/>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arzola\OneDrive%20-%20Gridliance\Projects\GLH\2020%20Projection\20191205%20GLH%20(Non-MISO)%20-%20popula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arzola\AppData\Local\Microsoft\Windows\INetCache\Content.Outlook\9A74X0EZ\20200212%20GLH%20(MISO)%20-%20ITA%20(bl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A-Non-MISO ATRR"/>
      <sheetName val="9B-Non-MISO Project Rev Req"/>
      <sheetName val="9C-Non-MISO Project True-up"/>
      <sheetName val="Attachment O"/>
      <sheetName val="1-Project Rev Req"/>
      <sheetName val="2-Incentive ROE"/>
      <sheetName val="3-Project True-up"/>
      <sheetName val="4- Rate Base"/>
      <sheetName val="5-P3 Support"/>
      <sheetName val="6-Dep Rates"/>
      <sheetName val="7 - PBOP"/>
      <sheetName val="8a-ADIT Projection"/>
      <sheetName val="8b-ADIT Projection Proration"/>
      <sheetName val="8c- ADIT BOY"/>
      <sheetName val="8d- ADIT EOY"/>
      <sheetName val="8e-ADIT True-up"/>
      <sheetName val="8f-ADIT True-up Proration"/>
    </sheetNames>
    <sheetDataSet>
      <sheetData sheetId="0">
        <row r="70">
          <cell r="I70">
            <v>5719626.304173097</v>
          </cell>
        </row>
        <row r="78">
          <cell r="I78">
            <v>2863394.6747044036</v>
          </cell>
        </row>
      </sheetData>
      <sheetData sheetId="1" refreshError="1"/>
      <sheetData sheetId="2" refreshError="1"/>
      <sheetData sheetId="3">
        <row r="70">
          <cell r="I70">
            <v>18868477.302322008</v>
          </cell>
        </row>
        <row r="78">
          <cell r="I78">
            <v>9446053.7374321893</v>
          </cell>
        </row>
      </sheetData>
      <sheetData sheetId="4" refreshError="1"/>
      <sheetData sheetId="5" refreshError="1"/>
      <sheetData sheetId="6" refreshError="1"/>
      <sheetData sheetId="7">
        <row r="10">
          <cell r="D10">
            <v>24588103.606495105</v>
          </cell>
        </row>
        <row r="22">
          <cell r="D22">
            <v>24588103.606495105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O"/>
      <sheetName val="1-Project Rev Req"/>
      <sheetName val="2-Incentive ROE"/>
      <sheetName val="3-Project True-up"/>
      <sheetName val="4- Rate Base"/>
      <sheetName val="5-P3 Support"/>
      <sheetName val="6-Dep Rates"/>
      <sheetName val="7 - PBOP"/>
      <sheetName val="8a-ADIT Projection"/>
      <sheetName val="8b-ADIT Projection Proration"/>
      <sheetName val="8c- ADIT BOY"/>
      <sheetName val="8d- ADIT EOY"/>
      <sheetName val="8e-ADIT True-up"/>
      <sheetName val="8f-ADIT True-up Proration"/>
      <sheetName val="9 - Income Tax Allowance "/>
      <sheetName val="9a - Actual ownership"/>
    </sheetNames>
    <sheetDataSet>
      <sheetData sheetId="0">
        <row r="159">
          <cell r="A159">
            <v>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AAE0-87E3-4A87-9C8F-7CC8AC2FD60E}">
  <dimension ref="A1:V317"/>
  <sheetViews>
    <sheetView tabSelected="1" workbookViewId="0"/>
  </sheetViews>
  <sheetFormatPr defaultColWidth="8.88671875" defaultRowHeight="12.75"/>
  <cols>
    <col min="1" max="1" width="5.77734375" style="2" customWidth="1"/>
    <col min="2" max="2" width="52.77734375" style="2" customWidth="1"/>
    <col min="3" max="3" width="47.44140625" style="2" bestFit="1" customWidth="1"/>
    <col min="4" max="4" width="16.33203125" style="2" customWidth="1"/>
    <col min="5" max="5" width="5.77734375" style="2" customWidth="1"/>
    <col min="6" max="6" width="8.21875" style="2" customWidth="1"/>
    <col min="7" max="7" width="10" style="2" customWidth="1"/>
    <col min="8" max="8" width="4.88671875" style="2" customWidth="1"/>
    <col min="9" max="9" width="16.33203125" style="2" customWidth="1"/>
    <col min="10" max="10" width="2.6640625" style="2" customWidth="1"/>
    <col min="11" max="11" width="11.44140625" style="2" customWidth="1"/>
    <col min="12" max="12" width="14.44140625" style="2" bestFit="1" customWidth="1"/>
    <col min="13" max="13" width="14.6640625" style="2" bestFit="1" customWidth="1"/>
    <col min="14" max="14" width="10.44140625" style="2" bestFit="1" customWidth="1"/>
    <col min="15" max="16384" width="8.88671875" style="2"/>
  </cols>
  <sheetData>
    <row r="1" spans="1:11">
      <c r="A1" s="1"/>
      <c r="B1" s="1"/>
      <c r="C1" s="1"/>
      <c r="E1" s="1"/>
      <c r="F1" s="1"/>
      <c r="G1" s="1"/>
      <c r="H1" s="1"/>
      <c r="I1" s="1"/>
      <c r="J1" s="1"/>
      <c r="K1" s="3" t="s">
        <v>1042</v>
      </c>
    </row>
    <row r="2" spans="1:11">
      <c r="A2" s="1"/>
      <c r="B2" s="1"/>
      <c r="C2" s="1"/>
      <c r="D2" s="1"/>
      <c r="E2" s="1"/>
      <c r="F2" s="1"/>
      <c r="G2" s="1"/>
      <c r="H2" s="1"/>
      <c r="I2" s="1"/>
      <c r="J2" s="1"/>
      <c r="K2" s="3" t="s">
        <v>1</v>
      </c>
    </row>
    <row r="3" spans="1:11">
      <c r="A3" s="4"/>
      <c r="B3" s="5" t="s">
        <v>2</v>
      </c>
      <c r="C3" s="5"/>
      <c r="D3" s="6" t="s">
        <v>1041</v>
      </c>
      <c r="E3" s="5"/>
      <c r="F3" s="5"/>
      <c r="G3" s="5"/>
      <c r="H3" s="5"/>
      <c r="I3" s="7"/>
      <c r="J3" s="8"/>
      <c r="K3" s="9" t="s">
        <v>1179</v>
      </c>
    </row>
    <row r="4" spans="1:11">
      <c r="A4" s="4"/>
      <c r="C4" s="10"/>
      <c r="D4" s="11" t="s">
        <v>4</v>
      </c>
      <c r="E4" s="10"/>
      <c r="F4" s="10"/>
      <c r="G4" s="10"/>
      <c r="H4" s="5"/>
      <c r="I4" s="5"/>
      <c r="J4" s="12"/>
      <c r="K4" s="12"/>
    </row>
    <row r="5" spans="1:11" ht="13.5">
      <c r="A5" s="4"/>
      <c r="B5" s="13"/>
      <c r="C5" s="12"/>
      <c r="D5" s="595" t="s">
        <v>5</v>
      </c>
      <c r="E5" s="12"/>
      <c r="F5" s="12"/>
      <c r="G5" s="12"/>
      <c r="H5" s="12"/>
      <c r="I5" s="12"/>
      <c r="J5" s="12"/>
      <c r="K5" s="12"/>
    </row>
    <row r="6" spans="1:11" ht="13.5">
      <c r="B6" s="13"/>
      <c r="J6" s="15"/>
      <c r="K6" s="15"/>
    </row>
    <row r="7" spans="1:11">
      <c r="A7" s="6"/>
      <c r="C7" s="12"/>
      <c r="D7" s="16"/>
      <c r="E7" s="12"/>
      <c r="F7" s="12"/>
      <c r="G7" s="12"/>
      <c r="H7" s="12"/>
      <c r="I7" s="12"/>
      <c r="J7" s="12"/>
      <c r="K7" s="12"/>
    </row>
    <row r="8" spans="1:11">
      <c r="A8" s="6"/>
      <c r="B8" s="593" t="s">
        <v>6</v>
      </c>
      <c r="C8" s="593" t="s">
        <v>7</v>
      </c>
      <c r="D8" s="593" t="s">
        <v>8</v>
      </c>
      <c r="E8" s="10" t="s">
        <v>9</v>
      </c>
      <c r="F8" s="10"/>
      <c r="G8" s="16" t="s">
        <v>10</v>
      </c>
      <c r="H8" s="10"/>
      <c r="I8" s="16" t="s">
        <v>11</v>
      </c>
      <c r="J8" s="12"/>
      <c r="K8" s="12"/>
    </row>
    <row r="9" spans="1:11">
      <c r="A9" s="6" t="s">
        <v>12</v>
      </c>
      <c r="B9" s="12"/>
      <c r="C9" s="12"/>
      <c r="D9" s="15"/>
      <c r="E9" s="12"/>
      <c r="F9" s="12"/>
      <c r="G9" s="12"/>
      <c r="H9" s="12"/>
      <c r="I9" s="6" t="s">
        <v>13</v>
      </c>
      <c r="J9" s="12"/>
      <c r="K9" s="12"/>
    </row>
    <row r="10" spans="1:11" ht="13.5" thickBot="1">
      <c r="A10" s="18" t="s">
        <v>14</v>
      </c>
      <c r="B10" s="12"/>
      <c r="C10" s="18" t="s">
        <v>15</v>
      </c>
      <c r="D10" s="12"/>
      <c r="E10" s="12"/>
      <c r="F10" s="12"/>
      <c r="G10" s="12"/>
      <c r="H10" s="12"/>
      <c r="I10" s="18" t="s">
        <v>16</v>
      </c>
      <c r="J10" s="12"/>
      <c r="K10" s="12"/>
    </row>
    <row r="11" spans="1:11">
      <c r="A11" s="6">
        <v>1</v>
      </c>
      <c r="B11" s="12" t="s">
        <v>17</v>
      </c>
      <c r="C11" s="12" t="s">
        <v>18</v>
      </c>
      <c r="D11" s="10"/>
      <c r="E11" s="12"/>
      <c r="F11" s="12"/>
      <c r="G11" s="12"/>
      <c r="H11" s="12"/>
      <c r="I11" s="19">
        <f>+I189</f>
        <v>2029296.4988195086</v>
      </c>
      <c r="J11" s="12"/>
      <c r="K11" s="12"/>
    </row>
    <row r="12" spans="1:11">
      <c r="A12" s="6"/>
      <c r="B12" s="12"/>
      <c r="C12" s="12"/>
      <c r="D12" s="12"/>
      <c r="E12" s="12"/>
      <c r="F12" s="12"/>
      <c r="G12" s="12"/>
      <c r="H12" s="12"/>
      <c r="I12" s="10"/>
      <c r="J12" s="12"/>
      <c r="K12" s="12"/>
    </row>
    <row r="13" spans="1:11" ht="13.5" thickBot="1">
      <c r="A13" s="6" t="s">
        <v>9</v>
      </c>
      <c r="B13" s="12" t="s">
        <v>19</v>
      </c>
      <c r="C13" s="10" t="s">
        <v>20</v>
      </c>
      <c r="D13" s="18" t="s">
        <v>21</v>
      </c>
      <c r="E13" s="10"/>
      <c r="F13" s="20" t="s">
        <v>22</v>
      </c>
      <c r="G13" s="20"/>
      <c r="H13" s="12"/>
      <c r="I13" s="10"/>
      <c r="J13" s="12"/>
      <c r="K13" s="12"/>
    </row>
    <row r="14" spans="1:11">
      <c r="A14" s="6">
        <f>+A11+1</f>
        <v>2</v>
      </c>
      <c r="B14" s="12" t="s">
        <v>23</v>
      </c>
      <c r="C14" s="10" t="str">
        <f>"(Page 4, Line "&amp;A240&amp;")"</f>
        <v>(Page 4, Line 34)</v>
      </c>
      <c r="D14" s="21">
        <f>I240</f>
        <v>0</v>
      </c>
      <c r="E14" s="10"/>
      <c r="F14" s="10" t="s">
        <v>39</v>
      </c>
      <c r="G14" s="21">
        <v>1</v>
      </c>
      <c r="H14" s="22"/>
      <c r="I14" s="21">
        <f>+G14*D14</f>
        <v>0</v>
      </c>
      <c r="J14" s="12"/>
      <c r="K14" s="12"/>
    </row>
    <row r="15" spans="1:11">
      <c r="A15" s="6" t="s">
        <v>635</v>
      </c>
      <c r="B15" s="12" t="s">
        <v>1015</v>
      </c>
      <c r="C15" s="571" t="str">
        <f>"(Page 4, Line "&amp;A242&amp;")"</f>
        <v>(Page 4, Line 34a)</v>
      </c>
      <c r="D15" s="21">
        <f>I242</f>
        <v>0</v>
      </c>
      <c r="E15" s="10"/>
      <c r="F15" s="10" t="s">
        <v>39</v>
      </c>
      <c r="G15" s="21">
        <v>1</v>
      </c>
      <c r="H15" s="22"/>
      <c r="I15" s="21">
        <f>+G15*D15</f>
        <v>0</v>
      </c>
      <c r="J15" s="12"/>
      <c r="K15" s="12"/>
    </row>
    <row r="16" spans="1:11">
      <c r="A16" s="6">
        <f>+A14+1</f>
        <v>3</v>
      </c>
      <c r="B16" s="12" t="s">
        <v>25</v>
      </c>
      <c r="C16" s="10" t="str">
        <f>"(Page 4, Line "&amp;A249&amp;")"</f>
        <v>(Page 4, Line 37)</v>
      </c>
      <c r="D16" s="21">
        <f>I249</f>
        <v>0</v>
      </c>
      <c r="E16" s="10"/>
      <c r="F16" s="10" t="s">
        <v>39</v>
      </c>
      <c r="G16" s="21">
        <v>1</v>
      </c>
      <c r="H16" s="22"/>
      <c r="I16" s="21">
        <f>+G16*D16</f>
        <v>0</v>
      </c>
      <c r="J16" s="12"/>
      <c r="K16" s="12"/>
    </row>
    <row r="17" spans="1:13">
      <c r="A17" s="6">
        <f>+A16+1</f>
        <v>4</v>
      </c>
      <c r="B17" s="10" t="s">
        <v>26</v>
      </c>
      <c r="C17" s="23" t="s">
        <v>27</v>
      </c>
      <c r="D17" s="21">
        <v>0</v>
      </c>
      <c r="E17" s="10"/>
      <c r="F17" s="10" t="s">
        <v>39</v>
      </c>
      <c r="G17" s="21">
        <v>1</v>
      </c>
      <c r="H17" s="22"/>
      <c r="I17" s="21">
        <f>+G17*D17</f>
        <v>0</v>
      </c>
      <c r="J17" s="12"/>
      <c r="K17" s="12"/>
    </row>
    <row r="18" spans="1:13" ht="13.5" thickBot="1">
      <c r="A18" s="6">
        <f>+A17+1</f>
        <v>5</v>
      </c>
      <c r="B18" s="10" t="s">
        <v>28</v>
      </c>
      <c r="C18" s="23" t="s">
        <v>29</v>
      </c>
      <c r="D18" s="21">
        <v>0</v>
      </c>
      <c r="E18" s="10"/>
      <c r="F18" s="10" t="s">
        <v>39</v>
      </c>
      <c r="G18" s="21">
        <v>1</v>
      </c>
      <c r="H18" s="22"/>
      <c r="I18" s="24">
        <f>+G18*D18</f>
        <v>0</v>
      </c>
      <c r="J18" s="12"/>
      <c r="K18" s="12"/>
    </row>
    <row r="19" spans="1:13">
      <c r="A19" s="6">
        <f>+A18+1</f>
        <v>6</v>
      </c>
      <c r="B19" s="12" t="s">
        <v>30</v>
      </c>
      <c r="C19" s="12" t="s">
        <v>31</v>
      </c>
      <c r="D19" s="25" t="s">
        <v>9</v>
      </c>
      <c r="E19" s="10"/>
      <c r="F19" s="10"/>
      <c r="G19" s="26"/>
      <c r="H19" s="22"/>
      <c r="I19" s="21">
        <f>SUM(I14:I18)</f>
        <v>0</v>
      </c>
      <c r="J19" s="12"/>
      <c r="K19" s="12"/>
    </row>
    <row r="20" spans="1:13">
      <c r="A20" s="6"/>
      <c r="B20" s="4"/>
      <c r="C20" s="12"/>
      <c r="D20" s="10" t="s">
        <v>9</v>
      </c>
      <c r="E20" s="12"/>
      <c r="F20" s="12"/>
      <c r="G20" s="27"/>
      <c r="H20" s="12"/>
      <c r="I20" s="4"/>
      <c r="J20" s="12"/>
      <c r="K20" s="12"/>
    </row>
    <row r="21" spans="1:13">
      <c r="A21" s="6" t="s">
        <v>32</v>
      </c>
      <c r="B21" s="4" t="s">
        <v>1038</v>
      </c>
      <c r="C21" s="12"/>
      <c r="D21" s="10"/>
      <c r="E21" s="12"/>
      <c r="F21" s="12"/>
      <c r="G21" s="27"/>
      <c r="H21" s="12"/>
      <c r="I21" s="43">
        <v>0</v>
      </c>
      <c r="J21" s="12"/>
      <c r="K21" s="12"/>
    </row>
    <row r="22" spans="1:13">
      <c r="A22" s="6"/>
      <c r="B22" s="4"/>
      <c r="C22" s="12"/>
      <c r="D22" s="10"/>
      <c r="E22" s="12"/>
      <c r="F22" s="12"/>
      <c r="G22" s="27"/>
      <c r="H22" s="12"/>
      <c r="I22" s="4"/>
      <c r="J22" s="12"/>
      <c r="K22" s="12"/>
    </row>
    <row r="23" spans="1:13" ht="13.5" thickBot="1">
      <c r="A23" s="6" t="s">
        <v>34</v>
      </c>
      <c r="B23" s="12" t="s">
        <v>35</v>
      </c>
      <c r="C23" s="12" t="s">
        <v>36</v>
      </c>
      <c r="D23" s="28" t="s">
        <v>9</v>
      </c>
      <c r="E23" s="10"/>
      <c r="F23" s="10"/>
      <c r="G23" s="10"/>
      <c r="H23" s="10"/>
      <c r="I23" s="29">
        <f>I11-I19-I21</f>
        <v>2029296.4988195086</v>
      </c>
      <c r="J23" s="12"/>
      <c r="K23" s="12"/>
      <c r="M23" s="30"/>
    </row>
    <row r="24" spans="1:13" ht="13.5" thickTop="1">
      <c r="A24" s="6"/>
      <c r="B24" s="4"/>
      <c r="C24" s="12"/>
      <c r="D24" s="28"/>
      <c r="E24" s="10"/>
      <c r="F24" s="10"/>
      <c r="G24" s="10"/>
      <c r="H24" s="10"/>
      <c r="I24" s="4"/>
      <c r="J24" s="12"/>
      <c r="K24" s="12"/>
      <c r="M24" s="31"/>
    </row>
    <row r="25" spans="1:13">
      <c r="A25" s="32" t="s">
        <v>37</v>
      </c>
      <c r="B25" s="33" t="s">
        <v>1043</v>
      </c>
      <c r="C25" s="610" t="s">
        <v>1085</v>
      </c>
      <c r="D25" s="580">
        <f>'9C-Non-MISO Project True-up'!H23</f>
        <v>0</v>
      </c>
      <c r="E25" s="33"/>
      <c r="F25" s="33" t="s">
        <v>39</v>
      </c>
      <c r="G25" s="21">
        <v>1</v>
      </c>
      <c r="H25" s="33"/>
      <c r="I25" s="35">
        <f>+G25*D25</f>
        <v>0</v>
      </c>
      <c r="K25" s="12"/>
    </row>
    <row r="26" spans="1:13">
      <c r="A26" s="32"/>
      <c r="B26" s="33"/>
      <c r="C26" s="33"/>
      <c r="D26" s="33"/>
      <c r="E26" s="33"/>
      <c r="F26" s="33"/>
      <c r="G26" s="33"/>
      <c r="H26" s="33"/>
      <c r="I26" s="36"/>
      <c r="K26" s="12"/>
    </row>
    <row r="27" spans="1:13" ht="13.5" thickBot="1">
      <c r="A27" s="32">
        <v>7</v>
      </c>
      <c r="B27" s="33" t="s">
        <v>35</v>
      </c>
      <c r="C27" s="33" t="s">
        <v>40</v>
      </c>
      <c r="D27" s="33"/>
      <c r="E27" s="36"/>
      <c r="F27" s="36"/>
      <c r="G27" s="36"/>
      <c r="H27" s="36"/>
      <c r="I27" s="37">
        <f>+I23+I25</f>
        <v>2029296.4988195086</v>
      </c>
      <c r="K27" s="12"/>
    </row>
    <row r="28" spans="1:13" ht="13.5" thickTop="1">
      <c r="A28" s="6"/>
      <c r="B28" s="10"/>
      <c r="C28" s="12"/>
      <c r="D28" s="12"/>
      <c r="E28" s="12"/>
      <c r="F28" s="4"/>
      <c r="G28" s="5"/>
      <c r="H28" s="12"/>
      <c r="I28" s="10"/>
      <c r="J28" s="12"/>
      <c r="K28" s="12"/>
    </row>
    <row r="29" spans="1:13">
      <c r="A29" s="6"/>
      <c r="B29" s="12"/>
      <c r="C29" s="12"/>
      <c r="D29" s="12"/>
      <c r="E29" s="12"/>
      <c r="F29" s="4"/>
      <c r="G29" s="5"/>
      <c r="H29" s="12"/>
      <c r="I29" s="10"/>
      <c r="J29" s="12"/>
      <c r="K29" s="12"/>
    </row>
    <row r="30" spans="1:13" ht="15.75">
      <c r="A30" s="38"/>
      <c r="B30" s="39" t="s">
        <v>1023</v>
      </c>
      <c r="C30" s="39"/>
      <c r="D30" s="40"/>
      <c r="E30" s="39"/>
      <c r="F30" s="39"/>
      <c r="G30" s="39"/>
      <c r="H30" s="39"/>
      <c r="I30" s="21"/>
      <c r="J30" s="39"/>
      <c r="L30" s="41"/>
    </row>
    <row r="31" spans="1:13" ht="15.75">
      <c r="A31" s="38">
        <v>8</v>
      </c>
      <c r="B31" s="39" t="s">
        <v>42</v>
      </c>
      <c r="D31" s="40"/>
      <c r="E31" s="39"/>
      <c r="F31" s="39"/>
      <c r="G31" s="42" t="s">
        <v>43</v>
      </c>
      <c r="H31" s="39"/>
      <c r="I31" s="43">
        <v>0</v>
      </c>
      <c r="J31" s="39"/>
      <c r="L31" s="41"/>
    </row>
    <row r="32" spans="1:13" ht="15.75">
      <c r="A32" s="38">
        <v>9</v>
      </c>
      <c r="B32" s="39" t="s">
        <v>44</v>
      </c>
      <c r="C32" s="40"/>
      <c r="D32" s="40"/>
      <c r="E32" s="40"/>
      <c r="F32" s="40"/>
      <c r="G32" s="40" t="s">
        <v>45</v>
      </c>
      <c r="H32" s="40"/>
      <c r="I32" s="43">
        <v>0</v>
      </c>
      <c r="J32" s="39"/>
      <c r="L32" s="41"/>
    </row>
    <row r="33" spans="1:12" ht="15.75">
      <c r="A33" s="38">
        <v>10</v>
      </c>
      <c r="B33" s="40" t="s">
        <v>46</v>
      </c>
      <c r="C33" s="39"/>
      <c r="D33" s="39"/>
      <c r="E33" s="39"/>
      <c r="G33" s="42" t="s">
        <v>47</v>
      </c>
      <c r="H33" s="39"/>
      <c r="I33" s="43">
        <v>0</v>
      </c>
      <c r="J33" s="39"/>
      <c r="L33" s="41"/>
    </row>
    <row r="34" spans="1:12" ht="15.75">
      <c r="A34" s="38">
        <v>11</v>
      </c>
      <c r="B34" s="39" t="s">
        <v>48</v>
      </c>
      <c r="C34" s="39"/>
      <c r="D34" s="39"/>
      <c r="E34" s="39"/>
      <c r="G34" s="42" t="s">
        <v>49</v>
      </c>
      <c r="H34" s="39"/>
      <c r="I34" s="43">
        <v>0</v>
      </c>
      <c r="J34" s="39"/>
      <c r="L34" s="41"/>
    </row>
    <row r="35" spans="1:12" ht="15.75">
      <c r="A35" s="38">
        <v>12</v>
      </c>
      <c r="B35" s="40" t="s">
        <v>50</v>
      </c>
      <c r="C35" s="39"/>
      <c r="D35" s="39"/>
      <c r="E35" s="39"/>
      <c r="F35" s="39"/>
      <c r="G35" s="42"/>
      <c r="H35" s="39"/>
      <c r="I35" s="43">
        <v>0</v>
      </c>
      <c r="J35" s="39"/>
      <c r="L35" s="41"/>
    </row>
    <row r="36" spans="1:12" ht="15.75">
      <c r="A36" s="38">
        <v>13</v>
      </c>
      <c r="B36" s="40" t="s">
        <v>51</v>
      </c>
      <c r="C36" s="39"/>
      <c r="D36" s="39"/>
      <c r="E36" s="39"/>
      <c r="F36" s="39"/>
      <c r="G36" s="42" t="s">
        <v>27</v>
      </c>
      <c r="H36" s="39"/>
      <c r="I36" s="43">
        <v>0</v>
      </c>
      <c r="J36" s="39"/>
      <c r="L36" s="41"/>
    </row>
    <row r="37" spans="1:12" ht="16.5" thickBot="1">
      <c r="A37" s="38">
        <v>14</v>
      </c>
      <c r="B37" s="40" t="s">
        <v>52</v>
      </c>
      <c r="C37" s="39"/>
      <c r="D37" s="39"/>
      <c r="E37" s="39"/>
      <c r="F37" s="39"/>
      <c r="G37" s="42"/>
      <c r="H37" s="39"/>
      <c r="I37" s="44">
        <v>0</v>
      </c>
      <c r="J37" s="39"/>
      <c r="L37" s="41"/>
    </row>
    <row r="38" spans="1:12" ht="15.75">
      <c r="A38" s="38">
        <v>15</v>
      </c>
      <c r="B38" s="42" t="s">
        <v>53</v>
      </c>
      <c r="C38" s="39"/>
      <c r="D38" s="39"/>
      <c r="E38" s="39"/>
      <c r="F38" s="39"/>
      <c r="G38" s="39"/>
      <c r="H38" s="39"/>
      <c r="I38" s="21">
        <f>SUM(I31:I37)</f>
        <v>0</v>
      </c>
      <c r="J38" s="39"/>
      <c r="L38" s="41"/>
    </row>
    <row r="39" spans="1:12" ht="15.75">
      <c r="A39" s="38"/>
      <c r="B39" s="39"/>
      <c r="C39" s="39"/>
      <c r="D39" s="39"/>
      <c r="E39" s="39"/>
      <c r="F39" s="39"/>
      <c r="G39" s="39"/>
      <c r="H39" s="39"/>
      <c r="I39" s="21"/>
      <c r="J39" s="39"/>
      <c r="L39" s="41"/>
    </row>
    <row r="40" spans="1:12" ht="15.75">
      <c r="A40" s="38">
        <v>16</v>
      </c>
      <c r="B40" s="39" t="s">
        <v>54</v>
      </c>
      <c r="C40" s="39" t="s">
        <v>55</v>
      </c>
      <c r="D40" s="21">
        <f>IF(I38&gt;0,I27/I38,0)</f>
        <v>0</v>
      </c>
      <c r="E40" s="21"/>
      <c r="F40" s="21"/>
      <c r="G40" s="21"/>
      <c r="H40" s="21"/>
      <c r="I40" s="21"/>
      <c r="J40" s="39"/>
      <c r="L40" s="41"/>
    </row>
    <row r="41" spans="1:12" ht="15.75">
      <c r="A41" s="38">
        <v>17</v>
      </c>
      <c r="B41" s="39" t="s">
        <v>56</v>
      </c>
      <c r="C41" s="39" t="s">
        <v>57</v>
      </c>
      <c r="D41" s="21">
        <f>+D40/12</f>
        <v>0</v>
      </c>
      <c r="E41" s="21"/>
      <c r="F41" s="21"/>
      <c r="G41" s="21"/>
      <c r="H41" s="21"/>
      <c r="I41" s="21"/>
      <c r="J41" s="39"/>
      <c r="L41" s="41"/>
    </row>
    <row r="42" spans="1:12" ht="15.75">
      <c r="A42" s="38"/>
      <c r="B42" s="39"/>
      <c r="C42" s="39"/>
      <c r="D42" s="21"/>
      <c r="E42" s="21"/>
      <c r="F42" s="21"/>
      <c r="G42" s="21"/>
      <c r="H42" s="21"/>
      <c r="I42" s="21"/>
      <c r="J42" s="39"/>
      <c r="L42" s="41"/>
    </row>
    <row r="43" spans="1:12" ht="15.75">
      <c r="A43" s="38"/>
      <c r="B43" s="39"/>
      <c r="C43" s="39"/>
      <c r="D43" s="45" t="s">
        <v>58</v>
      </c>
      <c r="E43" s="21"/>
      <c r="F43" s="21"/>
      <c r="G43" s="21"/>
      <c r="H43" s="21"/>
      <c r="I43" s="45" t="s">
        <v>59</v>
      </c>
      <c r="J43" s="39"/>
      <c r="L43" s="41"/>
    </row>
    <row r="44" spans="1:12" ht="15.75">
      <c r="A44" s="38"/>
      <c r="B44" s="39"/>
      <c r="C44" s="39"/>
      <c r="D44" s="21"/>
      <c r="E44" s="21"/>
      <c r="F44" s="21"/>
      <c r="G44" s="21"/>
      <c r="H44" s="21"/>
      <c r="I44" s="21"/>
      <c r="J44" s="39"/>
      <c r="L44" s="41"/>
    </row>
    <row r="45" spans="1:12" ht="15.75">
      <c r="A45" s="38">
        <v>18</v>
      </c>
      <c r="B45" s="39" t="s">
        <v>60</v>
      </c>
      <c r="C45" s="46" t="s">
        <v>61</v>
      </c>
      <c r="D45" s="21">
        <f>+D40/52</f>
        <v>0</v>
      </c>
      <c r="E45" s="21"/>
      <c r="F45" s="21"/>
      <c r="G45" s="21"/>
      <c r="H45" s="21"/>
      <c r="I45" s="21">
        <f>+D40/52</f>
        <v>0</v>
      </c>
      <c r="J45" s="39"/>
      <c r="L45" s="41"/>
    </row>
    <row r="46" spans="1:12" ht="15.75">
      <c r="A46" s="38">
        <v>19</v>
      </c>
      <c r="B46" s="39" t="s">
        <v>62</v>
      </c>
      <c r="C46" s="46" t="s">
        <v>63</v>
      </c>
      <c r="D46" s="21">
        <f>+D40/260</f>
        <v>0</v>
      </c>
      <c r="E46" s="21" t="s">
        <v>64</v>
      </c>
      <c r="F46" s="21"/>
      <c r="G46" s="21"/>
      <c r="H46" s="21"/>
      <c r="I46" s="21">
        <f>+D40/365</f>
        <v>0</v>
      </c>
      <c r="J46" s="39"/>
      <c r="L46" s="41"/>
    </row>
    <row r="47" spans="1:12" ht="15.75">
      <c r="A47" s="38">
        <v>20</v>
      </c>
      <c r="B47" s="39" t="s">
        <v>65</v>
      </c>
      <c r="C47" s="46" t="s">
        <v>66</v>
      </c>
      <c r="D47" s="21">
        <f>+D40/4160*1000</f>
        <v>0</v>
      </c>
      <c r="E47" s="21" t="s">
        <v>67</v>
      </c>
      <c r="F47" s="21"/>
      <c r="G47" s="21"/>
      <c r="H47" s="21"/>
      <c r="I47" s="21">
        <f>+D40/8760*1000</f>
        <v>0</v>
      </c>
      <c r="J47" s="39"/>
      <c r="L47" s="41" t="s">
        <v>9</v>
      </c>
    </row>
    <row r="48" spans="1:12" ht="15.75">
      <c r="A48" s="38"/>
      <c r="B48" s="39"/>
      <c r="C48" s="39" t="s">
        <v>68</v>
      </c>
      <c r="D48" s="21"/>
      <c r="E48" s="21" t="s">
        <v>69</v>
      </c>
      <c r="F48" s="21"/>
      <c r="G48" s="21"/>
      <c r="H48" s="21"/>
      <c r="I48" s="21"/>
      <c r="J48" s="39"/>
      <c r="L48" s="41" t="s">
        <v>9</v>
      </c>
    </row>
    <row r="49" spans="1:12" ht="15.75">
      <c r="A49" s="38"/>
      <c r="B49" s="39"/>
      <c r="C49" s="39"/>
      <c r="D49" s="21"/>
      <c r="E49" s="21"/>
      <c r="F49" s="21"/>
      <c r="G49" s="21"/>
      <c r="H49" s="21"/>
      <c r="I49" s="21"/>
      <c r="J49" s="39"/>
      <c r="L49" s="41" t="s">
        <v>9</v>
      </c>
    </row>
    <row r="50" spans="1:12" ht="15.75">
      <c r="A50" s="38">
        <v>21</v>
      </c>
      <c r="B50" s="39" t="s">
        <v>70</v>
      </c>
      <c r="C50" s="39" t="s">
        <v>71</v>
      </c>
      <c r="D50" s="47">
        <v>0</v>
      </c>
      <c r="E50" s="48" t="s">
        <v>72</v>
      </c>
      <c r="F50" s="48"/>
      <c r="G50" s="48"/>
      <c r="H50" s="48"/>
      <c r="I50" s="48">
        <f>D50</f>
        <v>0</v>
      </c>
      <c r="J50" s="49" t="s">
        <v>72</v>
      </c>
      <c r="L50" s="41"/>
    </row>
    <row r="51" spans="1:12" ht="15.75">
      <c r="A51" s="38">
        <v>22</v>
      </c>
      <c r="B51" s="39"/>
      <c r="C51" s="39"/>
      <c r="D51" s="47">
        <v>0</v>
      </c>
      <c r="E51" s="48" t="s">
        <v>73</v>
      </c>
      <c r="F51" s="48"/>
      <c r="G51" s="48"/>
      <c r="H51" s="48"/>
      <c r="I51" s="48">
        <f>D51</f>
        <v>0</v>
      </c>
      <c r="J51" s="49" t="s">
        <v>73</v>
      </c>
      <c r="L51" s="41"/>
    </row>
    <row r="52" spans="1:12" ht="15.75">
      <c r="A52" s="38"/>
      <c r="C52" s="39"/>
      <c r="D52" s="39"/>
      <c r="E52" s="49"/>
      <c r="F52" s="49"/>
      <c r="G52" s="49"/>
      <c r="H52" s="49"/>
      <c r="I52" s="49"/>
      <c r="J52" s="49"/>
      <c r="K52" s="49"/>
      <c r="L52" s="41"/>
    </row>
    <row r="53" spans="1:12">
      <c r="A53" s="6"/>
      <c r="B53" s="12"/>
      <c r="C53" s="12"/>
      <c r="D53" s="50"/>
      <c r="E53" s="50"/>
      <c r="F53" s="50"/>
      <c r="G53" s="50"/>
      <c r="H53" s="50"/>
      <c r="I53" s="50"/>
      <c r="J53" s="50"/>
      <c r="K53" s="51" t="str">
        <f>K1</f>
        <v>Attachment 9A-GLH</v>
      </c>
    </row>
    <row r="54" spans="1:12">
      <c r="A54" s="4"/>
      <c r="B54" s="12"/>
      <c r="C54" s="12"/>
      <c r="D54" s="12"/>
      <c r="E54" s="12"/>
      <c r="F54" s="12"/>
      <c r="G54" s="12"/>
      <c r="H54" s="12"/>
      <c r="I54" s="52"/>
      <c r="J54" s="12"/>
      <c r="K54" s="51" t="s">
        <v>74</v>
      </c>
    </row>
    <row r="55" spans="1:12">
      <c r="A55" s="4"/>
      <c r="B55" s="12"/>
      <c r="C55" s="12"/>
      <c r="D55" s="12"/>
      <c r="E55" s="12"/>
      <c r="F55" s="12"/>
      <c r="G55" s="12"/>
      <c r="H55" s="12"/>
      <c r="I55" s="12"/>
      <c r="J55" s="12"/>
      <c r="K55" s="12"/>
    </row>
    <row r="56" spans="1:12">
      <c r="A56" s="4"/>
      <c r="B56" s="12" t="s">
        <v>2</v>
      </c>
      <c r="C56" s="12"/>
      <c r="D56" s="6" t="str">
        <f>$D$3</f>
        <v>Non-MISO Rate Formula Template</v>
      </c>
      <c r="E56" s="12"/>
      <c r="F56" s="12"/>
      <c r="G56" s="12"/>
      <c r="H56" s="12"/>
      <c r="I56" s="1"/>
      <c r="J56" s="12"/>
      <c r="K56" s="51" t="str">
        <f>K3</f>
        <v>For the 12 months ended 12/31/2020</v>
      </c>
    </row>
    <row r="57" spans="1:12">
      <c r="A57" s="4"/>
      <c r="B57" s="53"/>
      <c r="C57" s="10"/>
      <c r="D57" s="11" t="s">
        <v>4</v>
      </c>
      <c r="E57" s="10"/>
      <c r="F57" s="10"/>
      <c r="G57" s="10"/>
      <c r="H57" s="10"/>
      <c r="I57" s="10"/>
      <c r="J57" s="10"/>
      <c r="K57" s="10"/>
    </row>
    <row r="58" spans="1:12">
      <c r="A58" s="4"/>
      <c r="B58" s="12"/>
      <c r="C58" s="10"/>
      <c r="D58" s="11" t="str">
        <f>+D5</f>
        <v>GridLiance Heartland LLC</v>
      </c>
      <c r="E58" s="10"/>
      <c r="F58" s="10"/>
      <c r="G58" s="10" t="s">
        <v>9</v>
      </c>
      <c r="H58" s="10"/>
      <c r="I58" s="10"/>
      <c r="J58" s="10"/>
      <c r="K58" s="10"/>
    </row>
    <row r="59" spans="1:12">
      <c r="A59" s="729"/>
      <c r="B59" s="729"/>
      <c r="C59" s="729"/>
      <c r="D59" s="729"/>
      <c r="E59" s="729"/>
      <c r="F59" s="729"/>
      <c r="G59" s="729"/>
      <c r="H59" s="729"/>
      <c r="I59" s="729"/>
      <c r="J59" s="729"/>
      <c r="K59" s="729"/>
    </row>
    <row r="60" spans="1:12">
      <c r="A60" s="4"/>
      <c r="B60" s="593" t="s">
        <v>6</v>
      </c>
      <c r="C60" s="593" t="s">
        <v>7</v>
      </c>
      <c r="D60" s="593" t="s">
        <v>8</v>
      </c>
      <c r="E60" s="10" t="s">
        <v>9</v>
      </c>
      <c r="F60" s="10"/>
      <c r="G60" s="16" t="s">
        <v>10</v>
      </c>
      <c r="H60" s="10"/>
      <c r="I60" s="16" t="s">
        <v>11</v>
      </c>
      <c r="J60" s="10"/>
      <c r="K60" s="593"/>
    </row>
    <row r="61" spans="1:12">
      <c r="A61" s="4"/>
      <c r="B61" s="12"/>
      <c r="C61" s="54"/>
      <c r="D61" s="10"/>
      <c r="E61" s="10"/>
      <c r="F61" s="10"/>
      <c r="G61" s="6"/>
      <c r="H61" s="10"/>
      <c r="I61" s="55" t="s">
        <v>75</v>
      </c>
      <c r="J61" s="10"/>
      <c r="K61" s="593"/>
    </row>
    <row r="62" spans="1:12">
      <c r="A62" s="6" t="s">
        <v>12</v>
      </c>
      <c r="B62" s="12"/>
      <c r="C62" s="56" t="s">
        <v>15</v>
      </c>
      <c r="D62" s="55" t="s">
        <v>76</v>
      </c>
      <c r="E62" s="57"/>
      <c r="F62" s="55" t="s">
        <v>77</v>
      </c>
      <c r="G62" s="4"/>
      <c r="H62" s="57"/>
      <c r="I62" s="6" t="s">
        <v>78</v>
      </c>
      <c r="J62" s="10"/>
      <c r="K62" s="593"/>
    </row>
    <row r="63" spans="1:12" ht="13.5" thickBot="1">
      <c r="A63" s="18" t="s">
        <v>14</v>
      </c>
      <c r="B63" s="58" t="s">
        <v>79</v>
      </c>
      <c r="C63" s="10"/>
      <c r="D63" s="10"/>
      <c r="E63" s="10"/>
      <c r="F63" s="10"/>
      <c r="G63" s="10"/>
      <c r="H63" s="10"/>
      <c r="I63" s="10"/>
      <c r="J63" s="10"/>
      <c r="K63" s="10"/>
    </row>
    <row r="64" spans="1:12">
      <c r="A64" s="6"/>
      <c r="B64" s="12" t="s">
        <v>80</v>
      </c>
      <c r="C64" s="10"/>
      <c r="D64" s="10"/>
      <c r="E64" s="10"/>
      <c r="F64" s="10"/>
      <c r="G64" s="10"/>
      <c r="H64" s="10"/>
      <c r="I64" s="10"/>
      <c r="J64" s="10"/>
      <c r="K64" s="10"/>
    </row>
    <row r="65" spans="1:11">
      <c r="A65" s="6">
        <v>1</v>
      </c>
      <c r="B65" s="12" t="s">
        <v>81</v>
      </c>
      <c r="C65" s="22" t="s">
        <v>82</v>
      </c>
      <c r="D65" s="35">
        <f>'4- Rate Base'!C23</f>
        <v>0</v>
      </c>
      <c r="E65" s="10"/>
      <c r="F65" s="10" t="s">
        <v>83</v>
      </c>
      <c r="G65" s="59">
        <v>0</v>
      </c>
      <c r="H65" s="10"/>
      <c r="I65" s="35">
        <f>+G65*D65</f>
        <v>0</v>
      </c>
      <c r="J65" s="10"/>
      <c r="K65" s="10"/>
    </row>
    <row r="66" spans="1:11">
      <c r="A66" s="6">
        <f>+A65+1</f>
        <v>2</v>
      </c>
      <c r="B66" s="12" t="s">
        <v>84</v>
      </c>
      <c r="C66" s="22" t="s">
        <v>85</v>
      </c>
      <c r="D66" s="35">
        <f>'4- Rate Base'!D23</f>
        <v>24588103.606495105</v>
      </c>
      <c r="E66" s="10"/>
      <c r="F66" s="10" t="s">
        <v>24</v>
      </c>
      <c r="G66" s="59">
        <f>I209</f>
        <v>0.23261762662583793</v>
      </c>
      <c r="H66" s="22"/>
      <c r="I66" s="35">
        <f>+G66*D66</f>
        <v>5719626.304173097</v>
      </c>
      <c r="J66" s="10"/>
      <c r="K66" s="10"/>
    </row>
    <row r="67" spans="1:11">
      <c r="A67" s="6">
        <f>+A66+1</f>
        <v>3</v>
      </c>
      <c r="B67" s="12" t="s">
        <v>86</v>
      </c>
      <c r="C67" s="22" t="s">
        <v>87</v>
      </c>
      <c r="D67" s="35">
        <f>'4- Rate Base'!E23</f>
        <v>0</v>
      </c>
      <c r="E67" s="10"/>
      <c r="F67" s="10" t="s">
        <v>83</v>
      </c>
      <c r="G67" s="59">
        <v>0</v>
      </c>
      <c r="H67" s="22"/>
      <c r="I67" s="35">
        <f>+G67*D67</f>
        <v>0</v>
      </c>
      <c r="J67" s="10"/>
      <c r="K67" s="10"/>
    </row>
    <row r="68" spans="1:11">
      <c r="A68" s="6">
        <f>+A67+1</f>
        <v>4</v>
      </c>
      <c r="B68" s="12" t="s">
        <v>88</v>
      </c>
      <c r="C68" s="22" t="s">
        <v>89</v>
      </c>
      <c r="D68" s="35">
        <f>'4- Rate Base'!F23</f>
        <v>0</v>
      </c>
      <c r="E68" s="10"/>
      <c r="F68" s="10" t="s">
        <v>90</v>
      </c>
      <c r="G68" s="59">
        <f>I217</f>
        <v>0.23261762662583793</v>
      </c>
      <c r="H68" s="22"/>
      <c r="I68" s="35">
        <f>+G68*D68</f>
        <v>0</v>
      </c>
      <c r="J68" s="10"/>
      <c r="K68" s="10"/>
    </row>
    <row r="69" spans="1:11" ht="13.5" thickBot="1">
      <c r="A69" s="6">
        <f>+A68+1</f>
        <v>5</v>
      </c>
      <c r="B69" s="12" t="s">
        <v>91</v>
      </c>
      <c r="C69" s="22" t="s">
        <v>92</v>
      </c>
      <c r="D69" s="60">
        <f>'4- Rate Base'!G23</f>
        <v>0</v>
      </c>
      <c r="E69" s="10"/>
      <c r="F69" s="10" t="s">
        <v>93</v>
      </c>
      <c r="G69" s="59">
        <f>K221</f>
        <v>0.23261762662583793</v>
      </c>
      <c r="H69" s="22"/>
      <c r="I69" s="60">
        <f>+G69*D69</f>
        <v>0</v>
      </c>
      <c r="J69" s="10"/>
      <c r="K69" s="10"/>
    </row>
    <row r="70" spans="1:11">
      <c r="A70" s="6">
        <f>+A69+1</f>
        <v>6</v>
      </c>
      <c r="B70" s="5" t="s">
        <v>94</v>
      </c>
      <c r="C70" s="10" t="s">
        <v>95</v>
      </c>
      <c r="D70" s="35">
        <f>SUM(D65:D69)</f>
        <v>24588103.606495105</v>
      </c>
      <c r="E70" s="10"/>
      <c r="F70" s="10" t="s">
        <v>96</v>
      </c>
      <c r="G70" s="59">
        <f>IF(I70&gt;0,I70/D70,0)</f>
        <v>0.23261762662583793</v>
      </c>
      <c r="H70" s="22"/>
      <c r="I70" s="35">
        <f>SUM(I65:I69)</f>
        <v>5719626.304173097</v>
      </c>
      <c r="J70" s="10"/>
      <c r="K70" s="61"/>
    </row>
    <row r="71" spans="1:11">
      <c r="A71" s="6"/>
      <c r="B71" s="12"/>
      <c r="C71" s="10"/>
      <c r="D71" s="35"/>
      <c r="E71" s="10"/>
      <c r="F71" s="10"/>
      <c r="G71" s="59"/>
      <c r="H71" s="10"/>
      <c r="I71" s="35"/>
      <c r="J71" s="10"/>
      <c r="K71" s="61"/>
    </row>
    <row r="72" spans="1:11">
      <c r="A72" s="6"/>
      <c r="B72" s="12" t="s">
        <v>97</v>
      </c>
      <c r="C72" s="10"/>
      <c r="D72" s="35"/>
      <c r="E72" s="10"/>
      <c r="F72" s="10"/>
      <c r="G72" s="59"/>
      <c r="H72" s="10"/>
      <c r="I72" s="35"/>
      <c r="J72" s="10"/>
      <c r="K72" s="10"/>
    </row>
    <row r="73" spans="1:11">
      <c r="A73" s="6">
        <f>+A70+1</f>
        <v>7</v>
      </c>
      <c r="B73" s="12" t="s">
        <v>81</v>
      </c>
      <c r="C73" s="22" t="s">
        <v>98</v>
      </c>
      <c r="D73" s="35">
        <f>'4- Rate Base'!L23</f>
        <v>0</v>
      </c>
      <c r="E73" s="10"/>
      <c r="F73" s="10" t="s">
        <v>83</v>
      </c>
      <c r="G73" s="59">
        <f>+G65</f>
        <v>0</v>
      </c>
      <c r="H73" s="10"/>
      <c r="I73" s="35">
        <f>+G73*D73</f>
        <v>0</v>
      </c>
      <c r="J73" s="10"/>
      <c r="K73" s="10"/>
    </row>
    <row r="74" spans="1:11">
      <c r="A74" s="6">
        <f>+A73+1</f>
        <v>8</v>
      </c>
      <c r="B74" s="12" t="s">
        <v>84</v>
      </c>
      <c r="C74" s="22" t="s">
        <v>99</v>
      </c>
      <c r="D74" s="35">
        <f>'4- Rate Base'!M23</f>
        <v>12309448.412136594</v>
      </c>
      <c r="E74" s="10"/>
      <c r="F74" s="10" t="s">
        <v>24</v>
      </c>
      <c r="G74" s="59">
        <f>+G66</f>
        <v>0.23261762662583793</v>
      </c>
      <c r="H74" s="22"/>
      <c r="I74" s="35">
        <f>+G74*D74</f>
        <v>2863394.6747044036</v>
      </c>
      <c r="J74" s="10"/>
      <c r="K74" s="10"/>
    </row>
    <row r="75" spans="1:11">
      <c r="A75" s="6">
        <f>+A74+1</f>
        <v>9</v>
      </c>
      <c r="B75" s="12" t="s">
        <v>86</v>
      </c>
      <c r="C75" s="22" t="s">
        <v>100</v>
      </c>
      <c r="D75" s="35">
        <f>'4- Rate Base'!N23</f>
        <v>0</v>
      </c>
      <c r="E75" s="10"/>
      <c r="F75" s="10" t="s">
        <v>83</v>
      </c>
      <c r="G75" s="59">
        <f>+G67</f>
        <v>0</v>
      </c>
      <c r="H75" s="22"/>
      <c r="I75" s="35">
        <f>+G75*D75</f>
        <v>0</v>
      </c>
      <c r="J75" s="10"/>
      <c r="K75" s="10"/>
    </row>
    <row r="76" spans="1:11">
      <c r="A76" s="6">
        <f>+A75+1</f>
        <v>10</v>
      </c>
      <c r="B76" s="12" t="s">
        <v>88</v>
      </c>
      <c r="C76" s="22" t="s">
        <v>101</v>
      </c>
      <c r="D76" s="35">
        <f>'4- Rate Base'!O23</f>
        <v>0</v>
      </c>
      <c r="E76" s="10"/>
      <c r="F76" s="10" t="s">
        <v>90</v>
      </c>
      <c r="G76" s="59">
        <f>+G68</f>
        <v>0.23261762662583793</v>
      </c>
      <c r="H76" s="22"/>
      <c r="I76" s="35">
        <f>+G76*D76</f>
        <v>0</v>
      </c>
      <c r="J76" s="10"/>
      <c r="K76" s="10"/>
    </row>
    <row r="77" spans="1:11" ht="13.5" thickBot="1">
      <c r="A77" s="6">
        <f>+A76+1</f>
        <v>11</v>
      </c>
      <c r="B77" s="12" t="s">
        <v>91</v>
      </c>
      <c r="C77" s="22" t="s">
        <v>102</v>
      </c>
      <c r="D77" s="60">
        <f>'4- Rate Base'!P23</f>
        <v>0</v>
      </c>
      <c r="E77" s="10"/>
      <c r="F77" s="10" t="s">
        <v>93</v>
      </c>
      <c r="G77" s="59">
        <f>+G69</f>
        <v>0.23261762662583793</v>
      </c>
      <c r="H77" s="22"/>
      <c r="I77" s="60">
        <f>+G77*D77</f>
        <v>0</v>
      </c>
      <c r="J77" s="10"/>
      <c r="K77" s="10"/>
    </row>
    <row r="78" spans="1:11">
      <c r="A78" s="6">
        <f>+A77+1</f>
        <v>12</v>
      </c>
      <c r="B78" s="12" t="s">
        <v>103</v>
      </c>
      <c r="C78" s="10" t="s">
        <v>104</v>
      </c>
      <c r="D78" s="35">
        <f>SUM(D73:D77)</f>
        <v>12309448.412136594</v>
      </c>
      <c r="E78" s="10"/>
      <c r="F78" s="10"/>
      <c r="G78" s="59"/>
      <c r="H78" s="22"/>
      <c r="I78" s="35">
        <f>SUM(I73:I77)</f>
        <v>2863394.6747044036</v>
      </c>
      <c r="J78" s="10"/>
      <c r="K78" s="10"/>
    </row>
    <row r="79" spans="1:11">
      <c r="A79" s="6"/>
      <c r="B79" s="4"/>
      <c r="C79" s="10" t="s">
        <v>9</v>
      </c>
      <c r="D79" s="35"/>
      <c r="E79" s="10"/>
      <c r="F79" s="10"/>
      <c r="G79" s="59"/>
      <c r="H79" s="10"/>
      <c r="I79" s="35"/>
      <c r="J79" s="10"/>
      <c r="K79" s="61"/>
    </row>
    <row r="80" spans="1:11">
      <c r="A80" s="6"/>
      <c r="B80" s="12" t="s">
        <v>105</v>
      </c>
      <c r="C80" s="10"/>
      <c r="D80" s="35"/>
      <c r="E80" s="10"/>
      <c r="F80" s="10"/>
      <c r="G80" s="59"/>
      <c r="H80" s="10"/>
      <c r="I80" s="35"/>
      <c r="J80" s="10"/>
      <c r="K80" s="10"/>
    </row>
    <row r="81" spans="1:11">
      <c r="A81" s="6">
        <f>+A78+1</f>
        <v>13</v>
      </c>
      <c r="B81" s="12" t="s">
        <v>81</v>
      </c>
      <c r="C81" s="10" t="str">
        <f>"(Line "&amp;A65&amp;" - Line "&amp;A73&amp;")"</f>
        <v>(Line 1 - Line 7)</v>
      </c>
      <c r="D81" s="35">
        <f>D65-D73</f>
        <v>0</v>
      </c>
      <c r="E81" s="22"/>
      <c r="F81" s="22"/>
      <c r="G81" s="59"/>
      <c r="H81" s="22"/>
      <c r="I81" s="35">
        <f>I65-I73</f>
        <v>0</v>
      </c>
      <c r="J81" s="10"/>
      <c r="K81" s="61"/>
    </row>
    <row r="82" spans="1:11">
      <c r="A82" s="6">
        <f>+A81+1</f>
        <v>14</v>
      </c>
      <c r="B82" s="12" t="s">
        <v>84</v>
      </c>
      <c r="C82" s="10" t="str">
        <f>"(Line "&amp;A66&amp;" - Line "&amp;A74&amp;")"</f>
        <v>(Line 2 - Line 8)</v>
      </c>
      <c r="D82" s="35">
        <f>D66-D74</f>
        <v>12278655.194358511</v>
      </c>
      <c r="E82" s="22"/>
      <c r="F82" s="22"/>
      <c r="G82" s="59"/>
      <c r="H82" s="22"/>
      <c r="I82" s="35">
        <f>I66-I74</f>
        <v>2856231.6294686934</v>
      </c>
      <c r="J82" s="10"/>
      <c r="K82" s="61"/>
    </row>
    <row r="83" spans="1:11">
      <c r="A83" s="6">
        <f>+A82+1</f>
        <v>15</v>
      </c>
      <c r="B83" s="12" t="s">
        <v>86</v>
      </c>
      <c r="C83" s="10" t="str">
        <f>"(Line "&amp;A67&amp;" - Line "&amp;A75&amp;")"</f>
        <v>(Line 3 - Line 9)</v>
      </c>
      <c r="D83" s="35">
        <f>D67-D75</f>
        <v>0</v>
      </c>
      <c r="E83" s="22"/>
      <c r="F83" s="22"/>
      <c r="G83" s="59"/>
      <c r="H83" s="22"/>
      <c r="I83" s="35">
        <f>I67-I75</f>
        <v>0</v>
      </c>
      <c r="J83" s="10"/>
      <c r="K83" s="61"/>
    </row>
    <row r="84" spans="1:11">
      <c r="A84" s="6">
        <f>+A83+1</f>
        <v>16</v>
      </c>
      <c r="B84" s="12" t="s">
        <v>88</v>
      </c>
      <c r="C84" s="10" t="str">
        <f>"(Line "&amp;A68&amp;" - Line "&amp;A76&amp;")"</f>
        <v>(Line 4 - Line 10)</v>
      </c>
      <c r="D84" s="35">
        <f>D68-D76</f>
        <v>0</v>
      </c>
      <c r="E84" s="22"/>
      <c r="F84" s="22"/>
      <c r="G84" s="59"/>
      <c r="H84" s="22"/>
      <c r="I84" s="35">
        <f>I68-I76</f>
        <v>0</v>
      </c>
      <c r="J84" s="10"/>
      <c r="K84" s="61"/>
    </row>
    <row r="85" spans="1:11" ht="13.5" thickBot="1">
      <c r="A85" s="6">
        <f>+A84+1</f>
        <v>17</v>
      </c>
      <c r="B85" s="12" t="s">
        <v>91</v>
      </c>
      <c r="C85" s="10" t="str">
        <f>"(Line "&amp;A69&amp;" - Line "&amp;A77&amp;")"</f>
        <v>(Line 5 - Line 11)</v>
      </c>
      <c r="D85" s="60">
        <f>D69-D77</f>
        <v>0</v>
      </c>
      <c r="E85" s="22"/>
      <c r="F85" s="22"/>
      <c r="G85" s="59"/>
      <c r="H85" s="22"/>
      <c r="I85" s="60">
        <f>I69-I77</f>
        <v>0</v>
      </c>
      <c r="J85" s="10"/>
      <c r="K85" s="61"/>
    </row>
    <row r="86" spans="1:11">
      <c r="A86" s="6">
        <f>+A85+1</f>
        <v>18</v>
      </c>
      <c r="B86" s="12" t="s">
        <v>106</v>
      </c>
      <c r="C86" s="10" t="s">
        <v>107</v>
      </c>
      <c r="D86" s="35">
        <f>SUM(D81:D85)</f>
        <v>12278655.194358511</v>
      </c>
      <c r="E86" s="22"/>
      <c r="F86" s="22" t="s">
        <v>108</v>
      </c>
      <c r="G86" s="59">
        <f>IF(I86&gt;0,I86/D86,0)</f>
        <v>0.23261762662583793</v>
      </c>
      <c r="H86" s="22"/>
      <c r="I86" s="35">
        <f>SUM(I81:I85)</f>
        <v>2856231.6294686934</v>
      </c>
      <c r="J86" s="10"/>
      <c r="K86" s="10"/>
    </row>
    <row r="87" spans="1:11">
      <c r="A87" s="6"/>
      <c r="B87" s="12"/>
      <c r="C87" s="10"/>
      <c r="D87" s="35"/>
      <c r="E87" s="22"/>
      <c r="F87" s="22"/>
      <c r="G87" s="59"/>
      <c r="H87" s="22"/>
      <c r="I87" s="35"/>
      <c r="J87" s="10"/>
      <c r="K87" s="10"/>
    </row>
    <row r="88" spans="1:11">
      <c r="A88" s="6" t="s">
        <v>109</v>
      </c>
      <c r="B88" s="33" t="s">
        <v>110</v>
      </c>
      <c r="C88" s="36" t="s">
        <v>111</v>
      </c>
      <c r="D88" s="35">
        <f>'4- Rate Base'!H23</f>
        <v>0</v>
      </c>
      <c r="E88" s="36"/>
      <c r="F88" s="36" t="s">
        <v>83</v>
      </c>
      <c r="G88" s="59">
        <v>0</v>
      </c>
      <c r="H88" s="36"/>
      <c r="I88" s="35">
        <f>+G88*D88</f>
        <v>0</v>
      </c>
      <c r="J88" s="10"/>
      <c r="K88" s="10"/>
    </row>
    <row r="89" spans="1:11">
      <c r="A89" s="6"/>
      <c r="B89" s="4"/>
      <c r="C89" s="10"/>
      <c r="D89" s="35"/>
      <c r="E89" s="10"/>
      <c r="F89" s="4"/>
      <c r="G89" s="59"/>
      <c r="H89" s="10"/>
      <c r="I89" s="35"/>
      <c r="J89" s="10"/>
      <c r="K89" s="61"/>
    </row>
    <row r="90" spans="1:11">
      <c r="A90" s="6"/>
      <c r="B90" s="5" t="s">
        <v>112</v>
      </c>
      <c r="C90" s="10"/>
      <c r="D90" s="35"/>
      <c r="E90" s="10"/>
      <c r="F90" s="10"/>
      <c r="G90" s="59"/>
      <c r="H90" s="10"/>
      <c r="I90" s="35"/>
      <c r="J90" s="10"/>
      <c r="K90" s="10"/>
    </row>
    <row r="91" spans="1:11">
      <c r="A91" s="6">
        <f>+A86+1</f>
        <v>19</v>
      </c>
      <c r="B91" s="12" t="s">
        <v>113</v>
      </c>
      <c r="C91" s="10"/>
      <c r="D91" s="35">
        <f>'4- Rate Base'!E42</f>
        <v>0</v>
      </c>
      <c r="E91" s="10"/>
      <c r="F91" s="10" t="s">
        <v>83</v>
      </c>
      <c r="G91" s="59" t="s">
        <v>114</v>
      </c>
      <c r="H91" s="22"/>
      <c r="I91" s="35">
        <v>0</v>
      </c>
      <c r="J91" s="10"/>
      <c r="K91" s="61"/>
    </row>
    <row r="92" spans="1:11">
      <c r="A92" s="6">
        <f>+A91+1</f>
        <v>20</v>
      </c>
      <c r="B92" s="12" t="s">
        <v>113</v>
      </c>
      <c r="C92" s="10"/>
      <c r="D92" s="35">
        <f>'4- Rate Base'!F42</f>
        <v>0</v>
      </c>
      <c r="E92" s="10"/>
      <c r="F92" s="10" t="s">
        <v>83</v>
      </c>
      <c r="G92" s="59" t="s">
        <v>114</v>
      </c>
      <c r="H92" s="22"/>
      <c r="I92" s="35">
        <v>0</v>
      </c>
      <c r="J92" s="10"/>
      <c r="K92" s="61"/>
    </row>
    <row r="93" spans="1:11">
      <c r="A93" s="6">
        <f>+A92+1</f>
        <v>21</v>
      </c>
      <c r="B93" s="12" t="s">
        <v>113</v>
      </c>
      <c r="C93" s="10"/>
      <c r="D93" s="35">
        <f>'4- Rate Base'!G42</f>
        <v>0</v>
      </c>
      <c r="E93" s="10"/>
      <c r="F93" s="10" t="s">
        <v>83</v>
      </c>
      <c r="G93" s="59" t="s">
        <v>114</v>
      </c>
      <c r="H93" s="22"/>
      <c r="I93" s="35">
        <v>0</v>
      </c>
      <c r="J93" s="10"/>
      <c r="K93" s="61"/>
    </row>
    <row r="94" spans="1:11">
      <c r="A94" s="6">
        <f>+A93+1</f>
        <v>22</v>
      </c>
      <c r="B94" s="12" t="s">
        <v>115</v>
      </c>
      <c r="C94" s="10" t="s">
        <v>116</v>
      </c>
      <c r="D94" s="35">
        <f>'8a-ADIT Projection'!H16</f>
        <v>-30705.936986301367</v>
      </c>
      <c r="E94" s="10"/>
      <c r="F94" s="10" t="s">
        <v>119</v>
      </c>
      <c r="G94" s="59">
        <f>G86</f>
        <v>0.23261762662583793</v>
      </c>
      <c r="H94" s="22"/>
      <c r="I94" s="35">
        <f>D94*G94</f>
        <v>-7142.7421850759583</v>
      </c>
      <c r="J94" s="10"/>
      <c r="K94" s="61"/>
    </row>
    <row r="95" spans="1:11">
      <c r="A95" s="6">
        <f>+A94+1</f>
        <v>23</v>
      </c>
      <c r="B95" s="4" t="s">
        <v>117</v>
      </c>
      <c r="C95" s="4" t="s">
        <v>118</v>
      </c>
      <c r="D95" s="35">
        <f>'4- Rate Base'!I42</f>
        <v>0</v>
      </c>
      <c r="E95" s="10"/>
      <c r="F95" s="10" t="s">
        <v>119</v>
      </c>
      <c r="G95" s="59">
        <f>+G86</f>
        <v>0.23261762662583793</v>
      </c>
      <c r="H95" s="22"/>
      <c r="I95" s="35">
        <f>D95*G95</f>
        <v>0</v>
      </c>
      <c r="J95" s="10"/>
      <c r="K95" s="61"/>
    </row>
    <row r="96" spans="1:11">
      <c r="A96" s="6" t="s">
        <v>120</v>
      </c>
      <c r="B96" s="33" t="s">
        <v>121</v>
      </c>
      <c r="C96" s="36" t="s">
        <v>122</v>
      </c>
      <c r="D96" s="35">
        <f>'4- Rate Base'!C42</f>
        <v>0</v>
      </c>
      <c r="E96" s="36"/>
      <c r="F96" s="10" t="s">
        <v>83</v>
      </c>
      <c r="G96" s="59">
        <v>0</v>
      </c>
      <c r="H96" s="36"/>
      <c r="I96" s="35">
        <f>+G96*D96</f>
        <v>0</v>
      </c>
      <c r="K96" s="61"/>
    </row>
    <row r="97" spans="1:11">
      <c r="A97" s="6" t="s">
        <v>123</v>
      </c>
      <c r="B97" s="33" t="s">
        <v>124</v>
      </c>
      <c r="C97" s="36" t="s">
        <v>125</v>
      </c>
      <c r="D97" s="35">
        <f>'4- Rate Base'!D42</f>
        <v>0</v>
      </c>
      <c r="E97" s="36"/>
      <c r="F97" s="10" t="s">
        <v>83</v>
      </c>
      <c r="G97" s="59">
        <v>0</v>
      </c>
      <c r="H97" s="36"/>
      <c r="I97" s="35">
        <f>+G97*D97</f>
        <v>0</v>
      </c>
      <c r="K97" s="61"/>
    </row>
    <row r="98" spans="1:11" ht="13.5" thickBot="1">
      <c r="A98" s="6" t="s">
        <v>126</v>
      </c>
      <c r="B98" s="33" t="s">
        <v>127</v>
      </c>
      <c r="C98" s="36" t="s">
        <v>128</v>
      </c>
      <c r="D98" s="60">
        <f>'4- Rate Base'!I59</f>
        <v>0</v>
      </c>
      <c r="E98" s="36"/>
      <c r="F98" s="10" t="s">
        <v>83</v>
      </c>
      <c r="G98" s="59">
        <v>0</v>
      </c>
      <c r="H98" s="36"/>
      <c r="I98" s="60">
        <f>+D98*G98</f>
        <v>0</v>
      </c>
      <c r="K98" s="61"/>
    </row>
    <row r="99" spans="1:11">
      <c r="A99" s="6">
        <v>24</v>
      </c>
      <c r="B99" s="12" t="s">
        <v>129</v>
      </c>
      <c r="C99" s="10" t="s">
        <v>130</v>
      </c>
      <c r="D99" s="35">
        <f>SUM(D91:D98)</f>
        <v>-30705.936986301367</v>
      </c>
      <c r="E99" s="10"/>
      <c r="F99" s="10"/>
      <c r="G99" s="59"/>
      <c r="H99" s="22"/>
      <c r="I99" s="35">
        <f>SUM(I91:I98)</f>
        <v>-7142.7421850759583</v>
      </c>
      <c r="J99" s="10"/>
      <c r="K99" s="10"/>
    </row>
    <row r="100" spans="1:11">
      <c r="A100" s="6"/>
      <c r="B100" s="4"/>
      <c r="C100" s="10"/>
      <c r="D100" s="35"/>
      <c r="E100" s="10"/>
      <c r="F100" s="10"/>
      <c r="G100" s="59"/>
      <c r="H100" s="10"/>
      <c r="I100" s="35"/>
      <c r="J100" s="10"/>
      <c r="K100" s="61"/>
    </row>
    <row r="101" spans="1:11">
      <c r="A101" s="6">
        <f>+A99+1</f>
        <v>25</v>
      </c>
      <c r="B101" s="5" t="s">
        <v>131</v>
      </c>
      <c r="C101" s="62" t="s">
        <v>132</v>
      </c>
      <c r="D101" s="35">
        <f>'4- Rate Base'!I23</f>
        <v>0</v>
      </c>
      <c r="E101" s="10"/>
      <c r="F101" s="10" t="s">
        <v>24</v>
      </c>
      <c r="G101" s="59">
        <f>+G74</f>
        <v>0.23261762662583793</v>
      </c>
      <c r="H101" s="22"/>
      <c r="I101" s="35">
        <f>+G101*D101</f>
        <v>0</v>
      </c>
      <c r="J101" s="10"/>
      <c r="K101" s="10"/>
    </row>
    <row r="102" spans="1:11">
      <c r="A102" s="6"/>
      <c r="B102" s="12"/>
      <c r="C102" s="10"/>
      <c r="D102" s="35"/>
      <c r="E102" s="10"/>
      <c r="F102" s="10"/>
      <c r="G102" s="59"/>
      <c r="H102" s="22"/>
      <c r="I102" s="35"/>
      <c r="J102" s="10"/>
      <c r="K102" s="10"/>
    </row>
    <row r="103" spans="1:11">
      <c r="A103" s="6"/>
      <c r="B103" s="12" t="s">
        <v>133</v>
      </c>
      <c r="C103" s="10" t="s">
        <v>134</v>
      </c>
      <c r="D103" s="35"/>
      <c r="E103" s="10"/>
      <c r="F103" s="10"/>
      <c r="G103" s="59"/>
      <c r="H103" s="22"/>
      <c r="I103" s="35"/>
      <c r="J103" s="10"/>
      <c r="K103" s="10"/>
    </row>
    <row r="104" spans="1:11">
      <c r="A104" s="6">
        <f>+A101+1</f>
        <v>26</v>
      </c>
      <c r="B104" s="12" t="s">
        <v>135</v>
      </c>
      <c r="C104" s="4" t="s">
        <v>136</v>
      </c>
      <c r="D104" s="35">
        <f>(D138-D135)/8</f>
        <v>800092.72625673236</v>
      </c>
      <c r="E104" s="10"/>
      <c r="F104" s="10"/>
      <c r="G104" s="59"/>
      <c r="H104" s="22"/>
      <c r="I104" s="35">
        <f>(I138-I135)/8</f>
        <v>186115.67106243729</v>
      </c>
      <c r="J104" s="12"/>
      <c r="K104" s="61"/>
    </row>
    <row r="105" spans="1:11">
      <c r="A105" s="6">
        <f>+A104+1</f>
        <v>27</v>
      </c>
      <c r="B105" s="12" t="s">
        <v>137</v>
      </c>
      <c r="C105" s="62" t="s">
        <v>138</v>
      </c>
      <c r="D105" s="35">
        <f>'4- Rate Base'!J23</f>
        <v>0</v>
      </c>
      <c r="E105" s="10"/>
      <c r="F105" s="10" t="s">
        <v>24</v>
      </c>
      <c r="G105" s="59">
        <f>+G122</f>
        <v>0.23261762662583793</v>
      </c>
      <c r="H105" s="22"/>
      <c r="I105" s="35">
        <f>+G105*D105</f>
        <v>0</v>
      </c>
      <c r="J105" s="10" t="s">
        <v>9</v>
      </c>
      <c r="K105" s="61"/>
    </row>
    <row r="106" spans="1:11" ht="13.5" thickBot="1">
      <c r="A106" s="6">
        <f>+A105+1</f>
        <v>28</v>
      </c>
      <c r="B106" s="12" t="s">
        <v>139</v>
      </c>
      <c r="C106" s="22" t="s">
        <v>140</v>
      </c>
      <c r="D106" s="60">
        <f>'4- Rate Base'!K23</f>
        <v>1500000</v>
      </c>
      <c r="E106" s="10"/>
      <c r="F106" s="10" t="s">
        <v>141</v>
      </c>
      <c r="G106" s="59">
        <f>+G70</f>
        <v>0.23261762662583793</v>
      </c>
      <c r="H106" s="22"/>
      <c r="I106" s="60">
        <f>+G106*D106</f>
        <v>348926.43993875687</v>
      </c>
      <c r="J106" s="10"/>
      <c r="K106" s="61"/>
    </row>
    <row r="107" spans="1:11">
      <c r="A107" s="6">
        <f>+A106+1</f>
        <v>29</v>
      </c>
      <c r="B107" s="12" t="s">
        <v>142</v>
      </c>
      <c r="C107" s="12" t="s">
        <v>143</v>
      </c>
      <c r="D107" s="35">
        <f>SUM(D104:D106)</f>
        <v>2300092.7262567324</v>
      </c>
      <c r="E107" s="12"/>
      <c r="F107" s="12"/>
      <c r="G107" s="1"/>
      <c r="H107" s="1"/>
      <c r="I107" s="35">
        <f>I104+I105+I106</f>
        <v>535042.11100119422</v>
      </c>
      <c r="J107" s="12"/>
      <c r="K107" s="12"/>
    </row>
    <row r="108" spans="1:11" ht="13.5" thickBot="1">
      <c r="A108" s="6"/>
      <c r="B108" s="4"/>
      <c r="C108" s="10"/>
      <c r="D108" s="60"/>
      <c r="E108" s="10"/>
      <c r="F108" s="10"/>
      <c r="G108" s="10"/>
      <c r="H108" s="10"/>
      <c r="I108" s="60"/>
      <c r="J108" s="10"/>
      <c r="K108" s="10"/>
    </row>
    <row r="109" spans="1:11" ht="13.5" thickBot="1">
      <c r="A109" s="6">
        <f>+A107+1</f>
        <v>30</v>
      </c>
      <c r="B109" s="12" t="s">
        <v>144</v>
      </c>
      <c r="C109" s="10" t="s">
        <v>145</v>
      </c>
      <c r="D109" s="66">
        <f>+D107+D101+D99+D86+D88</f>
        <v>14548041.983628942</v>
      </c>
      <c r="E109" s="22"/>
      <c r="F109" s="22"/>
      <c r="G109" s="65"/>
      <c r="H109" s="22"/>
      <c r="I109" s="66">
        <f>+I107+I101+I99+I86+I88</f>
        <v>3384130.9982848116</v>
      </c>
      <c r="J109" s="10"/>
      <c r="K109" s="61"/>
    </row>
    <row r="110" spans="1:11" ht="13.5" thickTop="1">
      <c r="A110" s="6"/>
      <c r="B110" s="12"/>
      <c r="C110" s="10"/>
      <c r="D110" s="22"/>
      <c r="E110" s="22"/>
      <c r="F110" s="22"/>
      <c r="G110" s="65"/>
      <c r="H110" s="22"/>
      <c r="I110" s="22"/>
      <c r="J110" s="10"/>
      <c r="K110" s="61"/>
    </row>
    <row r="111" spans="1:11">
      <c r="A111" s="6"/>
      <c r="B111" s="12"/>
      <c r="C111" s="10"/>
      <c r="D111" s="22"/>
      <c r="E111" s="22"/>
      <c r="F111" s="22"/>
      <c r="G111" s="65"/>
      <c r="H111" s="22"/>
      <c r="I111" s="22"/>
      <c r="J111" s="10"/>
      <c r="K111" s="61"/>
    </row>
    <row r="112" spans="1:11">
      <c r="A112" s="6"/>
      <c r="B112" s="12"/>
      <c r="C112" s="10"/>
      <c r="D112" s="10"/>
      <c r="E112" s="10"/>
      <c r="F112" s="10"/>
      <c r="G112" s="10"/>
      <c r="H112" s="10"/>
      <c r="I112" s="10"/>
      <c r="J112" s="10"/>
      <c r="K112" s="51" t="str">
        <f>$K$1</f>
        <v>Attachment 9A-GLH</v>
      </c>
    </row>
    <row r="113" spans="1:11">
      <c r="A113" s="6"/>
      <c r="B113" s="12"/>
      <c r="C113" s="10"/>
      <c r="D113" s="10"/>
      <c r="E113" s="10"/>
      <c r="F113" s="10"/>
      <c r="G113" s="10"/>
      <c r="H113" s="10"/>
      <c r="I113" s="10"/>
      <c r="J113" s="10"/>
      <c r="K113" s="51" t="s">
        <v>146</v>
      </c>
    </row>
    <row r="114" spans="1:11">
      <c r="A114" s="6"/>
      <c r="B114" s="12" t="s">
        <v>2</v>
      </c>
      <c r="C114" s="10"/>
      <c r="D114" s="6" t="str">
        <f>$D$3</f>
        <v>Non-MISO Rate Formula Template</v>
      </c>
      <c r="E114" s="10"/>
      <c r="F114" s="10"/>
      <c r="G114" s="10"/>
      <c r="H114" s="10"/>
      <c r="I114" s="1"/>
      <c r="J114" s="10"/>
      <c r="K114" s="67" t="str">
        <f>K3</f>
        <v>For the 12 months ended 12/31/2020</v>
      </c>
    </row>
    <row r="115" spans="1:11">
      <c r="A115" s="6"/>
      <c r="B115" s="12"/>
      <c r="C115" s="10"/>
      <c r="D115" s="11" t="s">
        <v>4</v>
      </c>
      <c r="E115" s="10"/>
      <c r="F115" s="10"/>
      <c r="G115" s="10"/>
      <c r="H115" s="10"/>
      <c r="I115" s="10"/>
      <c r="J115" s="10"/>
      <c r="K115" s="10"/>
    </row>
    <row r="116" spans="1:11">
      <c r="A116" s="6"/>
      <c r="B116" s="4"/>
      <c r="C116" s="10"/>
      <c r="D116" s="11" t="str">
        <f>+D58</f>
        <v>GridLiance Heartland LLC</v>
      </c>
      <c r="E116" s="10"/>
      <c r="F116" s="10"/>
      <c r="G116" s="10"/>
      <c r="H116" s="10"/>
      <c r="I116" s="10"/>
      <c r="J116" s="10"/>
      <c r="K116" s="10"/>
    </row>
    <row r="117" spans="1:11">
      <c r="A117" s="730"/>
      <c r="B117" s="730"/>
      <c r="C117" s="730"/>
      <c r="D117" s="730"/>
      <c r="E117" s="730"/>
      <c r="F117" s="730"/>
      <c r="G117" s="730"/>
      <c r="H117" s="730"/>
      <c r="I117" s="730"/>
      <c r="J117" s="730"/>
      <c r="K117" s="730"/>
    </row>
    <row r="118" spans="1:11">
      <c r="A118" s="6"/>
      <c r="B118" s="593" t="s">
        <v>6</v>
      </c>
      <c r="C118" s="593" t="s">
        <v>7</v>
      </c>
      <c r="D118" s="593" t="s">
        <v>8</v>
      </c>
      <c r="E118" s="10" t="s">
        <v>9</v>
      </c>
      <c r="F118" s="10"/>
      <c r="G118" s="16" t="s">
        <v>10</v>
      </c>
      <c r="H118" s="10"/>
      <c r="I118" s="16" t="s">
        <v>11</v>
      </c>
      <c r="J118" s="10"/>
      <c r="K118" s="10"/>
    </row>
    <row r="119" spans="1:11">
      <c r="A119" s="6" t="s">
        <v>12</v>
      </c>
      <c r="B119" s="12"/>
      <c r="C119" s="54"/>
      <c r="D119" s="10"/>
      <c r="E119" s="10"/>
      <c r="F119" s="10"/>
      <c r="G119" s="6"/>
      <c r="H119" s="10"/>
      <c r="I119" s="55" t="s">
        <v>75</v>
      </c>
      <c r="J119" s="10"/>
      <c r="K119" s="55"/>
    </row>
    <row r="120" spans="1:11" ht="13.5" thickBot="1">
      <c r="A120" s="18" t="s">
        <v>14</v>
      </c>
      <c r="B120" s="12"/>
      <c r="C120" s="56" t="s">
        <v>15</v>
      </c>
      <c r="D120" s="55" t="s">
        <v>76</v>
      </c>
      <c r="E120" s="57"/>
      <c r="F120" s="55" t="s">
        <v>77</v>
      </c>
      <c r="G120" s="4"/>
      <c r="H120" s="57"/>
      <c r="I120" s="6" t="s">
        <v>78</v>
      </c>
      <c r="J120" s="10"/>
      <c r="K120" s="55"/>
    </row>
    <row r="121" spans="1:11">
      <c r="A121" s="6"/>
      <c r="B121" s="12" t="s">
        <v>147</v>
      </c>
      <c r="C121" s="10" t="s">
        <v>148</v>
      </c>
      <c r="D121" s="10"/>
      <c r="E121" s="10"/>
      <c r="F121" s="10"/>
      <c r="G121" s="10"/>
      <c r="H121" s="10"/>
      <c r="I121" s="10"/>
      <c r="J121" s="10"/>
      <c r="K121" s="10"/>
    </row>
    <row r="122" spans="1:11">
      <c r="A122" s="6">
        <v>1</v>
      </c>
      <c r="B122" s="12" t="s">
        <v>149</v>
      </c>
      <c r="C122" s="10" t="s">
        <v>150</v>
      </c>
      <c r="D122" s="35">
        <f>'5-P3 Support'!C22</f>
        <v>3113156.0784874111</v>
      </c>
      <c r="E122" s="10"/>
      <c r="F122" s="10" t="s">
        <v>24</v>
      </c>
      <c r="G122" s="59">
        <f>+I209</f>
        <v>0.23261762662583793</v>
      </c>
      <c r="H122" s="22"/>
      <c r="I122" s="35">
        <f t="shared" ref="I122:I133" si="0">+G122*D122</f>
        <v>724174.9782935424</v>
      </c>
      <c r="J122" s="12"/>
      <c r="K122" s="10"/>
    </row>
    <row r="123" spans="1:11" ht="12" customHeight="1">
      <c r="A123" s="609" t="s">
        <v>151</v>
      </c>
      <c r="B123" s="604" t="s">
        <v>1004</v>
      </c>
      <c r="C123" s="10" t="s">
        <v>152</v>
      </c>
      <c r="D123" s="35">
        <f>'5-P3 Support'!N22</f>
        <v>844417.99999999988</v>
      </c>
      <c r="E123" s="36"/>
      <c r="F123" s="36" t="str">
        <f>+F122</f>
        <v>TP</v>
      </c>
      <c r="G123" s="59">
        <f>+G122</f>
        <v>0.23261762662583793</v>
      </c>
      <c r="H123" s="36"/>
      <c r="I123" s="35">
        <f t="shared" si="0"/>
        <v>196426.5110401368</v>
      </c>
      <c r="K123" s="10"/>
    </row>
    <row r="124" spans="1:11">
      <c r="A124" s="32" t="s">
        <v>153</v>
      </c>
      <c r="B124" s="39" t="s">
        <v>154</v>
      </c>
      <c r="C124" s="10" t="s">
        <v>155</v>
      </c>
      <c r="D124" s="35">
        <f>'5-P3 Support'!D22</f>
        <v>0</v>
      </c>
      <c r="E124" s="36"/>
      <c r="F124" s="36" t="str">
        <f>+F123</f>
        <v>TP</v>
      </c>
      <c r="G124" s="59">
        <f>+G123</f>
        <v>0.23261762662583793</v>
      </c>
      <c r="H124" s="36"/>
      <c r="I124" s="35">
        <f t="shared" si="0"/>
        <v>0</v>
      </c>
      <c r="K124" s="10"/>
    </row>
    <row r="125" spans="1:11">
      <c r="A125" s="32">
        <v>2</v>
      </c>
      <c r="B125" s="12" t="s">
        <v>156</v>
      </c>
      <c r="C125" s="10" t="s">
        <v>157</v>
      </c>
      <c r="D125" s="35">
        <f>'5-P3 Support'!E22</f>
        <v>0</v>
      </c>
      <c r="E125" s="10"/>
      <c r="F125" s="10" t="str">
        <f>+F123</f>
        <v>TP</v>
      </c>
      <c r="G125" s="59">
        <f>+G124</f>
        <v>0.23261762662583793</v>
      </c>
      <c r="H125" s="22"/>
      <c r="I125" s="35">
        <f t="shared" si="0"/>
        <v>0</v>
      </c>
      <c r="J125" s="12"/>
      <c r="K125" s="10"/>
    </row>
    <row r="126" spans="1:11">
      <c r="A126" s="32">
        <f>+A125+1</f>
        <v>3</v>
      </c>
      <c r="B126" s="12" t="s">
        <v>158</v>
      </c>
      <c r="C126" s="10" t="s">
        <v>159</v>
      </c>
      <c r="D126" s="35">
        <f>'5-P3 Support'!F22-D149</f>
        <v>4132003.7315664473</v>
      </c>
      <c r="E126" s="10"/>
      <c r="F126" s="10" t="s">
        <v>90</v>
      </c>
      <c r="G126" s="59">
        <f>+I217</f>
        <v>0.23261762662583793</v>
      </c>
      <c r="H126" s="22"/>
      <c r="I126" s="35">
        <f t="shared" si="0"/>
        <v>961176.90124609286</v>
      </c>
      <c r="J126" s="10"/>
      <c r="K126" s="10" t="s">
        <v>9</v>
      </c>
    </row>
    <row r="127" spans="1:11">
      <c r="A127" s="32">
        <f>+A126+1</f>
        <v>4</v>
      </c>
      <c r="B127" s="12" t="s">
        <v>160</v>
      </c>
      <c r="C127" s="10" t="s">
        <v>161</v>
      </c>
      <c r="D127" s="35">
        <f>'5-P3 Support'!G22</f>
        <v>0</v>
      </c>
      <c r="E127" s="10"/>
      <c r="F127" s="10" t="s">
        <v>90</v>
      </c>
      <c r="G127" s="59">
        <f>+G126</f>
        <v>0.23261762662583793</v>
      </c>
      <c r="H127" s="22"/>
      <c r="I127" s="35">
        <f t="shared" si="0"/>
        <v>0</v>
      </c>
      <c r="J127" s="10"/>
      <c r="K127" s="10"/>
    </row>
    <row r="128" spans="1:11">
      <c r="A128" s="32">
        <f>+A127+1</f>
        <v>5</v>
      </c>
      <c r="B128" s="12" t="s">
        <v>162</v>
      </c>
      <c r="C128" s="10" t="s">
        <v>163</v>
      </c>
      <c r="D128" s="35">
        <f>'5-P3 Support'!H22</f>
        <v>0</v>
      </c>
      <c r="E128" s="10"/>
      <c r="F128" s="10" t="s">
        <v>90</v>
      </c>
      <c r="G128" s="59">
        <f>+G127</f>
        <v>0.23261762662583793</v>
      </c>
      <c r="H128" s="22"/>
      <c r="I128" s="35">
        <f t="shared" si="0"/>
        <v>0</v>
      </c>
      <c r="J128" s="10"/>
      <c r="K128" s="10"/>
    </row>
    <row r="129" spans="1:11">
      <c r="A129" s="32" t="s">
        <v>164</v>
      </c>
      <c r="B129" s="12" t="s">
        <v>165</v>
      </c>
      <c r="C129" s="10" t="s">
        <v>166</v>
      </c>
      <c r="D129" s="35">
        <f>'5-P3 Support'!I22</f>
        <v>0</v>
      </c>
      <c r="E129" s="10"/>
      <c r="F129" s="68" t="s">
        <v>24</v>
      </c>
      <c r="G129" s="59">
        <f>+G122</f>
        <v>0.23261762662583793</v>
      </c>
      <c r="H129" s="22"/>
      <c r="I129" s="35">
        <f t="shared" si="0"/>
        <v>0</v>
      </c>
      <c r="J129" s="10"/>
      <c r="K129" s="10"/>
    </row>
    <row r="130" spans="1:11" s="72" customFormat="1">
      <c r="A130" s="32" t="s">
        <v>167</v>
      </c>
      <c r="B130" s="12" t="s">
        <v>168</v>
      </c>
      <c r="C130" s="10" t="s">
        <v>169</v>
      </c>
      <c r="D130" s="69">
        <f>'7 - PBOP'!D13</f>
        <v>0</v>
      </c>
      <c r="E130" s="70"/>
      <c r="F130" s="10" t="str">
        <f>+F128</f>
        <v>W/S</v>
      </c>
      <c r="G130" s="59">
        <f>+G128</f>
        <v>0.23261762662583793</v>
      </c>
      <c r="H130" s="71"/>
      <c r="I130" s="35">
        <f t="shared" si="0"/>
        <v>0</v>
      </c>
      <c r="J130" s="70"/>
      <c r="K130" s="70"/>
    </row>
    <row r="131" spans="1:11" s="72" customFormat="1">
      <c r="A131" s="32" t="s">
        <v>170</v>
      </c>
      <c r="B131" s="12" t="s">
        <v>171</v>
      </c>
      <c r="C131" s="10" t="s">
        <v>172</v>
      </c>
      <c r="D131" s="69">
        <f>'7 - PBOP'!D16</f>
        <v>0</v>
      </c>
      <c r="E131" s="70"/>
      <c r="F131" s="68" t="str">
        <f>+F128</f>
        <v>W/S</v>
      </c>
      <c r="G131" s="59">
        <f>+G128</f>
        <v>0.23261762662583793</v>
      </c>
      <c r="H131" s="71"/>
      <c r="I131" s="35">
        <f t="shared" si="0"/>
        <v>0</v>
      </c>
      <c r="J131" s="70"/>
      <c r="K131" s="70"/>
    </row>
    <row r="132" spans="1:11">
      <c r="A132" s="32">
        <v>6</v>
      </c>
      <c r="B132" s="12" t="s">
        <v>91</v>
      </c>
      <c r="C132" s="10" t="s">
        <v>173</v>
      </c>
      <c r="D132" s="73">
        <v>0</v>
      </c>
      <c r="E132" s="10"/>
      <c r="F132" s="10" t="s">
        <v>93</v>
      </c>
      <c r="G132" s="59">
        <f>+G77</f>
        <v>0.23261762662583793</v>
      </c>
      <c r="H132" s="22"/>
      <c r="I132" s="35">
        <f t="shared" si="0"/>
        <v>0</v>
      </c>
      <c r="J132" s="10"/>
      <c r="K132" s="10"/>
    </row>
    <row r="133" spans="1:11">
      <c r="A133" s="32">
        <f>+A132+1</f>
        <v>7</v>
      </c>
      <c r="B133" s="12" t="s">
        <v>174</v>
      </c>
      <c r="C133" s="10" t="s">
        <v>175</v>
      </c>
      <c r="D133" s="35">
        <f>'5-P3 Support'!J22</f>
        <v>0</v>
      </c>
      <c r="E133" s="10"/>
      <c r="F133" s="35" t="s">
        <v>83</v>
      </c>
      <c r="G133" s="59">
        <v>0</v>
      </c>
      <c r="H133" s="22"/>
      <c r="I133" s="35">
        <f t="shared" si="0"/>
        <v>0</v>
      </c>
      <c r="J133" s="10"/>
      <c r="K133" s="10"/>
    </row>
    <row r="134" spans="1:11">
      <c r="A134" s="32" t="s">
        <v>176</v>
      </c>
      <c r="B134" s="33" t="s">
        <v>177</v>
      </c>
      <c r="C134" s="36"/>
      <c r="D134" s="35"/>
      <c r="E134" s="36"/>
      <c r="F134" s="36"/>
      <c r="G134" s="59"/>
      <c r="H134" s="36"/>
      <c r="I134" s="35"/>
      <c r="K134" s="10"/>
    </row>
    <row r="135" spans="1:11">
      <c r="A135" s="32" t="s">
        <v>178</v>
      </c>
      <c r="B135" s="33" t="s">
        <v>179</v>
      </c>
      <c r="C135" s="36" t="s">
        <v>180</v>
      </c>
      <c r="D135" s="35">
        <f>'5-P3 Support'!K22</f>
        <v>0</v>
      </c>
      <c r="E135" s="36"/>
      <c r="F135" s="35" t="s">
        <v>83</v>
      </c>
      <c r="G135" s="59">
        <v>0</v>
      </c>
      <c r="H135" s="36"/>
      <c r="I135" s="35">
        <f>+G135*D135</f>
        <v>0</v>
      </c>
      <c r="K135" s="10"/>
    </row>
    <row r="136" spans="1:11">
      <c r="A136" s="32" t="s">
        <v>181</v>
      </c>
      <c r="B136" s="33" t="s">
        <v>182</v>
      </c>
      <c r="C136" s="10" t="s">
        <v>183</v>
      </c>
      <c r="D136" s="35">
        <f>'5-P3 Support'!L22</f>
        <v>0</v>
      </c>
      <c r="E136" s="36"/>
      <c r="F136" s="36" t="s">
        <v>24</v>
      </c>
      <c r="G136" s="59">
        <f>+G122</f>
        <v>0.23261762662583793</v>
      </c>
      <c r="H136" s="36"/>
      <c r="I136" s="35">
        <f>+G136*D136</f>
        <v>0</v>
      </c>
      <c r="K136" s="10"/>
    </row>
    <row r="137" spans="1:11" ht="13.5" thickBot="1">
      <c r="A137" s="32" t="s">
        <v>184</v>
      </c>
      <c r="B137" s="33" t="s">
        <v>185</v>
      </c>
      <c r="C137" s="36" t="s">
        <v>186</v>
      </c>
      <c r="D137" s="60">
        <f>SUM(D135:D136)</f>
        <v>0</v>
      </c>
      <c r="E137" s="36"/>
      <c r="F137" s="36"/>
      <c r="G137" s="59"/>
      <c r="H137" s="36"/>
      <c r="I137" s="60">
        <f>SUM(I135:I136)</f>
        <v>0</v>
      </c>
      <c r="K137" s="10"/>
    </row>
    <row r="138" spans="1:11">
      <c r="A138" s="32">
        <v>8</v>
      </c>
      <c r="B138" s="74" t="s">
        <v>187</v>
      </c>
      <c r="C138" s="75" t="s">
        <v>188</v>
      </c>
      <c r="D138" s="35">
        <f>+D122-D125-D123+D126-D127-D128-D130+D129+D131+D132+D133+D137-D124</f>
        <v>6400741.8100538589</v>
      </c>
      <c r="E138" s="35"/>
      <c r="F138" s="35"/>
      <c r="G138" s="59"/>
      <c r="H138" s="35"/>
      <c r="I138" s="35">
        <f>+I122-I125-I123+I126-I127-I128-I130+I129+I131+I132+I133+I137-I124</f>
        <v>1488925.3684994983</v>
      </c>
      <c r="J138" s="10"/>
      <c r="K138" s="10"/>
    </row>
    <row r="139" spans="1:11">
      <c r="A139" s="32"/>
      <c r="B139" s="4"/>
      <c r="C139" s="10"/>
      <c r="D139" s="35"/>
      <c r="E139" s="35"/>
      <c r="F139" s="35"/>
      <c r="G139" s="59"/>
      <c r="H139" s="35"/>
      <c r="I139" s="35"/>
      <c r="J139" s="10"/>
      <c r="K139" s="10"/>
    </row>
    <row r="140" spans="1:11">
      <c r="A140" s="32"/>
      <c r="B140" s="12" t="s">
        <v>189</v>
      </c>
      <c r="C140" s="10" t="s">
        <v>190</v>
      </c>
      <c r="D140" s="35"/>
      <c r="E140" s="35"/>
      <c r="F140" s="35"/>
      <c r="G140" s="59"/>
      <c r="H140" s="35"/>
      <c r="I140" s="35"/>
      <c r="J140" s="10"/>
      <c r="K140" s="10"/>
    </row>
    <row r="141" spans="1:11">
      <c r="A141" s="32">
        <v>9</v>
      </c>
      <c r="B141" s="12" t="s">
        <v>149</v>
      </c>
      <c r="C141" s="62" t="s">
        <v>191</v>
      </c>
      <c r="D141" s="35">
        <f>'5-P3 Support'!M22</f>
        <v>488269.21141922707</v>
      </c>
      <c r="E141" s="35"/>
      <c r="F141" s="35" t="s">
        <v>24</v>
      </c>
      <c r="G141" s="59">
        <f>+G101</f>
        <v>0.23261762662583793</v>
      </c>
      <c r="H141" s="35"/>
      <c r="I141" s="35">
        <f>+G141*D141</f>
        <v>113580.02511481008</v>
      </c>
      <c r="J141" s="10"/>
      <c r="K141" s="61"/>
    </row>
    <row r="142" spans="1:11">
      <c r="A142" s="32">
        <f>+A141+1</f>
        <v>10</v>
      </c>
      <c r="B142" s="76" t="s">
        <v>88</v>
      </c>
      <c r="C142" s="62" t="s">
        <v>192</v>
      </c>
      <c r="D142" s="35">
        <f>'5-P3 Support'!C41</f>
        <v>0</v>
      </c>
      <c r="E142" s="35"/>
      <c r="F142" s="35" t="s">
        <v>90</v>
      </c>
      <c r="G142" s="59">
        <f>+G126</f>
        <v>0.23261762662583793</v>
      </c>
      <c r="H142" s="35"/>
      <c r="I142" s="35">
        <f>+G142*D142</f>
        <v>0</v>
      </c>
      <c r="J142" s="10"/>
      <c r="K142" s="61"/>
    </row>
    <row r="143" spans="1:11">
      <c r="A143" s="32">
        <f>+A142+1</f>
        <v>11</v>
      </c>
      <c r="B143" s="12" t="s">
        <v>91</v>
      </c>
      <c r="C143" s="62" t="s">
        <v>193</v>
      </c>
      <c r="D143" s="35">
        <f>'5-P3 Support'!N41</f>
        <v>0</v>
      </c>
      <c r="E143" s="35"/>
      <c r="F143" s="35" t="s">
        <v>93</v>
      </c>
      <c r="G143" s="59">
        <f>+G132</f>
        <v>0.23261762662583793</v>
      </c>
      <c r="H143" s="35"/>
      <c r="I143" s="35">
        <f>+G143*D143</f>
        <v>0</v>
      </c>
      <c r="J143" s="10"/>
      <c r="K143" s="61"/>
    </row>
    <row r="144" spans="1:11" ht="13.5" thickBot="1">
      <c r="A144" s="32" t="s">
        <v>194</v>
      </c>
      <c r="B144" s="33" t="s">
        <v>195</v>
      </c>
      <c r="C144" s="23" t="s">
        <v>196</v>
      </c>
      <c r="D144" s="60">
        <f>'5-P3 Support'!D41</f>
        <v>0</v>
      </c>
      <c r="E144" s="35"/>
      <c r="F144" s="35" t="s">
        <v>83</v>
      </c>
      <c r="G144" s="59">
        <v>0</v>
      </c>
      <c r="H144" s="35"/>
      <c r="I144" s="60">
        <f>+G144*D144</f>
        <v>0</v>
      </c>
      <c r="J144" s="10"/>
      <c r="K144" s="61"/>
    </row>
    <row r="145" spans="1:11">
      <c r="A145" s="32">
        <v>12</v>
      </c>
      <c r="B145" s="12" t="s">
        <v>197</v>
      </c>
      <c r="C145" s="10" t="s">
        <v>198</v>
      </c>
      <c r="D145" s="35">
        <f>SUM(D141:D144)</f>
        <v>488269.21141922707</v>
      </c>
      <c r="E145" s="35"/>
      <c r="F145" s="35"/>
      <c r="G145" s="59"/>
      <c r="H145" s="35"/>
      <c r="I145" s="35">
        <f>SUM(I141:I144)</f>
        <v>113580.02511481008</v>
      </c>
      <c r="J145" s="10"/>
      <c r="K145" s="10"/>
    </row>
    <row r="146" spans="1:11">
      <c r="A146" s="32"/>
      <c r="B146" s="12"/>
      <c r="C146" s="10"/>
      <c r="D146" s="35"/>
      <c r="E146" s="35"/>
      <c r="F146" s="35"/>
      <c r="G146" s="59"/>
      <c r="H146" s="35"/>
      <c r="I146" s="35"/>
      <c r="J146" s="10"/>
      <c r="K146" s="10"/>
    </row>
    <row r="147" spans="1:11">
      <c r="A147" s="32"/>
      <c r="B147" s="12" t="s">
        <v>199</v>
      </c>
      <c r="C147" s="4" t="s">
        <v>200</v>
      </c>
      <c r="D147" s="35"/>
      <c r="E147" s="35"/>
      <c r="F147" s="35"/>
      <c r="G147" s="59"/>
      <c r="H147" s="35"/>
      <c r="I147" s="35"/>
      <c r="J147" s="10"/>
      <c r="K147" s="10"/>
    </row>
    <row r="148" spans="1:11">
      <c r="A148" s="32"/>
      <c r="B148" s="12" t="s">
        <v>201</v>
      </c>
      <c r="C148" s="4"/>
      <c r="D148" s="35"/>
      <c r="E148" s="35"/>
      <c r="F148" s="35"/>
      <c r="G148" s="59"/>
      <c r="H148" s="35"/>
      <c r="I148" s="35"/>
      <c r="J148" s="10"/>
      <c r="K148" s="61"/>
    </row>
    <row r="149" spans="1:11">
      <c r="A149" s="32">
        <f>+A145+1</f>
        <v>13</v>
      </c>
      <c r="B149" s="12" t="s">
        <v>202</v>
      </c>
      <c r="C149" s="10" t="s">
        <v>203</v>
      </c>
      <c r="D149" s="35">
        <f>'5-P3 Support'!E41</f>
        <v>0</v>
      </c>
      <c r="E149" s="35"/>
      <c r="F149" s="35" t="s">
        <v>90</v>
      </c>
      <c r="G149" s="59">
        <f>+G142</f>
        <v>0.23261762662583793</v>
      </c>
      <c r="H149" s="35"/>
      <c r="I149" s="35">
        <f>+G149*D149</f>
        <v>0</v>
      </c>
      <c r="J149" s="10"/>
      <c r="K149" s="61"/>
    </row>
    <row r="150" spans="1:11">
      <c r="A150" s="32">
        <f t="shared" ref="A150:A156" si="1">+A149+1</f>
        <v>14</v>
      </c>
      <c r="B150" s="12" t="s">
        <v>204</v>
      </c>
      <c r="C150" s="10" t="s">
        <v>205</v>
      </c>
      <c r="D150" s="35">
        <f>'5-P3 Support'!F41</f>
        <v>0</v>
      </c>
      <c r="E150" s="35"/>
      <c r="F150" s="35" t="s">
        <v>90</v>
      </c>
      <c r="G150" s="59">
        <f>+G149</f>
        <v>0.23261762662583793</v>
      </c>
      <c r="H150" s="35"/>
      <c r="I150" s="35">
        <f>+G150*D150</f>
        <v>0</v>
      </c>
      <c r="J150" s="10"/>
      <c r="K150" s="61"/>
    </row>
    <row r="151" spans="1:11">
      <c r="A151" s="32">
        <f t="shared" si="1"/>
        <v>15</v>
      </c>
      <c r="B151" s="12" t="s">
        <v>206</v>
      </c>
      <c r="C151" s="10" t="s">
        <v>9</v>
      </c>
      <c r="D151" s="35"/>
      <c r="E151" s="35"/>
      <c r="F151" s="35"/>
      <c r="G151" s="59"/>
      <c r="H151" s="35"/>
      <c r="I151" s="35"/>
      <c r="J151" s="10"/>
      <c r="K151" s="61"/>
    </row>
    <row r="152" spans="1:11">
      <c r="A152" s="32">
        <f t="shared" si="1"/>
        <v>16</v>
      </c>
      <c r="B152" s="12" t="s">
        <v>207</v>
      </c>
      <c r="C152" s="10" t="s">
        <v>208</v>
      </c>
      <c r="D152" s="35">
        <f>'5-P3 Support'!G41</f>
        <v>434115.45933297253</v>
      </c>
      <c r="E152" s="35"/>
      <c r="F152" s="35" t="s">
        <v>141</v>
      </c>
      <c r="G152" s="59">
        <f>+G70</f>
        <v>0.23261762662583793</v>
      </c>
      <c r="H152" s="35"/>
      <c r="I152" s="35">
        <f>+G152*D152</f>
        <v>100982.90783162153</v>
      </c>
      <c r="J152" s="10"/>
      <c r="K152" s="61"/>
    </row>
    <row r="153" spans="1:11">
      <c r="A153" s="32">
        <f t="shared" si="1"/>
        <v>17</v>
      </c>
      <c r="B153" s="12" t="s">
        <v>209</v>
      </c>
      <c r="C153" s="10" t="s">
        <v>210</v>
      </c>
      <c r="D153" s="35">
        <f>'5-P3 Support'!H41</f>
        <v>0</v>
      </c>
      <c r="E153" s="35"/>
      <c r="F153" s="35" t="s">
        <v>83</v>
      </c>
      <c r="G153" s="59" t="s">
        <v>114</v>
      </c>
      <c r="H153" s="35"/>
      <c r="I153" s="35">
        <v>0</v>
      </c>
      <c r="J153" s="10"/>
      <c r="K153" s="61"/>
    </row>
    <row r="154" spans="1:11">
      <c r="A154" s="32">
        <f t="shared" si="1"/>
        <v>18</v>
      </c>
      <c r="B154" s="12" t="s">
        <v>211</v>
      </c>
      <c r="C154" s="10" t="s">
        <v>212</v>
      </c>
      <c r="D154" s="35">
        <f>'5-P3 Support'!I41</f>
        <v>0</v>
      </c>
      <c r="E154" s="35"/>
      <c r="F154" s="35" t="s">
        <v>141</v>
      </c>
      <c r="G154" s="59">
        <f>+G152</f>
        <v>0.23261762662583793</v>
      </c>
      <c r="H154" s="35"/>
      <c r="I154" s="35">
        <f>+G154*D154</f>
        <v>0</v>
      </c>
      <c r="J154" s="10"/>
      <c r="K154" s="61"/>
    </row>
    <row r="155" spans="1:11" ht="13.5" thickBot="1">
      <c r="A155" s="32">
        <f t="shared" si="1"/>
        <v>19</v>
      </c>
      <c r="B155" s="12" t="s">
        <v>213</v>
      </c>
      <c r="C155" s="10" t="s">
        <v>214</v>
      </c>
      <c r="D155" s="60">
        <f>'5-P3 Support'!J41</f>
        <v>0</v>
      </c>
      <c r="E155" s="35"/>
      <c r="F155" s="35" t="s">
        <v>141</v>
      </c>
      <c r="G155" s="59">
        <f>+G152</f>
        <v>0.23261762662583793</v>
      </c>
      <c r="H155" s="35"/>
      <c r="I155" s="60">
        <f>+G155*D155</f>
        <v>0</v>
      </c>
      <c r="J155" s="10"/>
      <c r="K155" s="61"/>
    </row>
    <row r="156" spans="1:11">
      <c r="A156" s="32">
        <f t="shared" si="1"/>
        <v>20</v>
      </c>
      <c r="B156" s="12" t="s">
        <v>215</v>
      </c>
      <c r="C156" s="10" t="s">
        <v>216</v>
      </c>
      <c r="D156" s="35">
        <f>SUM(D149:D155)</f>
        <v>434115.45933297253</v>
      </c>
      <c r="E156" s="35"/>
      <c r="F156" s="35"/>
      <c r="G156" s="59"/>
      <c r="H156" s="35"/>
      <c r="I156" s="35">
        <f>SUM(I149:I155)</f>
        <v>100982.90783162153</v>
      </c>
      <c r="J156" s="10"/>
      <c r="K156" s="10"/>
    </row>
    <row r="157" spans="1:11">
      <c r="A157" s="32"/>
      <c r="B157" s="12"/>
      <c r="C157" s="10"/>
      <c r="D157" s="10"/>
      <c r="E157" s="10"/>
      <c r="F157" s="10"/>
      <c r="G157" s="59"/>
      <c r="H157" s="10"/>
      <c r="I157" s="10"/>
      <c r="J157" s="10"/>
      <c r="K157" s="10"/>
    </row>
    <row r="158" spans="1:11">
      <c r="A158" s="32"/>
      <c r="B158" s="12" t="s">
        <v>217</v>
      </c>
      <c r="C158" s="10" t="str">
        <f>"(Note "&amp;A$278&amp;")"</f>
        <v>(Note K)</v>
      </c>
      <c r="D158" s="10"/>
      <c r="E158" s="10"/>
      <c r="F158" s="4"/>
      <c r="G158" s="59"/>
      <c r="H158" s="10"/>
      <c r="I158" s="4"/>
      <c r="J158" s="10"/>
      <c r="K158" s="4"/>
    </row>
    <row r="159" spans="1:11">
      <c r="A159" s="32">
        <v>21</v>
      </c>
      <c r="B159" s="706" t="s">
        <v>1171</v>
      </c>
      <c r="C159" s="571" t="s">
        <v>1174</v>
      </c>
      <c r="D159" s="707">
        <f>'10 - Income Tax Allowance '!M28</f>
        <v>0.20652455397773772</v>
      </c>
      <c r="E159" s="571"/>
      <c r="F159" s="708"/>
      <c r="G159" s="569"/>
      <c r="H159" s="571"/>
      <c r="I159" s="708"/>
      <c r="J159" s="10"/>
      <c r="K159" s="4"/>
    </row>
    <row r="160" spans="1:11">
      <c r="A160" s="32">
        <f>+A159+1</f>
        <v>22</v>
      </c>
      <c r="B160" s="708" t="s">
        <v>218</v>
      </c>
      <c r="C160" s="571" t="s">
        <v>1175</v>
      </c>
      <c r="D160" s="707">
        <f>IF(I228&gt;0,(D159/(1-D159))*(1-I228/I231),0)</f>
        <v>0.20105629280088125</v>
      </c>
      <c r="E160" s="571"/>
      <c r="F160" s="708"/>
      <c r="G160" s="569"/>
      <c r="H160" s="571"/>
      <c r="I160" s="708"/>
      <c r="J160" s="10"/>
      <c r="K160" s="4"/>
    </row>
    <row r="161" spans="1:11" ht="14.25" customHeight="1">
      <c r="A161" s="32"/>
      <c r="B161" s="574" t="s">
        <v>219</v>
      </c>
      <c r="C161" s="571" t="s">
        <v>220</v>
      </c>
      <c r="D161" s="571"/>
      <c r="E161" s="571"/>
      <c r="F161" s="708"/>
      <c r="G161" s="569"/>
      <c r="H161" s="571"/>
      <c r="I161" s="708"/>
      <c r="J161" s="10"/>
      <c r="K161" s="4"/>
    </row>
    <row r="162" spans="1:11">
      <c r="A162" s="32"/>
      <c r="B162" s="574"/>
      <c r="C162" s="152"/>
      <c r="D162" s="571"/>
      <c r="E162" s="571"/>
      <c r="F162" s="708"/>
      <c r="G162" s="569"/>
      <c r="H162" s="571"/>
      <c r="I162" s="708"/>
      <c r="J162" s="10"/>
      <c r="K162" s="4"/>
    </row>
    <row r="163" spans="1:11">
      <c r="A163" s="32">
        <f>+A160+1</f>
        <v>23</v>
      </c>
      <c r="B163" s="706" t="str">
        <f>"      1 / (1 - T)  =  (from Line "&amp;A159&amp;")"</f>
        <v xml:space="preserve">      1 / (1 - T)  =  (from Line 21)</v>
      </c>
      <c r="C163" s="571" t="s">
        <v>221</v>
      </c>
      <c r="D163" s="707">
        <f>IF(D159&gt;0,1/(1-D159),0)</f>
        <v>1.2602784434137906</v>
      </c>
      <c r="E163" s="571"/>
      <c r="F163" s="708"/>
      <c r="G163" s="569"/>
      <c r="H163" s="571"/>
      <c r="I163" s="63"/>
      <c r="J163" s="10"/>
      <c r="K163" s="4"/>
    </row>
    <row r="164" spans="1:11">
      <c r="A164" s="32">
        <f>+A163+1</f>
        <v>24</v>
      </c>
      <c r="B164" s="574" t="s">
        <v>222</v>
      </c>
      <c r="C164" s="571" t="s">
        <v>223</v>
      </c>
      <c r="D164" s="63">
        <f>-'5-P3 Support'!K41</f>
        <v>0</v>
      </c>
      <c r="E164" s="571"/>
      <c r="F164" s="708"/>
      <c r="G164" s="569"/>
      <c r="H164" s="571"/>
      <c r="I164" s="63"/>
      <c r="J164" s="10"/>
      <c r="K164" s="4"/>
    </row>
    <row r="165" spans="1:11">
      <c r="A165" s="32" t="s">
        <v>224</v>
      </c>
      <c r="B165" s="574" t="s">
        <v>225</v>
      </c>
      <c r="C165" s="571" t="s">
        <v>226</v>
      </c>
      <c r="D165" s="63">
        <f>-'5-P3 Support'!L41</f>
        <v>0</v>
      </c>
      <c r="E165" s="571"/>
      <c r="F165" s="708"/>
      <c r="G165" s="569"/>
      <c r="H165" s="571"/>
      <c r="I165" s="63"/>
      <c r="J165" s="10"/>
      <c r="K165" s="4"/>
    </row>
    <row r="166" spans="1:11">
      <c r="A166" s="32" t="s">
        <v>227</v>
      </c>
      <c r="B166" s="574" t="s">
        <v>228</v>
      </c>
      <c r="C166" s="571" t="s">
        <v>229</v>
      </c>
      <c r="D166" s="63">
        <f>'5-P3 Support'!M41</f>
        <v>0</v>
      </c>
      <c r="E166" s="571"/>
      <c r="F166" s="708"/>
      <c r="G166" s="569"/>
      <c r="H166" s="571"/>
      <c r="I166" s="63"/>
      <c r="J166" s="10"/>
      <c r="K166" s="4"/>
    </row>
    <row r="167" spans="1:11">
      <c r="A167" s="32">
        <v>25</v>
      </c>
      <c r="B167" s="706" t="s">
        <v>230</v>
      </c>
      <c r="C167" s="709" t="s">
        <v>1176</v>
      </c>
      <c r="D167" s="710">
        <f>(I231)*D109*D160</f>
        <v>234462.66343970248</v>
      </c>
      <c r="E167" s="711"/>
      <c r="F167" s="711"/>
      <c r="G167" s="569"/>
      <c r="H167" s="711"/>
      <c r="I167" s="710">
        <f>($I$231)*I109*$D$160</f>
        <v>54540.148301716203</v>
      </c>
      <c r="J167" s="10"/>
      <c r="K167" s="23" t="s">
        <v>9</v>
      </c>
    </row>
    <row r="168" spans="1:11">
      <c r="A168" s="32">
        <v>26</v>
      </c>
      <c r="B168" s="708" t="s">
        <v>231</v>
      </c>
      <c r="C168" s="709" t="s">
        <v>232</v>
      </c>
      <c r="D168" s="710">
        <f>+D$163*D164</f>
        <v>0</v>
      </c>
      <c r="E168" s="711"/>
      <c r="F168" s="712" t="s">
        <v>119</v>
      </c>
      <c r="G168" s="569">
        <f>G86</f>
        <v>0.23261762662583793</v>
      </c>
      <c r="H168" s="711"/>
      <c r="I168" s="710">
        <f>+D168*G168</f>
        <v>0</v>
      </c>
      <c r="J168" s="10"/>
      <c r="K168" s="23"/>
    </row>
    <row r="169" spans="1:11">
      <c r="A169" s="32" t="s">
        <v>233</v>
      </c>
      <c r="B169" s="4" t="s">
        <v>234</v>
      </c>
      <c r="C169" s="79" t="s">
        <v>235</v>
      </c>
      <c r="D169" s="69">
        <f>+D$163*D165</f>
        <v>0</v>
      </c>
      <c r="E169" s="22"/>
      <c r="F169" s="1" t="s">
        <v>119</v>
      </c>
      <c r="G169" s="59">
        <f>G168</f>
        <v>0.23261762662583793</v>
      </c>
      <c r="H169" s="22"/>
      <c r="I169" s="69">
        <f>+D169*G169</f>
        <v>0</v>
      </c>
      <c r="J169" s="10"/>
      <c r="K169" s="23"/>
    </row>
    <row r="170" spans="1:11" ht="13.5" thickBot="1">
      <c r="A170" s="32" t="s">
        <v>236</v>
      </c>
      <c r="B170" s="4" t="s">
        <v>237</v>
      </c>
      <c r="C170" s="79" t="s">
        <v>238</v>
      </c>
      <c r="D170" s="80">
        <f>+D$163*D166</f>
        <v>0</v>
      </c>
      <c r="E170" s="22"/>
      <c r="F170" s="1" t="s">
        <v>119</v>
      </c>
      <c r="G170" s="59">
        <f>G169</f>
        <v>0.23261762662583793</v>
      </c>
      <c r="H170" s="22"/>
      <c r="I170" s="80">
        <f>+D170*G170</f>
        <v>0</v>
      </c>
      <c r="J170" s="10"/>
      <c r="K170" s="23"/>
    </row>
    <row r="171" spans="1:11">
      <c r="A171" s="32">
        <v>27</v>
      </c>
      <c r="B171" s="81" t="s">
        <v>239</v>
      </c>
      <c r="C171" s="4" t="s">
        <v>240</v>
      </c>
      <c r="D171" s="69">
        <f>SUM(D167:D170)</f>
        <v>234462.66343970248</v>
      </c>
      <c r="E171" s="22"/>
      <c r="F171" s="22" t="s">
        <v>9</v>
      </c>
      <c r="G171" s="26" t="s">
        <v>9</v>
      </c>
      <c r="H171" s="22"/>
      <c r="I171" s="69">
        <f>SUM(I167:I170)</f>
        <v>54540.148301716203</v>
      </c>
      <c r="J171" s="10"/>
      <c r="K171" s="10"/>
    </row>
    <row r="172" spans="1:11">
      <c r="A172" s="32"/>
      <c r="B172" s="4"/>
      <c r="C172" s="82"/>
      <c r="D172" s="35"/>
      <c r="E172" s="10"/>
      <c r="F172" s="10"/>
      <c r="G172" s="27"/>
      <c r="H172" s="10"/>
      <c r="I172" s="35"/>
      <c r="J172" s="10"/>
      <c r="K172" s="10"/>
    </row>
    <row r="173" spans="1:11">
      <c r="A173" s="32"/>
      <c r="B173" s="12" t="s">
        <v>241</v>
      </c>
      <c r="J173" s="10"/>
      <c r="K173" s="4"/>
    </row>
    <row r="174" spans="1:11">
      <c r="A174" s="32">
        <v>28</v>
      </c>
      <c r="B174" s="81" t="s">
        <v>242</v>
      </c>
      <c r="C174" s="77" t="s">
        <v>243</v>
      </c>
      <c r="D174" s="35">
        <f>+$I231*D109</f>
        <v>1166154.3151594149</v>
      </c>
      <c r="E174" s="22"/>
      <c r="F174" s="22" t="s">
        <v>83</v>
      </c>
      <c r="G174" s="83"/>
      <c r="H174" s="22"/>
      <c r="I174" s="35">
        <f>+$I231*I109</f>
        <v>271268.04907186248</v>
      </c>
      <c r="K174" s="61"/>
    </row>
    <row r="175" spans="1:11">
      <c r="A175" s="32"/>
      <c r="B175" s="12"/>
      <c r="C175" s="4"/>
      <c r="D175" s="35"/>
      <c r="E175" s="22"/>
      <c r="F175" s="22"/>
      <c r="G175" s="83"/>
      <c r="H175" s="22"/>
      <c r="I175" s="35"/>
      <c r="J175" s="10"/>
      <c r="K175" s="61"/>
    </row>
    <row r="176" spans="1:11" ht="13.5" thickBot="1">
      <c r="A176" s="32">
        <f>A174+1</f>
        <v>29</v>
      </c>
      <c r="B176" s="12" t="s">
        <v>244</v>
      </c>
      <c r="C176" s="10" t="s">
        <v>245</v>
      </c>
      <c r="D176" s="84">
        <f>+D138+D145+D156+D171+D174</f>
        <v>8723743.4594051763</v>
      </c>
      <c r="E176" s="22"/>
      <c r="F176" s="22"/>
      <c r="G176" s="22"/>
      <c r="H176" s="22"/>
      <c r="I176" s="84">
        <f>+I174+I171+I156+I145+I138</f>
        <v>2029296.4988195086</v>
      </c>
      <c r="J176" s="12"/>
      <c r="K176" s="12"/>
    </row>
    <row r="177" spans="1:11" ht="13.5" thickTop="1">
      <c r="A177" s="32"/>
      <c r="B177" s="12"/>
      <c r="C177" s="10"/>
      <c r="D177" s="22"/>
      <c r="E177" s="22"/>
      <c r="F177" s="22"/>
      <c r="G177" s="22"/>
      <c r="H177" s="22"/>
      <c r="I177" s="35"/>
      <c r="J177" s="12"/>
      <c r="K177" s="12"/>
    </row>
    <row r="178" spans="1:11">
      <c r="A178" s="38">
        <v>30</v>
      </c>
      <c r="B178" s="39" t="s">
        <v>246</v>
      </c>
      <c r="C178" s="40"/>
      <c r="D178" s="35"/>
      <c r="E178" s="35"/>
      <c r="F178" s="35"/>
      <c r="G178" s="35"/>
      <c r="H178" s="35"/>
      <c r="I178" s="35"/>
      <c r="K178" s="39"/>
    </row>
    <row r="179" spans="1:11" ht="13.5" customHeight="1">
      <c r="B179" s="46" t="s">
        <v>247</v>
      </c>
      <c r="C179" s="85"/>
      <c r="D179" s="35"/>
      <c r="E179" s="35"/>
      <c r="F179" s="35"/>
      <c r="G179" s="35"/>
      <c r="H179" s="35"/>
      <c r="I179" s="35"/>
      <c r="K179" s="39"/>
    </row>
    <row r="180" spans="1:11">
      <c r="A180" s="38"/>
      <c r="B180" s="39" t="s">
        <v>248</v>
      </c>
      <c r="C180" s="40"/>
      <c r="D180" s="86">
        <v>0</v>
      </c>
      <c r="E180" s="35"/>
      <c r="F180" s="22" t="s">
        <v>83</v>
      </c>
      <c r="G180" s="59">
        <v>0</v>
      </c>
      <c r="H180" s="35"/>
      <c r="I180" s="73">
        <f>+D180</f>
        <v>0</v>
      </c>
      <c r="K180" s="39"/>
    </row>
    <row r="181" spans="1:11">
      <c r="A181" s="38"/>
      <c r="B181" s="39"/>
      <c r="C181" s="40"/>
      <c r="D181" s="35"/>
      <c r="E181" s="35"/>
      <c r="F181" s="35"/>
      <c r="G181" s="21"/>
      <c r="H181" s="35"/>
      <c r="I181" s="35"/>
      <c r="K181" s="39"/>
    </row>
    <row r="182" spans="1:11">
      <c r="A182" s="38" t="s">
        <v>249</v>
      </c>
      <c r="B182" s="39" t="s">
        <v>250</v>
      </c>
      <c r="C182" s="40"/>
      <c r="D182" s="35"/>
      <c r="E182" s="35"/>
      <c r="F182" s="35"/>
      <c r="G182" s="21"/>
      <c r="H182" s="35"/>
      <c r="I182" s="35"/>
      <c r="K182" s="39"/>
    </row>
    <row r="183" spans="1:11" ht="15.75" customHeight="1">
      <c r="B183" s="46" t="s">
        <v>247</v>
      </c>
      <c r="C183" s="85"/>
      <c r="D183" s="35"/>
      <c r="E183" s="35"/>
      <c r="F183" s="35"/>
      <c r="G183" s="21"/>
      <c r="H183" s="35"/>
      <c r="I183" s="35"/>
      <c r="K183" s="39"/>
    </row>
    <row r="184" spans="1:11">
      <c r="A184" s="38"/>
      <c r="B184" s="39" t="s">
        <v>251</v>
      </c>
      <c r="C184" s="40"/>
      <c r="D184" s="86">
        <v>0</v>
      </c>
      <c r="E184" s="35"/>
      <c r="F184" s="22" t="s">
        <v>83</v>
      </c>
      <c r="G184" s="59">
        <v>0</v>
      </c>
      <c r="H184" s="35"/>
      <c r="I184" s="73">
        <f>+D184</f>
        <v>0</v>
      </c>
      <c r="K184" s="39"/>
    </row>
    <row r="185" spans="1:11">
      <c r="A185" s="38"/>
      <c r="B185" s="39"/>
      <c r="C185" s="40"/>
      <c r="D185" s="35"/>
      <c r="E185" s="35"/>
      <c r="F185" s="35"/>
      <c r="G185" s="45"/>
      <c r="H185" s="35"/>
      <c r="I185" s="35"/>
      <c r="K185" s="39"/>
    </row>
    <row r="186" spans="1:11">
      <c r="A186" s="38" t="s">
        <v>252</v>
      </c>
      <c r="B186" s="150" t="s">
        <v>1044</v>
      </c>
      <c r="C186" s="400" t="s">
        <v>1045</v>
      </c>
      <c r="D186" s="35">
        <f>+'9B-Non-MISO Project Rev Req'!R99</f>
        <v>0</v>
      </c>
      <c r="E186" s="35"/>
      <c r="F186" s="35"/>
      <c r="G186" s="87"/>
      <c r="H186" s="35"/>
      <c r="I186" s="35">
        <f>+'9B-Non-MISO Project Rev Req'!R99</f>
        <v>0</v>
      </c>
      <c r="K186" s="39"/>
    </row>
    <row r="187" spans="1:11">
      <c r="A187" s="38"/>
      <c r="B187" s="39" t="s">
        <v>255</v>
      </c>
      <c r="C187" s="40"/>
      <c r="D187" s="35"/>
      <c r="E187" s="35"/>
      <c r="F187" s="35"/>
      <c r="G187" s="87"/>
      <c r="H187" s="35"/>
      <c r="I187" s="35"/>
      <c r="K187" s="39"/>
    </row>
    <row r="188" spans="1:11" ht="13.5" thickBot="1">
      <c r="A188" s="38"/>
      <c r="B188" s="39"/>
      <c r="C188" s="40"/>
      <c r="D188" s="35"/>
      <c r="E188" s="35"/>
      <c r="F188" s="35"/>
      <c r="G188" s="87"/>
      <c r="H188" s="35"/>
      <c r="I188" s="35"/>
      <c r="K188" s="39"/>
    </row>
    <row r="189" spans="1:11" ht="13.5" thickBot="1">
      <c r="A189" s="38">
        <v>31</v>
      </c>
      <c r="B189" s="39" t="s">
        <v>1046</v>
      </c>
      <c r="C189" s="40"/>
      <c r="D189" s="88">
        <f>+D176-D180-D184+D186</f>
        <v>8723743.4594051763</v>
      </c>
      <c r="E189" s="35"/>
      <c r="F189" s="35"/>
      <c r="G189" s="35"/>
      <c r="H189" s="35"/>
      <c r="I189" s="88">
        <f>+I176-I180-I184+I186</f>
        <v>2029296.4988195086</v>
      </c>
      <c r="K189" s="39"/>
    </row>
    <row r="190" spans="1:11" ht="13.5" thickTop="1">
      <c r="A190" s="38"/>
      <c r="B190" s="39" t="s">
        <v>257</v>
      </c>
      <c r="C190" s="40"/>
      <c r="D190" s="35"/>
      <c r="E190" s="35"/>
      <c r="F190" s="35"/>
      <c r="G190" s="35"/>
      <c r="H190" s="35"/>
      <c r="I190" s="35"/>
      <c r="K190" s="39"/>
    </row>
    <row r="191" spans="1:11">
      <c r="A191" s="32"/>
      <c r="B191" s="12"/>
      <c r="C191" s="10"/>
      <c r="D191" s="22"/>
      <c r="E191" s="22"/>
      <c r="F191" s="22"/>
      <c r="G191" s="22"/>
      <c r="H191" s="22"/>
      <c r="I191" s="35"/>
      <c r="J191" s="12"/>
      <c r="K191" s="12"/>
    </row>
    <row r="192" spans="1:11">
      <c r="A192" s="32"/>
      <c r="B192" s="1"/>
      <c r="C192" s="22"/>
      <c r="D192" s="22"/>
      <c r="E192" s="22"/>
      <c r="F192" s="22"/>
      <c r="G192" s="22"/>
      <c r="H192" s="22"/>
      <c r="I192" s="22"/>
      <c r="J192" s="12"/>
      <c r="K192" s="12"/>
    </row>
    <row r="193" spans="1:11">
      <c r="A193" s="6"/>
      <c r="B193" s="4"/>
      <c r="C193" s="4"/>
      <c r="D193" s="4"/>
      <c r="E193" s="4"/>
      <c r="F193" s="4"/>
      <c r="G193" s="4"/>
      <c r="H193" s="4"/>
      <c r="I193" s="4"/>
      <c r="J193" s="10"/>
      <c r="K193" s="51" t="str">
        <f>$K$1</f>
        <v>Attachment 9A-GLH</v>
      </c>
    </row>
    <row r="194" spans="1:11">
      <c r="A194" s="6"/>
      <c r="B194" s="4"/>
      <c r="C194" s="4"/>
      <c r="D194" s="4"/>
      <c r="E194" s="4"/>
      <c r="F194" s="4"/>
      <c r="G194" s="4"/>
      <c r="H194" s="4"/>
      <c r="I194" s="4"/>
      <c r="J194" s="10"/>
      <c r="K194" s="67" t="s">
        <v>258</v>
      </c>
    </row>
    <row r="195" spans="1:11">
      <c r="A195" s="6"/>
      <c r="B195" s="12" t="s">
        <v>2</v>
      </c>
      <c r="C195" s="4"/>
      <c r="D195" s="6" t="str">
        <f>$D$3</f>
        <v>Non-MISO Rate Formula Template</v>
      </c>
      <c r="E195" s="4"/>
      <c r="F195" s="4"/>
      <c r="G195" s="4"/>
      <c r="H195" s="4"/>
      <c r="I195" s="1"/>
      <c r="J195" s="10"/>
      <c r="K195" s="92" t="str">
        <f>K3</f>
        <v>For the 12 months ended 12/31/2020</v>
      </c>
    </row>
    <row r="196" spans="1:11">
      <c r="A196" s="6"/>
      <c r="B196" s="12"/>
      <c r="C196" s="4"/>
      <c r="D196" s="590" t="s">
        <v>4</v>
      </c>
      <c r="E196" s="4"/>
      <c r="F196" s="4"/>
      <c r="G196" s="4"/>
      <c r="H196" s="4"/>
      <c r="I196" s="4"/>
      <c r="J196" s="10"/>
      <c r="K196" s="10"/>
    </row>
    <row r="197" spans="1:11">
      <c r="A197" s="6"/>
      <c r="B197" s="4"/>
      <c r="C197" s="4"/>
      <c r="D197" s="590" t="str">
        <f>+D116</f>
        <v>GridLiance Heartland LLC</v>
      </c>
      <c r="E197" s="4"/>
      <c r="F197" s="4"/>
      <c r="G197" s="4"/>
      <c r="H197" s="4"/>
      <c r="I197" s="4"/>
      <c r="J197" s="10"/>
      <c r="K197" s="10"/>
    </row>
    <row r="198" spans="1:11">
      <c r="A198" s="730"/>
      <c r="B198" s="730"/>
      <c r="C198" s="730"/>
      <c r="D198" s="730"/>
      <c r="E198" s="730"/>
      <c r="F198" s="730"/>
      <c r="G198" s="730"/>
      <c r="H198" s="730"/>
      <c r="I198" s="730"/>
      <c r="J198" s="730"/>
      <c r="K198" s="730"/>
    </row>
    <row r="199" spans="1:11" s="72" customFormat="1">
      <c r="A199" s="93"/>
      <c r="B199" s="593" t="s">
        <v>6</v>
      </c>
      <c r="C199" s="593" t="s">
        <v>7</v>
      </c>
      <c r="D199" s="593" t="s">
        <v>8</v>
      </c>
      <c r="E199" s="10" t="s">
        <v>9</v>
      </c>
      <c r="F199" s="10"/>
      <c r="G199" s="16" t="s">
        <v>10</v>
      </c>
      <c r="H199" s="10"/>
      <c r="I199" s="16" t="s">
        <v>11</v>
      </c>
      <c r="J199" s="70"/>
      <c r="K199" s="70"/>
    </row>
    <row r="200" spans="1:11">
      <c r="A200" s="6"/>
      <c r="B200" s="4"/>
      <c r="C200" s="12"/>
      <c r="D200" s="12"/>
      <c r="E200" s="12"/>
      <c r="F200" s="12"/>
      <c r="G200" s="12"/>
      <c r="H200" s="12"/>
      <c r="I200" s="12"/>
      <c r="J200" s="12"/>
      <c r="K200" s="12"/>
    </row>
    <row r="201" spans="1:11">
      <c r="A201" s="6"/>
      <c r="B201" s="4"/>
      <c r="C201" s="58" t="s">
        <v>259</v>
      </c>
      <c r="D201" s="4"/>
      <c r="E201" s="12"/>
      <c r="F201" s="12"/>
      <c r="G201" s="12"/>
      <c r="H201" s="12"/>
      <c r="I201" s="12"/>
      <c r="J201" s="10"/>
      <c r="K201" s="10"/>
    </row>
    <row r="202" spans="1:11">
      <c r="A202" s="6" t="s">
        <v>12</v>
      </c>
      <c r="B202" s="58"/>
      <c r="C202" s="12"/>
      <c r="D202" s="12"/>
      <c r="E202" s="12"/>
      <c r="F202" s="12"/>
      <c r="G202" s="12"/>
      <c r="H202" s="12"/>
      <c r="I202" s="12"/>
      <c r="J202" s="10"/>
      <c r="K202" s="10"/>
    </row>
    <row r="203" spans="1:11" ht="13.5" thickBot="1">
      <c r="A203" s="18" t="s">
        <v>14</v>
      </c>
      <c r="B203" s="5" t="s">
        <v>260</v>
      </c>
      <c r="C203" s="12"/>
      <c r="D203" s="12"/>
      <c r="E203" s="12"/>
      <c r="F203" s="12"/>
      <c r="G203" s="12"/>
      <c r="H203" s="4"/>
      <c r="I203" s="4"/>
      <c r="J203" s="10"/>
      <c r="K203" s="10"/>
    </row>
    <row r="204" spans="1:11">
      <c r="A204" s="6">
        <v>1</v>
      </c>
      <c r="B204" s="5" t="s">
        <v>261</v>
      </c>
      <c r="C204" s="12" t="s">
        <v>262</v>
      </c>
      <c r="D204" s="10"/>
      <c r="E204" s="10"/>
      <c r="F204" s="10"/>
      <c r="G204" s="10"/>
      <c r="H204" s="10"/>
      <c r="I204" s="35">
        <f>D66</f>
        <v>24588103.606495105</v>
      </c>
      <c r="J204" s="10"/>
      <c r="K204" s="10"/>
    </row>
    <row r="205" spans="1:11">
      <c r="A205" s="6">
        <f>+A204+1</f>
        <v>2</v>
      </c>
      <c r="B205" s="5" t="s">
        <v>1047</v>
      </c>
      <c r="C205" s="4" t="s">
        <v>264</v>
      </c>
      <c r="D205" s="4"/>
      <c r="E205" s="4"/>
      <c r="F205" s="4"/>
      <c r="G205" s="4"/>
      <c r="H205" s="4"/>
      <c r="I205" s="73">
        <v>18868477.302322008</v>
      </c>
      <c r="J205" s="10"/>
      <c r="K205" s="10"/>
    </row>
    <row r="206" spans="1:11" ht="13.5" thickBot="1">
      <c r="A206" s="6">
        <f>+A205+1</f>
        <v>3</v>
      </c>
      <c r="B206" s="94" t="s">
        <v>1024</v>
      </c>
      <c r="C206" s="95" t="s">
        <v>266</v>
      </c>
      <c r="D206" s="1"/>
      <c r="E206" s="10"/>
      <c r="F206" s="10"/>
      <c r="G206" s="11"/>
      <c r="H206" s="10"/>
      <c r="I206" s="96">
        <v>0</v>
      </c>
      <c r="J206" s="10"/>
      <c r="K206" s="10"/>
    </row>
    <row r="207" spans="1:11">
      <c r="A207" s="6">
        <f>+A206+1</f>
        <v>4</v>
      </c>
      <c r="B207" s="5" t="s">
        <v>1048</v>
      </c>
      <c r="C207" s="12" t="s">
        <v>1025</v>
      </c>
      <c r="D207" s="10"/>
      <c r="E207" s="10"/>
      <c r="F207" s="10"/>
      <c r="G207" s="11"/>
      <c r="H207" s="10"/>
      <c r="I207" s="35">
        <f>I204-I205+I206</f>
        <v>5719626.304173097</v>
      </c>
      <c r="J207" s="10"/>
      <c r="K207" s="10"/>
    </row>
    <row r="208" spans="1:11">
      <c r="A208" s="6"/>
      <c r="B208" s="4"/>
      <c r="C208" s="12"/>
      <c r="D208" s="10"/>
      <c r="E208" s="10"/>
      <c r="F208" s="10"/>
      <c r="G208" s="11"/>
      <c r="H208" s="10"/>
      <c r="I208" s="35"/>
      <c r="J208" s="10"/>
      <c r="K208" s="10"/>
    </row>
    <row r="209" spans="1:15">
      <c r="A209" s="6">
        <f>+A207+1</f>
        <v>5</v>
      </c>
      <c r="B209" s="5" t="s">
        <v>1090</v>
      </c>
      <c r="C209" s="15" t="s">
        <v>270</v>
      </c>
      <c r="D209" s="15"/>
      <c r="E209" s="15"/>
      <c r="F209" s="15"/>
      <c r="G209" s="16"/>
      <c r="H209" s="10" t="s">
        <v>271</v>
      </c>
      <c r="I209" s="59">
        <f>IF(I207&gt;0,I207/I204,0)</f>
        <v>0.23261762662583793</v>
      </c>
      <c r="J209" s="10"/>
      <c r="K209" s="10"/>
    </row>
    <row r="210" spans="1:15">
      <c r="A210" s="6"/>
      <c r="B210" s="4"/>
      <c r="C210" s="4"/>
      <c r="D210" s="4"/>
      <c r="E210" s="4"/>
      <c r="F210" s="4"/>
      <c r="G210" s="4"/>
      <c r="H210" s="4"/>
      <c r="I210" s="4"/>
      <c r="J210" s="4"/>
      <c r="K210" s="4"/>
    </row>
    <row r="211" spans="1:15">
      <c r="A211" s="98" t="s">
        <v>272</v>
      </c>
      <c r="B211" s="12" t="s">
        <v>273</v>
      </c>
      <c r="C211" s="10"/>
      <c r="D211" s="10"/>
      <c r="E211" s="10"/>
      <c r="F211" s="10"/>
      <c r="G211" s="10"/>
      <c r="H211" s="10"/>
      <c r="I211" s="10"/>
      <c r="J211" s="10"/>
      <c r="K211" s="10"/>
    </row>
    <row r="212" spans="1:15" ht="13.5" thickBot="1">
      <c r="A212" s="6"/>
      <c r="B212" s="12"/>
      <c r="C212" s="99" t="s">
        <v>274</v>
      </c>
      <c r="D212" s="100" t="s">
        <v>275</v>
      </c>
      <c r="E212" s="100" t="s">
        <v>24</v>
      </c>
      <c r="F212" s="10"/>
      <c r="G212" s="100" t="s">
        <v>276</v>
      </c>
      <c r="H212" s="10"/>
      <c r="I212" s="10"/>
      <c r="J212" s="10"/>
      <c r="K212" s="10"/>
    </row>
    <row r="213" spans="1:15">
      <c r="A213" s="6">
        <v>12</v>
      </c>
      <c r="B213" s="12" t="s">
        <v>81</v>
      </c>
      <c r="C213" s="10" t="s">
        <v>277</v>
      </c>
      <c r="D213" s="86">
        <v>0</v>
      </c>
      <c r="E213" s="21">
        <v>0</v>
      </c>
      <c r="F213" s="101"/>
      <c r="G213" s="35">
        <f>D213*E213</f>
        <v>0</v>
      </c>
      <c r="H213" s="22"/>
      <c r="I213" s="22"/>
      <c r="J213" s="10"/>
      <c r="K213" s="10"/>
    </row>
    <row r="214" spans="1:15">
      <c r="A214" s="6">
        <f>+A213+1</f>
        <v>13</v>
      </c>
      <c r="B214" s="12" t="s">
        <v>278</v>
      </c>
      <c r="C214" s="10" t="s">
        <v>279</v>
      </c>
      <c r="D214" s="86">
        <v>1</v>
      </c>
      <c r="E214" s="21">
        <f>+I209</f>
        <v>0.23261762662583793</v>
      </c>
      <c r="F214" s="101"/>
      <c r="G214" s="35">
        <f>D214*E214</f>
        <v>0.23261762662583793</v>
      </c>
      <c r="H214" s="22"/>
      <c r="I214" s="22"/>
      <c r="J214" s="10"/>
      <c r="K214" s="10"/>
    </row>
    <row r="215" spans="1:15">
      <c r="A215" s="6">
        <f>+A214+1</f>
        <v>14</v>
      </c>
      <c r="B215" s="12" t="s">
        <v>86</v>
      </c>
      <c r="C215" s="10" t="s">
        <v>280</v>
      </c>
      <c r="D215" s="86">
        <v>0</v>
      </c>
      <c r="E215" s="21">
        <v>0</v>
      </c>
      <c r="F215" s="101"/>
      <c r="G215" s="35">
        <f>D215*E215</f>
        <v>0</v>
      </c>
      <c r="H215" s="22"/>
      <c r="I215" s="102" t="s">
        <v>141</v>
      </c>
      <c r="J215" s="10"/>
      <c r="K215" s="10"/>
    </row>
    <row r="216" spans="1:15" ht="13.5" thickBot="1">
      <c r="A216" s="6">
        <f>+A215+1</f>
        <v>15</v>
      </c>
      <c r="B216" s="12" t="s">
        <v>281</v>
      </c>
      <c r="C216" s="10" t="s">
        <v>282</v>
      </c>
      <c r="D216" s="96">
        <v>0</v>
      </c>
      <c r="E216" s="21">
        <v>0</v>
      </c>
      <c r="F216" s="101"/>
      <c r="G216" s="60">
        <f>D216*E216</f>
        <v>0</v>
      </c>
      <c r="H216" s="22"/>
      <c r="I216" s="103" t="s">
        <v>283</v>
      </c>
      <c r="J216" s="10"/>
      <c r="K216" s="10"/>
    </row>
    <row r="217" spans="1:15">
      <c r="A217" s="6">
        <f>+A216+1</f>
        <v>16</v>
      </c>
      <c r="B217" s="33" t="s">
        <v>1040</v>
      </c>
      <c r="C217" s="10"/>
      <c r="D217" s="35">
        <f>SUM(D213:D216)</f>
        <v>1</v>
      </c>
      <c r="E217" s="10"/>
      <c r="F217" s="10"/>
      <c r="G217" s="35">
        <f>SUM(G213:G216)</f>
        <v>0.23261762662583793</v>
      </c>
      <c r="H217" s="104" t="s">
        <v>284</v>
      </c>
      <c r="I217" s="21">
        <f>IF(G217&gt;0,G217/D217,0)</f>
        <v>0.23261762662583793</v>
      </c>
      <c r="J217" s="11" t="s">
        <v>284</v>
      </c>
      <c r="K217" s="10" t="s">
        <v>285</v>
      </c>
    </row>
    <row r="218" spans="1:15">
      <c r="A218" s="6"/>
      <c r="B218" s="12" t="s">
        <v>9</v>
      </c>
      <c r="C218" s="10" t="s">
        <v>9</v>
      </c>
      <c r="D218" s="4"/>
      <c r="E218" s="10"/>
      <c r="F218" s="10"/>
      <c r="G218" s="4"/>
      <c r="H218" s="4"/>
      <c r="I218" s="4"/>
      <c r="J218" s="4"/>
      <c r="K218" s="10"/>
    </row>
    <row r="219" spans="1:15">
      <c r="A219" s="6"/>
      <c r="B219" s="12" t="s">
        <v>286</v>
      </c>
      <c r="C219" s="10"/>
      <c r="D219" s="54" t="s">
        <v>275</v>
      </c>
      <c r="E219" s="10"/>
      <c r="F219" s="10"/>
      <c r="G219" s="11" t="s">
        <v>287</v>
      </c>
      <c r="H219" s="106"/>
      <c r="I219" s="61" t="s">
        <v>288</v>
      </c>
      <c r="J219" s="10"/>
      <c r="K219" s="10"/>
    </row>
    <row r="220" spans="1:15">
      <c r="A220" s="6">
        <f>+A217+1</f>
        <v>17</v>
      </c>
      <c r="B220" s="12" t="s">
        <v>289</v>
      </c>
      <c r="C220" s="10" t="s">
        <v>290</v>
      </c>
      <c r="D220" s="86">
        <f>AVERAGE('4- Rate Base'!D10,'4- Rate Base'!D22)</f>
        <v>24588103.606495105</v>
      </c>
      <c r="E220" s="10"/>
      <c r="F220" s="4"/>
      <c r="G220" s="6" t="s">
        <v>291</v>
      </c>
      <c r="H220" s="107"/>
      <c r="I220" s="6" t="s">
        <v>292</v>
      </c>
      <c r="J220" s="10"/>
      <c r="K220" s="593" t="s">
        <v>93</v>
      </c>
    </row>
    <row r="221" spans="1:15">
      <c r="A221" s="6">
        <f>+A220+1</f>
        <v>18</v>
      </c>
      <c r="B221" s="12" t="s">
        <v>293</v>
      </c>
      <c r="C221" s="10" t="s">
        <v>294</v>
      </c>
      <c r="D221" s="86">
        <v>0</v>
      </c>
      <c r="E221" s="10"/>
      <c r="F221" s="4"/>
      <c r="G221" s="108">
        <f>IF(D223&gt;0,D220/D223,0)</f>
        <v>1</v>
      </c>
      <c r="H221" s="109" t="s">
        <v>295</v>
      </c>
      <c r="I221" s="108">
        <f>I217</f>
        <v>0.23261762662583793</v>
      </c>
      <c r="J221" s="109" t="s">
        <v>284</v>
      </c>
      <c r="K221" s="108">
        <f>I221*G221</f>
        <v>0.23261762662583793</v>
      </c>
    </row>
    <row r="222" spans="1:15" ht="13.5" thickBot="1">
      <c r="A222" s="6">
        <f>+A221+1</f>
        <v>19</v>
      </c>
      <c r="B222" s="95" t="s">
        <v>296</v>
      </c>
      <c r="C222" s="99" t="s">
        <v>297</v>
      </c>
      <c r="D222" s="96">
        <v>0</v>
      </c>
      <c r="E222" s="10"/>
      <c r="F222" s="10"/>
      <c r="G222" s="10" t="s">
        <v>9</v>
      </c>
      <c r="H222" s="10"/>
      <c r="I222" s="10"/>
      <c r="J222" s="10"/>
      <c r="K222" s="10"/>
    </row>
    <row r="223" spans="1:15">
      <c r="A223" s="6">
        <f>+A222+1</f>
        <v>20</v>
      </c>
      <c r="B223" s="12" t="s">
        <v>298</v>
      </c>
      <c r="C223" s="10" t="s">
        <v>299</v>
      </c>
      <c r="D223" s="35">
        <f>D220+D221+D222</f>
        <v>24588103.606495105</v>
      </c>
      <c r="E223" s="10"/>
      <c r="F223" s="10"/>
      <c r="G223" s="10"/>
      <c r="H223" s="10"/>
      <c r="I223" s="10"/>
      <c r="J223" s="10"/>
      <c r="K223" s="10"/>
    </row>
    <row r="224" spans="1:15">
      <c r="A224" s="6"/>
      <c r="B224" s="12"/>
      <c r="C224" s="10"/>
      <c r="D224" s="4"/>
      <c r="E224" s="10"/>
      <c r="F224" s="10"/>
      <c r="G224" s="10"/>
      <c r="H224" s="10"/>
      <c r="I224" s="10"/>
      <c r="J224" s="10"/>
      <c r="K224" s="10"/>
      <c r="N224" s="110"/>
      <c r="O224" s="110"/>
    </row>
    <row r="225" spans="1:15" ht="13.5" thickBot="1">
      <c r="A225" s="6" t="s">
        <v>300</v>
      </c>
      <c r="B225" s="5" t="s">
        <v>301</v>
      </c>
      <c r="C225" s="10"/>
      <c r="D225" s="10"/>
      <c r="E225" s="10"/>
      <c r="F225" s="10"/>
      <c r="G225" s="10"/>
      <c r="H225" s="10"/>
      <c r="I225" s="100" t="s">
        <v>275</v>
      </c>
      <c r="J225" s="10"/>
      <c r="K225" s="10"/>
      <c r="N225" s="110"/>
      <c r="O225" s="110"/>
    </row>
    <row r="226" spans="1:15">
      <c r="A226" s="6"/>
      <c r="B226" s="12"/>
      <c r="C226" s="10"/>
      <c r="D226" s="10"/>
      <c r="E226" s="10"/>
      <c r="F226" s="10"/>
      <c r="G226" s="11" t="s">
        <v>302</v>
      </c>
      <c r="H226" s="10"/>
      <c r="I226" s="10"/>
      <c r="J226" s="10"/>
      <c r="K226" s="10"/>
      <c r="N226" s="110"/>
      <c r="O226" s="110"/>
    </row>
    <row r="227" spans="1:15" ht="13.5" thickBot="1">
      <c r="A227" s="6"/>
      <c r="B227" s="12"/>
      <c r="C227" s="10"/>
      <c r="D227" s="18" t="s">
        <v>275</v>
      </c>
      <c r="E227" s="18" t="s">
        <v>303</v>
      </c>
      <c r="F227" s="10"/>
      <c r="G227" s="590"/>
      <c r="H227" s="10"/>
      <c r="I227" s="18" t="s">
        <v>304</v>
      </c>
      <c r="J227" s="10"/>
      <c r="K227" s="10"/>
      <c r="N227" s="110"/>
      <c r="O227" s="110"/>
    </row>
    <row r="228" spans="1:15">
      <c r="A228" s="6">
        <v>27</v>
      </c>
      <c r="B228" s="5" t="s">
        <v>305</v>
      </c>
      <c r="C228" s="4" t="s">
        <v>306</v>
      </c>
      <c r="D228" s="111">
        <f>'5-P3 Support'!F62</f>
        <v>40</v>
      </c>
      <c r="E228" s="612">
        <f>'5-P3 Support'!G62</f>
        <v>0.4</v>
      </c>
      <c r="F228" s="112"/>
      <c r="G228" s="597">
        <f>'5-P3 Support'!I62</f>
        <v>4.5597125000000002E-2</v>
      </c>
      <c r="H228" s="21"/>
      <c r="I228" s="114">
        <f>'5-P3 Support'!K62</f>
        <v>1.8238850000000001E-2</v>
      </c>
      <c r="J228" s="115" t="s">
        <v>307</v>
      </c>
      <c r="K228" s="4"/>
      <c r="N228" s="110"/>
      <c r="O228" s="110"/>
    </row>
    <row r="229" spans="1:15">
      <c r="A229" s="6">
        <f>+A228+1</f>
        <v>28</v>
      </c>
      <c r="B229" s="5" t="s">
        <v>308</v>
      </c>
      <c r="C229" s="4" t="s">
        <v>309</v>
      </c>
      <c r="D229" s="111">
        <f>'5-P3 Support'!F63</f>
        <v>0</v>
      </c>
      <c r="E229" s="612">
        <f>'5-P3 Support'!G63</f>
        <v>0</v>
      </c>
      <c r="F229" s="21"/>
      <c r="G229" s="597">
        <f>'5-P3 Support'!I63</f>
        <v>0</v>
      </c>
      <c r="H229" s="21"/>
      <c r="I229" s="114">
        <f>'5-P3 Support'!K63</f>
        <v>0</v>
      </c>
      <c r="J229" s="10"/>
      <c r="K229" s="4"/>
      <c r="N229" s="110"/>
      <c r="O229" s="110"/>
    </row>
    <row r="230" spans="1:15" ht="13.5" thickBot="1">
      <c r="A230" s="6">
        <f>+A229+1</f>
        <v>29</v>
      </c>
      <c r="B230" s="5" t="s">
        <v>310</v>
      </c>
      <c r="C230" s="4" t="s">
        <v>311</v>
      </c>
      <c r="D230" s="116">
        <f>'5-P3 Support'!F64</f>
        <v>60</v>
      </c>
      <c r="E230" s="612">
        <f>'5-P3 Support'!G64</f>
        <v>0.6</v>
      </c>
      <c r="F230" s="21"/>
      <c r="G230" s="605">
        <f>0.1082-0.005</f>
        <v>0.1032</v>
      </c>
      <c r="H230" s="4"/>
      <c r="I230" s="118">
        <f>E230*G230</f>
        <v>6.1919999999999996E-2</v>
      </c>
      <c r="J230" s="10"/>
      <c r="K230" s="4"/>
      <c r="N230" s="110"/>
      <c r="O230" s="110"/>
    </row>
    <row r="231" spans="1:15">
      <c r="A231" s="6">
        <f>+A230+1</f>
        <v>30</v>
      </c>
      <c r="B231" s="12" t="s">
        <v>312</v>
      </c>
      <c r="C231" s="4" t="s">
        <v>313</v>
      </c>
      <c r="D231" s="111">
        <f>SUM(D228:D230)</f>
        <v>100</v>
      </c>
      <c r="E231" s="21" t="s">
        <v>9</v>
      </c>
      <c r="F231" s="21"/>
      <c r="G231" s="10"/>
      <c r="H231" s="10"/>
      <c r="I231" s="114">
        <f>SUM(I228:I230)</f>
        <v>8.0158850000000004E-2</v>
      </c>
      <c r="J231" s="115" t="s">
        <v>314</v>
      </c>
      <c r="K231" s="4"/>
      <c r="N231" s="110"/>
      <c r="O231" s="110"/>
    </row>
    <row r="232" spans="1:15">
      <c r="A232" s="6"/>
      <c r="B232" s="4"/>
      <c r="C232" s="4"/>
      <c r="D232" s="4"/>
      <c r="E232" s="10"/>
      <c r="F232" s="10"/>
      <c r="G232" s="10"/>
      <c r="H232" s="10"/>
      <c r="I232" s="4"/>
      <c r="J232" s="4"/>
      <c r="K232" s="4"/>
      <c r="N232" s="110"/>
      <c r="O232" s="110"/>
    </row>
    <row r="233" spans="1:15">
      <c r="A233" s="6"/>
      <c r="B233" s="5" t="s">
        <v>315</v>
      </c>
      <c r="C233" s="5"/>
      <c r="D233" s="5"/>
      <c r="E233" s="5"/>
      <c r="F233" s="5"/>
      <c r="G233" s="5"/>
      <c r="H233" s="5"/>
      <c r="I233" s="5"/>
      <c r="J233" s="5"/>
      <c r="K233" s="5"/>
      <c r="N233" s="110"/>
      <c r="O233" s="110"/>
    </row>
    <row r="234" spans="1:15" ht="13.5" thickBot="1">
      <c r="A234" s="6"/>
      <c r="B234" s="5"/>
      <c r="C234" s="5"/>
      <c r="D234" s="5"/>
      <c r="E234" s="5"/>
      <c r="F234" s="5"/>
      <c r="G234" s="5"/>
      <c r="H234" s="5"/>
      <c r="I234" s="18" t="s">
        <v>316</v>
      </c>
      <c r="J234" s="6"/>
      <c r="K234" s="4"/>
      <c r="N234" s="110"/>
      <c r="O234" s="110"/>
    </row>
    <row r="235" spans="1:15">
      <c r="A235" s="6"/>
      <c r="B235" s="5" t="s">
        <v>317</v>
      </c>
      <c r="C235" s="5" t="s">
        <v>318</v>
      </c>
      <c r="D235" s="5"/>
      <c r="E235" s="5"/>
      <c r="F235" s="5"/>
      <c r="G235" s="120" t="s">
        <v>9</v>
      </c>
      <c r="H235" s="121"/>
      <c r="I235" s="4"/>
      <c r="J235" s="4"/>
      <c r="K235" s="4"/>
      <c r="N235" s="110"/>
      <c r="O235" s="110"/>
    </row>
    <row r="236" spans="1:15">
      <c r="A236" s="6">
        <v>31</v>
      </c>
      <c r="B236" s="4" t="s">
        <v>319</v>
      </c>
      <c r="C236" s="5" t="s">
        <v>320</v>
      </c>
      <c r="D236" s="5"/>
      <c r="E236" s="4"/>
      <c r="F236" s="5"/>
      <c r="G236" s="4"/>
      <c r="H236" s="121"/>
      <c r="I236" s="122">
        <v>0</v>
      </c>
      <c r="J236" s="123"/>
      <c r="K236" s="4"/>
      <c r="L236" s="201"/>
      <c r="M236" s="201"/>
      <c r="N236" s="613"/>
      <c r="O236" s="613"/>
    </row>
    <row r="237" spans="1:15" ht="13.5" thickBot="1">
      <c r="A237" s="6">
        <f>+A236+1</f>
        <v>32</v>
      </c>
      <c r="B237" s="124" t="s">
        <v>321</v>
      </c>
      <c r="C237" s="10"/>
      <c r="D237" s="4"/>
      <c r="E237" s="5"/>
      <c r="F237" s="5"/>
      <c r="G237" s="5"/>
      <c r="H237" s="5"/>
      <c r="I237" s="125">
        <v>0</v>
      </c>
      <c r="J237" s="123"/>
      <c r="K237" s="4"/>
      <c r="L237" s="201"/>
      <c r="M237" s="201"/>
      <c r="N237" s="613"/>
      <c r="O237" s="613"/>
    </row>
    <row r="238" spans="1:15">
      <c r="A238" s="6">
        <f>+A237+1</f>
        <v>33</v>
      </c>
      <c r="B238" s="4" t="s">
        <v>322</v>
      </c>
      <c r="C238" s="12" t="s">
        <v>323</v>
      </c>
      <c r="D238" s="4"/>
      <c r="E238" s="5"/>
      <c r="F238" s="5"/>
      <c r="G238" s="5"/>
      <c r="H238" s="5"/>
      <c r="I238" s="126">
        <f>I236-I237</f>
        <v>0</v>
      </c>
      <c r="J238" s="123"/>
      <c r="K238" s="4"/>
      <c r="L238" s="201"/>
      <c r="M238" s="201"/>
      <c r="N238" s="613"/>
      <c r="O238" s="613"/>
    </row>
    <row r="239" spans="1:15">
      <c r="A239" s="6"/>
      <c r="B239" s="4"/>
      <c r="C239" s="12"/>
      <c r="D239" s="4"/>
      <c r="E239" s="5"/>
      <c r="F239" s="5"/>
      <c r="G239" s="5"/>
      <c r="H239" s="5"/>
      <c r="I239" s="127"/>
      <c r="J239" s="4"/>
      <c r="K239" s="4"/>
      <c r="L239" s="201"/>
      <c r="M239" s="201"/>
      <c r="N239" s="613"/>
      <c r="O239" s="613"/>
    </row>
    <row r="240" spans="1:15">
      <c r="A240" s="6">
        <f>+A238+1</f>
        <v>34</v>
      </c>
      <c r="B240" s="5" t="s">
        <v>324</v>
      </c>
      <c r="C240" s="12" t="s">
        <v>325</v>
      </c>
      <c r="D240" s="4"/>
      <c r="E240" s="5"/>
      <c r="F240" s="5"/>
      <c r="G240" s="128"/>
      <c r="H240" s="5"/>
      <c r="I240" s="86"/>
      <c r="J240" s="4"/>
      <c r="K240" s="129"/>
      <c r="N240" s="110"/>
      <c r="O240" s="110"/>
    </row>
    <row r="241" spans="1:11">
      <c r="A241" s="6"/>
      <c r="B241" s="4"/>
      <c r="C241" s="5"/>
      <c r="D241" s="5"/>
      <c r="E241" s="5"/>
      <c r="F241" s="5"/>
      <c r="G241" s="5"/>
      <c r="H241" s="5"/>
      <c r="I241" s="127"/>
      <c r="J241" s="4"/>
      <c r="K241" s="129"/>
    </row>
    <row r="242" spans="1:11">
      <c r="A242" s="6" t="s">
        <v>1009</v>
      </c>
      <c r="B242" s="5" t="s">
        <v>1010</v>
      </c>
      <c r="C242" s="574" t="s">
        <v>1011</v>
      </c>
      <c r="D242" s="4"/>
      <c r="E242" s="5"/>
      <c r="F242" s="5"/>
      <c r="G242" s="128"/>
      <c r="H242" s="5"/>
      <c r="I242" s="86">
        <v>0</v>
      </c>
      <c r="J242" s="4"/>
      <c r="K242" s="129"/>
    </row>
    <row r="243" spans="1:11">
      <c r="A243" s="6"/>
      <c r="B243" s="4"/>
      <c r="C243" s="5"/>
      <c r="D243" s="5"/>
      <c r="E243" s="5"/>
      <c r="F243" s="5"/>
      <c r="G243" s="5"/>
      <c r="H243" s="5"/>
      <c r="I243" s="127"/>
      <c r="J243" s="4"/>
      <c r="K243" s="129"/>
    </row>
    <row r="244" spans="1:11">
      <c r="A244" s="6"/>
      <c r="B244" s="5" t="s">
        <v>1012</v>
      </c>
      <c r="C244" s="5" t="s">
        <v>326</v>
      </c>
      <c r="D244" s="5"/>
      <c r="E244" s="5"/>
      <c r="F244" s="5"/>
      <c r="G244" s="5"/>
      <c r="H244" s="5"/>
      <c r="I244" s="4"/>
      <c r="J244" s="4"/>
      <c r="K244" s="129"/>
    </row>
    <row r="245" spans="1:11">
      <c r="A245" s="6">
        <v>35</v>
      </c>
      <c r="B245" s="130" t="s">
        <v>327</v>
      </c>
      <c r="C245" s="10"/>
      <c r="D245" s="10"/>
      <c r="E245" s="10"/>
      <c r="F245" s="10"/>
      <c r="G245" s="10"/>
      <c r="H245" s="10"/>
      <c r="I245" s="131">
        <v>0</v>
      </c>
      <c r="J245" s="10"/>
      <c r="K245" s="129"/>
    </row>
    <row r="246" spans="1:11">
      <c r="A246" s="6">
        <v>36</v>
      </c>
      <c r="B246" s="130" t="s">
        <v>328</v>
      </c>
      <c r="C246" s="10"/>
      <c r="D246" s="10"/>
      <c r="E246" s="10"/>
      <c r="F246" s="10"/>
      <c r="G246" s="10"/>
      <c r="H246" s="10"/>
      <c r="I246" s="131"/>
      <c r="J246" s="10"/>
      <c r="K246" s="129"/>
    </row>
    <row r="247" spans="1:11">
      <c r="A247" s="6" t="s">
        <v>329</v>
      </c>
      <c r="B247" s="130" t="s">
        <v>330</v>
      </c>
      <c r="C247" s="10" t="s">
        <v>331</v>
      </c>
      <c r="D247" s="10"/>
      <c r="E247" s="10"/>
      <c r="F247" s="10"/>
      <c r="G247" s="10"/>
      <c r="H247" s="10"/>
      <c r="I247" s="131"/>
      <c r="J247" s="10"/>
      <c r="K247" s="129"/>
    </row>
    <row r="248" spans="1:11" ht="13.5" thickBot="1">
      <c r="A248" s="6" t="s">
        <v>332</v>
      </c>
      <c r="B248" s="130" t="s">
        <v>333</v>
      </c>
      <c r="C248" s="10" t="s">
        <v>334</v>
      </c>
      <c r="D248" s="10"/>
      <c r="E248" s="10"/>
      <c r="F248" s="10"/>
      <c r="G248" s="10"/>
      <c r="H248" s="10"/>
      <c r="I248" s="132"/>
      <c r="J248" s="10"/>
      <c r="K248" s="129"/>
    </row>
    <row r="249" spans="1:11">
      <c r="A249" s="6">
        <v>37</v>
      </c>
      <c r="B249" s="133" t="s">
        <v>335</v>
      </c>
      <c r="C249" s="6"/>
      <c r="D249" s="10"/>
      <c r="E249" s="10"/>
      <c r="F249" s="10"/>
      <c r="G249" s="10"/>
      <c r="H249" s="5"/>
      <c r="I249" s="35">
        <f>+I245-I246-I247-I248</f>
        <v>0</v>
      </c>
      <c r="J249" s="10"/>
      <c r="K249" s="10"/>
    </row>
    <row r="250" spans="1:11">
      <c r="A250" s="6"/>
      <c r="B250" s="133"/>
      <c r="C250" s="6"/>
      <c r="D250" s="10"/>
      <c r="E250" s="10"/>
      <c r="F250" s="10"/>
      <c r="G250" s="10"/>
      <c r="H250" s="5"/>
      <c r="I250" s="35"/>
      <c r="J250" s="10"/>
      <c r="K250" s="10"/>
    </row>
    <row r="251" spans="1:11">
      <c r="A251" s="713"/>
      <c r="B251" s="714"/>
      <c r="C251" s="705"/>
      <c r="D251" s="713"/>
      <c r="E251" s="704"/>
      <c r="F251" s="704"/>
      <c r="G251" s="152"/>
      <c r="H251" s="715"/>
      <c r="I251" s="63"/>
      <c r="J251" s="10"/>
      <c r="K251" s="10"/>
    </row>
    <row r="252" spans="1:11">
      <c r="A252" s="713"/>
      <c r="B252" s="712"/>
      <c r="C252" s="716"/>
      <c r="D252" s="571"/>
      <c r="E252" s="571"/>
      <c r="F252" s="152"/>
      <c r="G252" s="152"/>
      <c r="H252" s="717"/>
      <c r="I252" s="63"/>
      <c r="J252" s="10"/>
      <c r="K252" s="10"/>
    </row>
    <row r="253" spans="1:11">
      <c r="A253" s="713"/>
      <c r="B253" s="712"/>
      <c r="C253" s="718"/>
      <c r="D253" s="580"/>
      <c r="E253" s="571"/>
      <c r="F253" s="152"/>
      <c r="G253" s="152"/>
      <c r="H253" s="152"/>
      <c r="I253" s="63"/>
      <c r="J253" s="10"/>
      <c r="K253" s="10"/>
    </row>
    <row r="254" spans="1:11">
      <c r="A254" s="713"/>
      <c r="B254" s="712"/>
      <c r="C254" s="719"/>
      <c r="D254" s="63"/>
      <c r="E254" s="63"/>
      <c r="F254" s="63"/>
      <c r="G254" s="152"/>
      <c r="H254" s="63"/>
      <c r="I254" s="63"/>
      <c r="J254" s="10"/>
      <c r="K254" s="10"/>
    </row>
    <row r="255" spans="1:11">
      <c r="A255" s="713"/>
      <c r="B255" s="708"/>
      <c r="C255" s="719"/>
      <c r="D255" s="576"/>
      <c r="E255" s="63"/>
      <c r="F255" s="63"/>
      <c r="G255" s="152"/>
      <c r="H255" s="152"/>
      <c r="I255" s="575"/>
      <c r="J255" s="10"/>
      <c r="K255" s="10"/>
    </row>
    <row r="256" spans="1:11">
      <c r="A256" s="6"/>
      <c r="C256" s="6"/>
      <c r="D256" s="10"/>
      <c r="E256" s="10"/>
      <c r="F256" s="10"/>
      <c r="G256" s="10"/>
      <c r="H256" s="5"/>
      <c r="I256" s="127"/>
      <c r="J256" s="10"/>
      <c r="K256" s="10"/>
    </row>
    <row r="257" spans="1:22">
      <c r="A257" s="6"/>
      <c r="B257" s="133"/>
      <c r="C257" s="12"/>
      <c r="D257" s="10"/>
      <c r="E257" s="10"/>
      <c r="F257" s="10"/>
      <c r="G257" s="10"/>
      <c r="H257" s="12"/>
      <c r="I257" s="10"/>
      <c r="J257" s="12"/>
      <c r="K257" s="51" t="str">
        <f>$K$1</f>
        <v>Attachment 9A-GLH</v>
      </c>
    </row>
    <row r="258" spans="1:22">
      <c r="A258" s="6"/>
      <c r="B258" s="12"/>
      <c r="C258" s="12"/>
      <c r="D258" s="10"/>
      <c r="E258" s="10"/>
      <c r="F258" s="10"/>
      <c r="G258" s="10"/>
      <c r="H258" s="12"/>
      <c r="I258" s="10"/>
      <c r="J258" s="12"/>
      <c r="K258" s="67" t="s">
        <v>345</v>
      </c>
    </row>
    <row r="259" spans="1:22">
      <c r="A259" s="6"/>
      <c r="B259" s="136" t="s">
        <v>2</v>
      </c>
      <c r="C259" s="6"/>
      <c r="D259" s="6" t="str">
        <f>$D$3</f>
        <v>Non-MISO Rate Formula Template</v>
      </c>
      <c r="E259" s="10"/>
      <c r="F259" s="10"/>
      <c r="G259" s="10"/>
      <c r="H259" s="5"/>
      <c r="I259" s="1"/>
      <c r="J259" s="4"/>
      <c r="K259" s="137" t="str">
        <f>K3</f>
        <v>For the 12 months ended 12/31/2020</v>
      </c>
    </row>
    <row r="260" spans="1:22">
      <c r="A260" s="6"/>
      <c r="B260" s="136"/>
      <c r="C260" s="6"/>
      <c r="D260" s="11" t="s">
        <v>4</v>
      </c>
      <c r="E260" s="10"/>
      <c r="F260" s="10"/>
      <c r="G260" s="10"/>
      <c r="H260" s="5"/>
      <c r="I260" s="138"/>
      <c r="J260" s="4"/>
      <c r="K260" s="10"/>
    </row>
    <row r="261" spans="1:22">
      <c r="A261" s="6"/>
      <c r="B261" s="136"/>
      <c r="C261" s="6"/>
      <c r="D261" s="11" t="str">
        <f>+D197</f>
        <v>GridLiance Heartland LLC</v>
      </c>
      <c r="E261" s="10"/>
      <c r="F261" s="10"/>
      <c r="G261" s="10"/>
      <c r="H261" s="5"/>
      <c r="I261" s="138"/>
      <c r="J261" s="4"/>
      <c r="K261" s="10"/>
    </row>
    <row r="262" spans="1:22">
      <c r="A262" s="730"/>
      <c r="B262" s="730"/>
      <c r="C262" s="730"/>
      <c r="D262" s="730"/>
      <c r="E262" s="730"/>
      <c r="F262" s="730"/>
      <c r="G262" s="730"/>
      <c r="H262" s="730"/>
      <c r="I262" s="730"/>
      <c r="J262" s="730"/>
      <c r="K262" s="730"/>
    </row>
    <row r="263" spans="1:22">
      <c r="A263" s="6"/>
      <c r="B263" s="136"/>
      <c r="C263" s="6"/>
      <c r="D263" s="10"/>
      <c r="E263" s="10"/>
      <c r="F263" s="10"/>
      <c r="G263" s="10"/>
      <c r="H263" s="5"/>
      <c r="I263" s="138"/>
      <c r="J263" s="4"/>
      <c r="K263" s="10"/>
    </row>
    <row r="264" spans="1:22">
      <c r="A264" s="6"/>
      <c r="B264" s="5" t="s">
        <v>346</v>
      </c>
      <c r="C264" s="6"/>
      <c r="D264" s="10"/>
      <c r="E264" s="10"/>
      <c r="F264" s="10"/>
      <c r="G264" s="10"/>
      <c r="H264" s="5"/>
      <c r="I264" s="10"/>
      <c r="J264" s="5"/>
      <c r="K264" s="10"/>
    </row>
    <row r="265" spans="1:22">
      <c r="A265" s="6"/>
      <c r="B265" s="139" t="s">
        <v>347</v>
      </c>
      <c r="C265" s="6"/>
      <c r="D265" s="10"/>
      <c r="E265" s="10"/>
      <c r="F265" s="10"/>
      <c r="G265" s="10"/>
      <c r="H265" s="5"/>
      <c r="I265" s="10"/>
      <c r="J265" s="5"/>
      <c r="K265" s="10"/>
    </row>
    <row r="266" spans="1:22">
      <c r="A266" s="6" t="s">
        <v>348</v>
      </c>
      <c r="B266" s="5"/>
      <c r="C266" s="5"/>
      <c r="D266" s="10"/>
      <c r="E266" s="10"/>
      <c r="F266" s="10"/>
      <c r="G266" s="10"/>
      <c r="H266" s="5"/>
      <c r="I266" s="10"/>
      <c r="J266" s="5"/>
      <c r="K266" s="10"/>
    </row>
    <row r="267" spans="1:22" ht="13.5" thickBot="1">
      <c r="A267" s="18" t="s">
        <v>349</v>
      </c>
      <c r="B267" s="731"/>
      <c r="C267" s="731"/>
      <c r="D267" s="140"/>
      <c r="E267" s="140"/>
      <c r="F267" s="140"/>
      <c r="G267" s="140"/>
      <c r="H267" s="589"/>
      <c r="I267" s="140"/>
      <c r="J267" s="589"/>
      <c r="K267" s="140"/>
    </row>
    <row r="268" spans="1:22">
      <c r="A268" s="614" t="s">
        <v>350</v>
      </c>
      <c r="B268" s="144" t="s">
        <v>1049</v>
      </c>
      <c r="C268" s="144"/>
      <c r="D268" s="694"/>
      <c r="E268" s="694"/>
      <c r="F268" s="694"/>
      <c r="G268" s="694"/>
      <c r="H268" s="144"/>
      <c r="I268" s="694"/>
      <c r="J268" s="144"/>
      <c r="K268" s="694"/>
      <c r="L268" s="589"/>
      <c r="M268" s="724"/>
      <c r="N268" s="724"/>
      <c r="O268" s="724"/>
      <c r="P268" s="724"/>
      <c r="Q268" s="724"/>
      <c r="R268" s="724"/>
      <c r="S268" s="724"/>
      <c r="T268" s="724"/>
      <c r="U268" s="724"/>
      <c r="V268" s="724"/>
    </row>
    <row r="269" spans="1:22">
      <c r="A269" s="614" t="s">
        <v>352</v>
      </c>
      <c r="B269" s="144" t="s">
        <v>1050</v>
      </c>
      <c r="C269" s="144"/>
      <c r="D269" s="694"/>
      <c r="E269" s="694"/>
      <c r="F269" s="694"/>
      <c r="G269" s="694"/>
      <c r="H269" s="144"/>
      <c r="I269" s="694"/>
      <c r="J269" s="144"/>
      <c r="K269" s="694"/>
      <c r="L269" s="589"/>
    </row>
    <row r="270" spans="1:22">
      <c r="A270" s="614" t="s">
        <v>354</v>
      </c>
      <c r="B270" s="144" t="s">
        <v>1051</v>
      </c>
      <c r="C270" s="144"/>
      <c r="D270" s="144"/>
      <c r="E270" s="144"/>
      <c r="F270" s="144"/>
      <c r="G270" s="144"/>
      <c r="H270" s="144"/>
      <c r="I270" s="694"/>
      <c r="J270" s="144"/>
      <c r="K270" s="144"/>
      <c r="L270" s="589"/>
      <c r="M270" s="724"/>
      <c r="N270" s="724"/>
      <c r="O270" s="724"/>
      <c r="P270" s="724"/>
      <c r="Q270" s="724"/>
      <c r="R270" s="724"/>
      <c r="S270" s="724"/>
      <c r="T270" s="724"/>
      <c r="U270" s="724"/>
      <c r="V270" s="724"/>
    </row>
    <row r="271" spans="1:22">
      <c r="A271" s="614" t="s">
        <v>356</v>
      </c>
      <c r="B271" s="144" t="s">
        <v>1052</v>
      </c>
      <c r="C271" s="144"/>
      <c r="D271" s="144"/>
      <c r="E271" s="144"/>
      <c r="F271" s="144"/>
      <c r="G271" s="144"/>
      <c r="H271" s="144"/>
      <c r="I271" s="694"/>
      <c r="J271" s="144"/>
      <c r="K271" s="144"/>
      <c r="L271" s="589"/>
      <c r="M271" s="724"/>
      <c r="N271" s="724"/>
      <c r="O271" s="724"/>
      <c r="P271" s="724"/>
      <c r="Q271" s="724"/>
      <c r="R271" s="724"/>
      <c r="S271" s="724"/>
      <c r="T271" s="724"/>
      <c r="U271" s="724"/>
      <c r="V271" s="724"/>
    </row>
    <row r="272" spans="1:22">
      <c r="A272" s="614" t="s">
        <v>357</v>
      </c>
      <c r="B272" s="144" t="s">
        <v>1053</v>
      </c>
      <c r="C272" s="144"/>
      <c r="D272" s="144"/>
      <c r="E272" s="144"/>
      <c r="F272" s="144"/>
      <c r="G272" s="144"/>
      <c r="H272" s="144"/>
      <c r="I272" s="144"/>
      <c r="J272" s="144"/>
      <c r="K272" s="144"/>
      <c r="L272" s="589"/>
      <c r="M272" s="724"/>
      <c r="N272" s="724"/>
      <c r="O272" s="724"/>
      <c r="P272" s="724"/>
      <c r="Q272" s="724"/>
      <c r="R272" s="724"/>
      <c r="S272" s="724"/>
      <c r="T272" s="724"/>
      <c r="U272" s="724"/>
      <c r="V272" s="724"/>
    </row>
    <row r="273" spans="1:22" ht="30.75" customHeight="1">
      <c r="A273" s="143" t="s">
        <v>359</v>
      </c>
      <c r="B273" s="727" t="s">
        <v>360</v>
      </c>
      <c r="C273" s="727"/>
      <c r="D273" s="727"/>
      <c r="E273" s="727"/>
      <c r="F273" s="727"/>
      <c r="G273" s="727"/>
      <c r="H273" s="727"/>
      <c r="I273" s="727"/>
      <c r="J273" s="615"/>
      <c r="K273" s="615"/>
      <c r="L273" s="589"/>
      <c r="M273" s="724"/>
      <c r="N273" s="724"/>
      <c r="O273" s="724"/>
      <c r="P273" s="724"/>
      <c r="Q273" s="724"/>
      <c r="R273" s="724"/>
      <c r="S273" s="724"/>
      <c r="T273" s="724"/>
      <c r="U273" s="724"/>
      <c r="V273" s="724"/>
    </row>
    <row r="274" spans="1:22">
      <c r="A274" s="143" t="s">
        <v>361</v>
      </c>
      <c r="B274" s="144" t="s">
        <v>362</v>
      </c>
      <c r="C274" s="144"/>
      <c r="D274" s="144"/>
      <c r="E274" s="144"/>
      <c r="F274" s="144"/>
      <c r="G274" s="144"/>
      <c r="H274" s="144"/>
      <c r="I274" s="144"/>
      <c r="J274" s="144"/>
      <c r="K274" s="144"/>
      <c r="L274" s="724"/>
      <c r="M274" s="724"/>
      <c r="N274" s="724"/>
      <c r="O274" s="724"/>
      <c r="P274" s="724"/>
      <c r="Q274" s="724"/>
      <c r="R274" s="724"/>
      <c r="S274" s="724"/>
      <c r="T274" s="724"/>
      <c r="U274" s="724"/>
      <c r="V274" s="724"/>
    </row>
    <row r="275" spans="1:22" ht="28.5" customHeight="1">
      <c r="A275" s="143" t="s">
        <v>363</v>
      </c>
      <c r="B275" s="725" t="s">
        <v>364</v>
      </c>
      <c r="C275" s="725"/>
      <c r="D275" s="725"/>
      <c r="E275" s="725"/>
      <c r="F275" s="725"/>
      <c r="G275" s="725"/>
      <c r="H275" s="725"/>
      <c r="I275" s="725"/>
      <c r="J275" s="144"/>
      <c r="K275" s="144"/>
      <c r="L275" s="724"/>
      <c r="M275" s="145"/>
      <c r="N275" s="145"/>
      <c r="O275" s="59"/>
      <c r="P275" s="145"/>
      <c r="Q275" s="145"/>
      <c r="R275" s="145"/>
      <c r="S275" s="145"/>
      <c r="T275" s="145"/>
      <c r="U275" s="145"/>
      <c r="V275" s="145"/>
    </row>
    <row r="276" spans="1:22" ht="30" customHeight="1">
      <c r="A276" s="143" t="s">
        <v>365</v>
      </c>
      <c r="B276" s="725" t="s">
        <v>366</v>
      </c>
      <c r="C276" s="725"/>
      <c r="D276" s="725"/>
      <c r="E276" s="725"/>
      <c r="F276" s="725"/>
      <c r="G276" s="725"/>
      <c r="H276" s="725"/>
      <c r="I276" s="725"/>
      <c r="J276" s="144"/>
      <c r="K276" s="144"/>
      <c r="L276" s="724"/>
      <c r="M276" s="145"/>
      <c r="N276" s="145"/>
      <c r="O276" s="146"/>
      <c r="P276" s="145"/>
      <c r="Q276" s="145"/>
      <c r="R276" s="145"/>
      <c r="S276" s="145"/>
      <c r="T276" s="145"/>
      <c r="U276" s="145"/>
      <c r="V276" s="145"/>
    </row>
    <row r="277" spans="1:22" ht="29.25" customHeight="1">
      <c r="A277" s="143" t="s">
        <v>367</v>
      </c>
      <c r="B277" s="725" t="s">
        <v>368</v>
      </c>
      <c r="C277" s="725"/>
      <c r="D277" s="725"/>
      <c r="E277" s="725"/>
      <c r="F277" s="725"/>
      <c r="G277" s="725"/>
      <c r="H277" s="725"/>
      <c r="I277" s="725"/>
      <c r="J277" s="144"/>
      <c r="K277" s="144"/>
      <c r="L277" s="589"/>
      <c r="M277" s="724"/>
      <c r="N277" s="724"/>
      <c r="O277" s="724"/>
      <c r="P277" s="724"/>
      <c r="Q277" s="724"/>
      <c r="R277" s="724"/>
      <c r="S277" s="724"/>
      <c r="T277" s="724"/>
      <c r="U277" s="724"/>
      <c r="V277" s="724"/>
    </row>
    <row r="278" spans="1:22" ht="41.25" customHeight="1">
      <c r="A278" s="614" t="s">
        <v>369</v>
      </c>
      <c r="B278" s="723" t="s">
        <v>1181</v>
      </c>
      <c r="C278" s="723"/>
      <c r="D278" s="723"/>
      <c r="E278" s="723"/>
      <c r="F278" s="723"/>
      <c r="G278" s="723"/>
      <c r="H278" s="723"/>
      <c r="I278" s="723"/>
      <c r="J278" s="144"/>
      <c r="K278" s="144"/>
      <c r="L278" s="589"/>
    </row>
    <row r="279" spans="1:22">
      <c r="A279" s="614" t="s">
        <v>9</v>
      </c>
      <c r="B279" s="692" t="s">
        <v>370</v>
      </c>
      <c r="C279" s="692" t="s">
        <v>371</v>
      </c>
      <c r="D279" s="720" t="s">
        <v>1177</v>
      </c>
      <c r="E279" s="692" t="s">
        <v>372</v>
      </c>
      <c r="F279" s="692"/>
      <c r="G279" s="692"/>
      <c r="H279" s="692"/>
      <c r="I279" s="692"/>
      <c r="J279" s="144"/>
      <c r="K279" s="144"/>
      <c r="L279" s="147"/>
    </row>
    <row r="280" spans="1:22">
      <c r="A280" s="614"/>
      <c r="B280" s="692"/>
      <c r="C280" s="692" t="s">
        <v>373</v>
      </c>
      <c r="D280" s="720" t="s">
        <v>1177</v>
      </c>
      <c r="E280" s="692" t="s">
        <v>374</v>
      </c>
      <c r="F280" s="692"/>
      <c r="G280" s="692"/>
      <c r="H280" s="692"/>
      <c r="I280" s="692"/>
      <c r="J280" s="144"/>
      <c r="K280" s="144"/>
      <c r="L280" s="147"/>
    </row>
    <row r="281" spans="1:22" s="72" customFormat="1">
      <c r="A281" s="614"/>
      <c r="B281" s="692"/>
      <c r="C281" s="692" t="s">
        <v>375</v>
      </c>
      <c r="D281" s="720" t="s">
        <v>1177</v>
      </c>
      <c r="E281" s="692" t="s">
        <v>376</v>
      </c>
      <c r="F281" s="692"/>
      <c r="G281" s="692"/>
      <c r="H281" s="692"/>
      <c r="I281" s="692"/>
      <c r="J281" s="144"/>
      <c r="K281" s="144"/>
      <c r="L281" s="147"/>
    </row>
    <row r="282" spans="1:22" s="72" customFormat="1">
      <c r="A282" s="614" t="s">
        <v>377</v>
      </c>
      <c r="B282" s="725" t="s">
        <v>1091</v>
      </c>
      <c r="C282" s="725"/>
      <c r="D282" s="725"/>
      <c r="E282" s="725"/>
      <c r="F282" s="725"/>
      <c r="G282" s="725"/>
      <c r="H282" s="725"/>
      <c r="I282" s="725"/>
      <c r="J282" s="144"/>
      <c r="K282" s="144"/>
      <c r="L282" s="147"/>
    </row>
    <row r="283" spans="1:22" ht="30.75" customHeight="1">
      <c r="A283" s="614" t="s">
        <v>378</v>
      </c>
      <c r="B283" s="725" t="s">
        <v>1067</v>
      </c>
      <c r="C283" s="725"/>
      <c r="D283" s="725"/>
      <c r="E283" s="725"/>
      <c r="F283" s="725"/>
      <c r="G283" s="725"/>
      <c r="H283" s="725"/>
      <c r="I283" s="725"/>
      <c r="J283" s="144"/>
      <c r="K283" s="144"/>
    </row>
    <row r="284" spans="1:22">
      <c r="A284" s="143" t="s">
        <v>380</v>
      </c>
      <c r="B284" s="144" t="s">
        <v>381</v>
      </c>
      <c r="C284" s="159"/>
      <c r="D284" s="144"/>
      <c r="E284" s="144"/>
      <c r="F284" s="144"/>
      <c r="G284" s="144"/>
      <c r="H284" s="144"/>
      <c r="I284" s="144"/>
      <c r="J284" s="144"/>
      <c r="K284" s="144"/>
    </row>
    <row r="285" spans="1:22" ht="12.75" customHeight="1">
      <c r="A285" s="143" t="s">
        <v>382</v>
      </c>
      <c r="B285" s="727" t="s">
        <v>1054</v>
      </c>
      <c r="C285" s="727"/>
      <c r="D285" s="727"/>
      <c r="E285" s="727"/>
      <c r="F285" s="727"/>
      <c r="G285" s="727"/>
      <c r="H285" s="727"/>
      <c r="I285" s="727"/>
      <c r="J285" s="615"/>
      <c r="K285" s="615"/>
    </row>
    <row r="286" spans="1:22" ht="12.75" customHeight="1">
      <c r="A286" s="143" t="s">
        <v>383</v>
      </c>
      <c r="B286" s="724" t="s">
        <v>384</v>
      </c>
      <c r="C286" s="724"/>
      <c r="D286" s="724"/>
      <c r="E286" s="724"/>
      <c r="F286" s="724"/>
      <c r="G286" s="724"/>
      <c r="H286" s="724"/>
      <c r="I286" s="724"/>
      <c r="J286" s="724"/>
      <c r="K286" s="724"/>
    </row>
    <row r="287" spans="1:22" ht="30" customHeight="1">
      <c r="A287" s="614" t="s">
        <v>385</v>
      </c>
      <c r="B287" s="723" t="s">
        <v>1055</v>
      </c>
      <c r="C287" s="723"/>
      <c r="D287" s="723"/>
      <c r="E287" s="723"/>
      <c r="F287" s="723"/>
      <c r="G287" s="723"/>
      <c r="H287" s="723"/>
      <c r="I287" s="723"/>
      <c r="J287" s="144"/>
      <c r="K287" s="144"/>
    </row>
    <row r="288" spans="1:22" ht="56.25" customHeight="1">
      <c r="A288" s="614" t="s">
        <v>386</v>
      </c>
      <c r="B288" s="723" t="s">
        <v>1056</v>
      </c>
      <c r="C288" s="723"/>
      <c r="D288" s="723"/>
      <c r="E288" s="723"/>
      <c r="F288" s="723"/>
      <c r="G288" s="723"/>
      <c r="H288" s="723"/>
      <c r="I288" s="723"/>
      <c r="J288" s="159"/>
      <c r="K288" s="159"/>
    </row>
    <row r="289" spans="1:11" ht="59.25" customHeight="1">
      <c r="A289" s="614" t="s">
        <v>387</v>
      </c>
      <c r="B289" s="728" t="s">
        <v>1057</v>
      </c>
      <c r="C289" s="728"/>
      <c r="D289" s="728"/>
      <c r="E289" s="728"/>
      <c r="F289" s="728"/>
      <c r="G289" s="728"/>
      <c r="H289" s="728"/>
      <c r="I289" s="728"/>
      <c r="J289" s="144"/>
      <c r="K289" s="144"/>
    </row>
    <row r="290" spans="1:11" ht="31.5" customHeight="1">
      <c r="A290" s="153" t="s">
        <v>388</v>
      </c>
      <c r="B290" s="732" t="s">
        <v>1058</v>
      </c>
      <c r="C290" s="732"/>
      <c r="D290" s="732"/>
      <c r="E290" s="732"/>
      <c r="F290" s="732"/>
      <c r="G290" s="732"/>
      <c r="H290" s="732"/>
      <c r="I290" s="732"/>
      <c r="J290" s="147"/>
      <c r="K290" s="147"/>
    </row>
    <row r="291" spans="1:11">
      <c r="A291" s="153" t="s">
        <v>389</v>
      </c>
      <c r="B291" s="697" t="s">
        <v>1059</v>
      </c>
      <c r="C291" s="697"/>
      <c r="D291" s="697"/>
      <c r="E291" s="697"/>
      <c r="F291" s="697"/>
      <c r="G291" s="697"/>
      <c r="H291" s="697"/>
      <c r="I291" s="697"/>
      <c r="J291" s="702"/>
      <c r="K291" s="702"/>
    </row>
    <row r="292" spans="1:11">
      <c r="A292" s="153" t="s">
        <v>390</v>
      </c>
      <c r="B292" s="726" t="s">
        <v>1060</v>
      </c>
      <c r="C292" s="726"/>
      <c r="D292" s="726"/>
      <c r="E292" s="726"/>
      <c r="F292" s="726"/>
      <c r="G292" s="726"/>
      <c r="H292" s="726"/>
      <c r="I292" s="726"/>
      <c r="J292" s="702"/>
      <c r="K292" s="702"/>
    </row>
    <row r="293" spans="1:11" ht="28.5" customHeight="1">
      <c r="A293" s="153" t="s">
        <v>392</v>
      </c>
      <c r="B293" s="733" t="s">
        <v>1061</v>
      </c>
      <c r="C293" s="733"/>
      <c r="D293" s="733"/>
      <c r="E293" s="733"/>
      <c r="F293" s="733"/>
      <c r="G293" s="733"/>
      <c r="H293" s="733"/>
      <c r="I293" s="733"/>
      <c r="J293" s="702"/>
      <c r="K293" s="702"/>
    </row>
    <row r="294" spans="1:11" ht="27.75" customHeight="1">
      <c r="A294" s="151" t="s">
        <v>394</v>
      </c>
      <c r="B294" s="734" t="s">
        <v>395</v>
      </c>
      <c r="C294" s="734"/>
      <c r="D294" s="734"/>
      <c r="E294" s="734"/>
      <c r="F294" s="734"/>
      <c r="G294" s="734"/>
      <c r="H294" s="734"/>
      <c r="I294" s="734"/>
      <c r="J294" s="702"/>
      <c r="K294" s="702"/>
    </row>
    <row r="295" spans="1:11" ht="47.25" customHeight="1">
      <c r="A295" s="151" t="s">
        <v>396</v>
      </c>
      <c r="B295" s="735" t="s">
        <v>993</v>
      </c>
      <c r="C295" s="735"/>
      <c r="D295" s="735"/>
      <c r="E295" s="735"/>
      <c r="F295" s="735"/>
      <c r="G295" s="735"/>
      <c r="H295" s="735"/>
      <c r="I295" s="735"/>
      <c r="J295" s="702"/>
      <c r="K295" s="702"/>
    </row>
    <row r="296" spans="1:11">
      <c r="A296" s="153" t="s">
        <v>397</v>
      </c>
      <c r="B296" s="726" t="s">
        <v>1062</v>
      </c>
      <c r="C296" s="726"/>
      <c r="D296" s="726"/>
      <c r="E296" s="726"/>
      <c r="F296" s="726"/>
      <c r="G296" s="726"/>
      <c r="H296" s="726"/>
      <c r="I296" s="726"/>
      <c r="J296" s="702"/>
      <c r="K296" s="702"/>
    </row>
    <row r="297" spans="1:11" ht="29.25" customHeight="1">
      <c r="A297" s="153" t="s">
        <v>399</v>
      </c>
      <c r="B297" s="733" t="s">
        <v>1063</v>
      </c>
      <c r="C297" s="733"/>
      <c r="D297" s="733"/>
      <c r="E297" s="733"/>
      <c r="F297" s="733"/>
      <c r="G297" s="733"/>
      <c r="H297" s="733"/>
      <c r="I297" s="733"/>
      <c r="J297" s="702"/>
      <c r="K297" s="702"/>
    </row>
    <row r="298" spans="1:11">
      <c r="A298" s="153" t="s">
        <v>401</v>
      </c>
      <c r="B298" s="698" t="s">
        <v>402</v>
      </c>
      <c r="C298" s="697"/>
      <c r="D298" s="697"/>
      <c r="E298" s="697"/>
      <c r="F298" s="697"/>
      <c r="G298" s="697"/>
      <c r="H298" s="697"/>
      <c r="I298" s="697"/>
      <c r="J298" s="702"/>
      <c r="K298" s="702"/>
    </row>
    <row r="299" spans="1:11">
      <c r="A299" s="700" t="s">
        <v>403</v>
      </c>
      <c r="B299" s="698" t="s">
        <v>1064</v>
      </c>
      <c r="C299" s="701"/>
      <c r="D299" s="701"/>
      <c r="E299" s="701"/>
      <c r="F299" s="701"/>
      <c r="G299" s="701"/>
      <c r="H299" s="701"/>
      <c r="I299" s="701"/>
      <c r="J299" s="159"/>
      <c r="K299" s="159"/>
    </row>
    <row r="300" spans="1:11">
      <c r="A300" s="700" t="s">
        <v>405</v>
      </c>
      <c r="B300" s="701" t="s">
        <v>406</v>
      </c>
      <c r="C300" s="701"/>
      <c r="D300" s="701"/>
      <c r="E300" s="701"/>
      <c r="F300" s="701"/>
      <c r="G300" s="701"/>
      <c r="H300" s="701"/>
      <c r="I300" s="701"/>
      <c r="J300" s="159"/>
      <c r="K300" s="159"/>
    </row>
    <row r="301" spans="1:11" ht="68.25" customHeight="1">
      <c r="A301" s="153" t="s">
        <v>407</v>
      </c>
      <c r="B301" s="739" t="s">
        <v>408</v>
      </c>
      <c r="C301" s="739"/>
      <c r="D301" s="739"/>
      <c r="E301" s="739"/>
      <c r="F301" s="739"/>
      <c r="G301" s="739"/>
      <c r="H301" s="739"/>
      <c r="I301" s="739"/>
      <c r="J301" s="326"/>
      <c r="K301" s="326"/>
    </row>
    <row r="302" spans="1:11" ht="14.25" customHeight="1">
      <c r="A302" s="151" t="s">
        <v>409</v>
      </c>
      <c r="B302" s="736" t="s">
        <v>410</v>
      </c>
      <c r="C302" s="736"/>
      <c r="D302" s="736"/>
      <c r="E302" s="736"/>
      <c r="F302" s="736"/>
      <c r="G302" s="736"/>
      <c r="H302" s="736"/>
      <c r="I302" s="736"/>
      <c r="J302" s="736"/>
      <c r="K302" s="736"/>
    </row>
    <row r="303" spans="1:11" ht="29.25" customHeight="1">
      <c r="A303" s="151" t="s">
        <v>411</v>
      </c>
      <c r="B303" s="737" t="s">
        <v>412</v>
      </c>
      <c r="C303" s="737"/>
      <c r="D303" s="737"/>
      <c r="E303" s="737"/>
      <c r="F303" s="737"/>
      <c r="G303" s="737"/>
      <c r="H303" s="737"/>
      <c r="I303" s="737"/>
      <c r="J303" s="147"/>
      <c r="K303" s="147"/>
    </row>
    <row r="304" spans="1:11">
      <c r="A304" s="151" t="s">
        <v>413</v>
      </c>
      <c r="B304" s="381" t="s">
        <v>414</v>
      </c>
      <c r="C304" s="381"/>
      <c r="D304" s="381"/>
      <c r="E304" s="381"/>
      <c r="F304" s="381"/>
      <c r="G304" s="381"/>
      <c r="H304" s="145"/>
      <c r="I304" s="606"/>
      <c r="J304" s="607"/>
      <c r="K304" s="607"/>
    </row>
    <row r="305" spans="1:11" ht="12.75" customHeight="1">
      <c r="A305" s="151" t="s">
        <v>415</v>
      </c>
      <c r="B305" s="735" t="s">
        <v>416</v>
      </c>
      <c r="C305" s="735"/>
      <c r="D305" s="735"/>
      <c r="E305" s="735"/>
      <c r="F305" s="735"/>
      <c r="G305" s="735"/>
      <c r="H305" s="735"/>
      <c r="I305" s="735"/>
      <c r="J305" s="159"/>
      <c r="K305" s="159"/>
    </row>
    <row r="306" spans="1:11">
      <c r="A306" s="151" t="s">
        <v>417</v>
      </c>
      <c r="B306" s="159" t="s">
        <v>1065</v>
      </c>
      <c r="C306" s="159"/>
      <c r="D306" s="159"/>
      <c r="E306" s="159"/>
      <c r="F306" s="159"/>
      <c r="G306" s="159"/>
      <c r="H306" s="159"/>
      <c r="I306" s="159"/>
      <c r="J306" s="159"/>
      <c r="K306" s="159"/>
    </row>
    <row r="307" spans="1:11">
      <c r="A307" s="151" t="s">
        <v>419</v>
      </c>
      <c r="B307" s="159" t="s">
        <v>1066</v>
      </c>
      <c r="C307" s="159"/>
      <c r="D307" s="159"/>
      <c r="E307" s="159"/>
      <c r="F307" s="159"/>
      <c r="G307" s="159"/>
      <c r="H307" s="159"/>
      <c r="I307" s="159"/>
      <c r="J307" s="159"/>
      <c r="K307" s="159"/>
    </row>
    <row r="308" spans="1:11">
      <c r="A308" s="151" t="s">
        <v>421</v>
      </c>
      <c r="B308" s="159" t="s">
        <v>422</v>
      </c>
      <c r="C308" s="159"/>
      <c r="D308" s="159"/>
      <c r="E308" s="159"/>
      <c r="F308" s="159"/>
      <c r="G308" s="159"/>
      <c r="H308" s="159"/>
      <c r="I308" s="159"/>
      <c r="J308" s="159"/>
      <c r="K308" s="159"/>
    </row>
    <row r="309" spans="1:11" ht="12.75" customHeight="1">
      <c r="A309" s="151" t="s">
        <v>423</v>
      </c>
      <c r="B309" s="738" t="s">
        <v>424</v>
      </c>
      <c r="C309" s="738"/>
      <c r="D309" s="738"/>
      <c r="E309" s="738"/>
      <c r="F309" s="738"/>
      <c r="G309" s="738"/>
      <c r="H309" s="738"/>
      <c r="I309" s="738"/>
      <c r="J309" s="159"/>
      <c r="K309" s="159"/>
    </row>
    <row r="310" spans="1:11" ht="29.25" customHeight="1">
      <c r="A310" s="703" t="s">
        <v>1013</v>
      </c>
      <c r="B310" s="723" t="s">
        <v>1039</v>
      </c>
      <c r="C310" s="723"/>
      <c r="D310" s="723"/>
      <c r="E310" s="723"/>
      <c r="F310" s="723"/>
      <c r="G310" s="723"/>
      <c r="H310" s="723"/>
      <c r="I310" s="723"/>
      <c r="J310" s="159"/>
      <c r="K310" s="159"/>
    </row>
    <row r="311" spans="1:11" ht="15.75">
      <c r="A311" s="602" t="s">
        <v>1014</v>
      </c>
      <c r="B311" s="161"/>
    </row>
    <row r="312" spans="1:11">
      <c r="A312" s="6"/>
      <c r="B312" s="1"/>
      <c r="D312" s="6"/>
      <c r="E312" s="10"/>
      <c r="F312" s="10"/>
      <c r="G312" s="10"/>
    </row>
    <row r="313" spans="1:11">
      <c r="A313" s="6"/>
      <c r="B313" s="1"/>
      <c r="C313" s="134"/>
      <c r="D313" s="10"/>
      <c r="E313" s="10"/>
      <c r="F313" s="10"/>
    </row>
    <row r="314" spans="1:11">
      <c r="A314" s="6"/>
      <c r="B314" s="1"/>
      <c r="C314" s="134"/>
      <c r="D314" s="21"/>
      <c r="E314" s="10"/>
      <c r="F314" s="10"/>
    </row>
    <row r="315" spans="1:11">
      <c r="A315" s="6"/>
      <c r="B315" s="1"/>
      <c r="C315" s="135"/>
      <c r="D315" s="35"/>
      <c r="E315" s="35"/>
      <c r="F315" s="35"/>
      <c r="G315" s="35"/>
    </row>
    <row r="316" spans="1:11">
      <c r="A316" s="6"/>
      <c r="B316" s="4"/>
      <c r="C316" s="135"/>
      <c r="D316" s="111"/>
      <c r="E316" s="35"/>
      <c r="F316" s="35"/>
      <c r="G316" s="35"/>
    </row>
    <row r="317" spans="1:11">
      <c r="A317" s="6"/>
      <c r="B317" s="1"/>
      <c r="C317" s="6"/>
      <c r="D317" s="10"/>
      <c r="E317" s="10"/>
      <c r="F317" s="10"/>
      <c r="G317" s="10"/>
    </row>
  </sheetData>
  <mergeCells count="38">
    <mergeCell ref="B297:I297"/>
    <mergeCell ref="B302:K302"/>
    <mergeCell ref="B303:I303"/>
    <mergeCell ref="B305:I305"/>
    <mergeCell ref="B309:I309"/>
    <mergeCell ref="B301:I301"/>
    <mergeCell ref="B290:I290"/>
    <mergeCell ref="B293:I293"/>
    <mergeCell ref="B294:I294"/>
    <mergeCell ref="B295:I295"/>
    <mergeCell ref="B296:I296"/>
    <mergeCell ref="M268:V268"/>
    <mergeCell ref="M270:V270"/>
    <mergeCell ref="M271:V271"/>
    <mergeCell ref="M272:V272"/>
    <mergeCell ref="B273:I273"/>
    <mergeCell ref="M273:V273"/>
    <mergeCell ref="A59:K59"/>
    <mergeCell ref="A117:K117"/>
    <mergeCell ref="A198:K198"/>
    <mergeCell ref="A262:K262"/>
    <mergeCell ref="B267:C267"/>
    <mergeCell ref="B310:I310"/>
    <mergeCell ref="L274:L276"/>
    <mergeCell ref="M274:V274"/>
    <mergeCell ref="B275:I275"/>
    <mergeCell ref="B276:I276"/>
    <mergeCell ref="B292:I292"/>
    <mergeCell ref="B277:I277"/>
    <mergeCell ref="M277:V277"/>
    <mergeCell ref="B278:I278"/>
    <mergeCell ref="B282:I282"/>
    <mergeCell ref="B283:I283"/>
    <mergeCell ref="B285:I285"/>
    <mergeCell ref="B286:K286"/>
    <mergeCell ref="B287:I287"/>
    <mergeCell ref="B288:I288"/>
    <mergeCell ref="B289:I289"/>
  </mergeCells>
  <pageMargins left="0.25" right="0.25" top="0.5" bottom="0.5" header="0.3" footer="0.3"/>
  <pageSetup paperSize="17" scale="64" fitToHeight="0" orientation="landscape" r:id="rId1"/>
  <rowBreaks count="4" manualBreakCount="4">
    <brk id="52" max="10" man="1"/>
    <brk id="110" max="10" man="1"/>
    <brk id="190" max="10" man="1"/>
    <brk id="2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4DEF-3D35-4F9D-8A64-5242E290BDB8}">
  <sheetPr>
    <pageSetUpPr fitToPage="1"/>
  </sheetPr>
  <dimension ref="A1:G73"/>
  <sheetViews>
    <sheetView workbookViewId="0">
      <selection sqref="A1:G1"/>
    </sheetView>
  </sheetViews>
  <sheetFormatPr defaultColWidth="8.88671875" defaultRowHeight="12.75"/>
  <cols>
    <col min="1" max="1" width="32.77734375" style="39" customWidth="1"/>
    <col min="2" max="2" width="28.44140625" style="2" bestFit="1" customWidth="1"/>
    <col min="3" max="3" width="13.109375" style="114" bestFit="1" customWidth="1"/>
    <col min="4" max="4" width="6.6640625" style="2" bestFit="1" customWidth="1"/>
    <col min="5" max="5" width="5.77734375" style="2" bestFit="1" customWidth="1"/>
    <col min="6" max="6" width="9.6640625" style="2" bestFit="1" customWidth="1"/>
    <col min="7" max="16384" width="8.88671875" style="2"/>
  </cols>
  <sheetData>
    <row r="1" spans="1:7" ht="15" customHeight="1">
      <c r="A1" s="768" t="s">
        <v>824</v>
      </c>
      <c r="B1" s="768"/>
      <c r="C1" s="768"/>
      <c r="D1" s="768"/>
      <c r="E1" s="768"/>
      <c r="F1" s="768"/>
      <c r="G1" s="768"/>
    </row>
    <row r="2" spans="1:7" ht="15" customHeight="1">
      <c r="A2" s="770" t="s">
        <v>825</v>
      </c>
      <c r="B2" s="770"/>
      <c r="C2" s="770"/>
      <c r="D2" s="770"/>
      <c r="E2" s="770"/>
      <c r="F2" s="770"/>
      <c r="G2" s="770"/>
    </row>
    <row r="3" spans="1:7" ht="15" customHeight="1">
      <c r="A3" s="771" t="str">
        <f>+'Attachment O'!D5</f>
        <v>GridLiance Heartland LLC</v>
      </c>
      <c r="B3" s="771"/>
      <c r="C3" s="771"/>
      <c r="D3" s="771"/>
      <c r="E3" s="771"/>
      <c r="F3" s="771"/>
      <c r="G3" s="771"/>
    </row>
    <row r="5" spans="1:7" ht="15">
      <c r="A5" s="409" t="s">
        <v>826</v>
      </c>
      <c r="B5" s="410" t="s">
        <v>827</v>
      </c>
      <c r="C5" s="410" t="s">
        <v>828</v>
      </c>
    </row>
    <row r="6" spans="1:7" ht="15">
      <c r="A6" s="411"/>
      <c r="B6" s="411"/>
      <c r="C6" s="411"/>
    </row>
    <row r="7" spans="1:7" ht="15">
      <c r="A7" s="409" t="s">
        <v>829</v>
      </c>
      <c r="B7" s="412"/>
      <c r="C7" s="413"/>
    </row>
    <row r="8" spans="1:7" ht="15">
      <c r="A8" s="414">
        <v>350</v>
      </c>
      <c r="B8" s="412" t="s">
        <v>830</v>
      </c>
      <c r="C8" s="415" t="s">
        <v>344</v>
      </c>
    </row>
    <row r="9" spans="1:7" ht="15">
      <c r="A9" s="414">
        <v>352</v>
      </c>
      <c r="B9" s="412" t="s">
        <v>831</v>
      </c>
      <c r="C9" s="415">
        <v>1.5396999999999999E-2</v>
      </c>
    </row>
    <row r="10" spans="1:7" ht="15">
      <c r="A10" s="414">
        <v>353</v>
      </c>
      <c r="B10" s="412" t="s">
        <v>832</v>
      </c>
      <c r="C10" s="415">
        <v>2.0285000000000001E-2</v>
      </c>
      <c r="D10" s="275"/>
      <c r="E10" s="275"/>
    </row>
    <row r="11" spans="1:7" ht="15">
      <c r="A11" s="414">
        <v>354</v>
      </c>
      <c r="B11" s="412" t="s">
        <v>833</v>
      </c>
      <c r="C11" s="415">
        <v>1.8846999999999999E-2</v>
      </c>
      <c r="D11" s="275"/>
      <c r="E11" s="275"/>
    </row>
    <row r="12" spans="1:7" ht="15">
      <c r="A12" s="414">
        <v>355</v>
      </c>
      <c r="B12" s="412" t="s">
        <v>834</v>
      </c>
      <c r="C12" s="415">
        <v>2.1496000000000001E-2</v>
      </c>
      <c r="D12" s="275"/>
      <c r="E12" s="275"/>
    </row>
    <row r="13" spans="1:7" ht="15">
      <c r="A13" s="414">
        <v>356</v>
      </c>
      <c r="B13" s="412" t="s">
        <v>835</v>
      </c>
      <c r="C13" s="415">
        <v>2.0972999999999999E-2</v>
      </c>
      <c r="D13" s="275"/>
      <c r="E13" s="275"/>
    </row>
    <row r="14" spans="1:7" ht="15">
      <c r="A14" s="414">
        <v>357</v>
      </c>
      <c r="B14" s="412" t="s">
        <v>836</v>
      </c>
      <c r="C14" s="415">
        <v>1.3665E-2</v>
      </c>
      <c r="D14" s="275"/>
      <c r="E14" s="275"/>
    </row>
    <row r="15" spans="1:7" ht="15">
      <c r="A15" s="414">
        <v>358</v>
      </c>
      <c r="B15" s="412" t="s">
        <v>837</v>
      </c>
      <c r="C15" s="415">
        <v>1.8415999999999998E-2</v>
      </c>
      <c r="D15" s="275"/>
      <c r="E15" s="275"/>
    </row>
    <row r="16" spans="1:7" ht="15">
      <c r="A16" s="414">
        <v>359</v>
      </c>
      <c r="B16" s="412" t="s">
        <v>838</v>
      </c>
      <c r="C16" s="415">
        <v>0</v>
      </c>
      <c r="D16" s="275"/>
      <c r="E16" s="275"/>
    </row>
    <row r="17" spans="1:5" ht="15">
      <c r="A17" s="414"/>
      <c r="B17" s="412"/>
      <c r="C17" s="415"/>
      <c r="D17" s="275"/>
      <c r="E17" s="275"/>
    </row>
    <row r="18" spans="1:5" ht="15">
      <c r="A18" s="416" t="s">
        <v>839</v>
      </c>
      <c r="B18" s="412"/>
      <c r="C18" s="417"/>
      <c r="D18" s="275"/>
      <c r="E18" s="275"/>
    </row>
    <row r="19" spans="1:5" ht="15">
      <c r="A19" s="414">
        <v>302</v>
      </c>
      <c r="B19" s="412" t="s">
        <v>840</v>
      </c>
      <c r="C19" s="415" t="s">
        <v>344</v>
      </c>
      <c r="D19" s="275"/>
      <c r="E19" s="275"/>
    </row>
    <row r="20" spans="1:5" ht="15">
      <c r="A20" s="414">
        <v>303</v>
      </c>
      <c r="B20" s="412" t="s">
        <v>841</v>
      </c>
      <c r="C20" s="415">
        <v>0.2</v>
      </c>
      <c r="D20" s="275"/>
      <c r="E20" s="275"/>
    </row>
    <row r="21" spans="1:5" ht="15">
      <c r="A21" s="414">
        <v>390</v>
      </c>
      <c r="B21" s="418" t="s">
        <v>831</v>
      </c>
      <c r="C21" s="415">
        <v>2.1194000000000001E-2</v>
      </c>
      <c r="D21" s="275"/>
      <c r="E21" s="275"/>
    </row>
    <row r="22" spans="1:5" ht="15">
      <c r="A22" s="414">
        <v>391</v>
      </c>
      <c r="B22" s="418" t="s">
        <v>842</v>
      </c>
      <c r="C22" s="415">
        <v>5.0671000000000001E-2</v>
      </c>
      <c r="D22" s="275"/>
      <c r="E22" s="275"/>
    </row>
    <row r="23" spans="1:5" ht="15">
      <c r="A23" s="414">
        <v>391</v>
      </c>
      <c r="B23" s="418" t="s">
        <v>843</v>
      </c>
      <c r="C23" s="415">
        <v>0.25</v>
      </c>
      <c r="D23" s="275"/>
      <c r="E23" s="275"/>
    </row>
    <row r="24" spans="1:5" ht="15">
      <c r="A24" s="414">
        <v>392</v>
      </c>
      <c r="B24" s="418" t="s">
        <v>844</v>
      </c>
      <c r="C24" s="415">
        <v>0.109667</v>
      </c>
      <c r="D24" s="275"/>
      <c r="E24" s="275"/>
    </row>
    <row r="25" spans="1:5" ht="15">
      <c r="A25" s="414">
        <v>392</v>
      </c>
      <c r="B25" s="418" t="s">
        <v>845</v>
      </c>
      <c r="C25" s="415">
        <v>8.4139000000000005E-2</v>
      </c>
      <c r="D25" s="275"/>
      <c r="E25" s="275"/>
    </row>
    <row r="26" spans="1:5" ht="15">
      <c r="A26" s="414">
        <v>392</v>
      </c>
      <c r="B26" s="418" t="s">
        <v>846</v>
      </c>
      <c r="C26" s="415">
        <v>6.9486000000000006E-2</v>
      </c>
      <c r="D26" s="275"/>
      <c r="E26" s="275"/>
    </row>
    <row r="27" spans="1:5" ht="15">
      <c r="A27" s="414">
        <v>392</v>
      </c>
      <c r="B27" s="418" t="s">
        <v>847</v>
      </c>
      <c r="C27" s="415">
        <v>7.2363999999999998E-2</v>
      </c>
      <c r="D27" s="275"/>
      <c r="E27" s="275"/>
    </row>
    <row r="28" spans="1:5" ht="15">
      <c r="A28" s="414">
        <v>393</v>
      </c>
      <c r="B28" s="418" t="s">
        <v>848</v>
      </c>
      <c r="C28" s="415">
        <v>0.05</v>
      </c>
    </row>
    <row r="29" spans="1:5" ht="15">
      <c r="A29" s="414">
        <v>394</v>
      </c>
      <c r="B29" s="418" t="s">
        <v>849</v>
      </c>
      <c r="C29" s="415">
        <v>6.6671999999999995E-2</v>
      </c>
    </row>
    <row r="30" spans="1:5" ht="15">
      <c r="A30" s="414">
        <v>395</v>
      </c>
      <c r="B30" s="418" t="s">
        <v>850</v>
      </c>
      <c r="C30" s="415">
        <v>0.1</v>
      </c>
    </row>
    <row r="31" spans="1:5" ht="15">
      <c r="A31" s="414">
        <v>396</v>
      </c>
      <c r="B31" s="418" t="s">
        <v>851</v>
      </c>
      <c r="C31" s="415">
        <v>8.4139000000000005E-2</v>
      </c>
    </row>
    <row r="32" spans="1:5" ht="15">
      <c r="A32" s="414">
        <v>397</v>
      </c>
      <c r="B32" s="412" t="s">
        <v>852</v>
      </c>
      <c r="C32" s="415">
        <v>0.11111</v>
      </c>
    </row>
    <row r="33" spans="1:5" ht="15">
      <c r="A33" s="414">
        <v>398</v>
      </c>
      <c r="B33" s="418" t="s">
        <v>853</v>
      </c>
      <c r="C33" s="415">
        <v>6.6671999999999995E-2</v>
      </c>
    </row>
    <row r="34" spans="1:5" ht="15">
      <c r="A34" s="412"/>
      <c r="B34" s="412"/>
      <c r="C34" s="412"/>
      <c r="D34" s="419"/>
      <c r="E34" s="420"/>
    </row>
    <row r="35" spans="1:5" ht="15">
      <c r="A35" s="421" t="s">
        <v>854</v>
      </c>
      <c r="B35" s="412"/>
      <c r="C35" s="412"/>
      <c r="D35" s="419"/>
      <c r="E35" s="422"/>
    </row>
    <row r="36" spans="1:5" ht="15">
      <c r="A36" s="412" t="s">
        <v>855</v>
      </c>
      <c r="B36" s="412"/>
      <c r="C36" s="412"/>
      <c r="D36" s="419"/>
      <c r="E36" s="422"/>
    </row>
    <row r="37" spans="1:5" ht="15">
      <c r="A37" s="421" t="s">
        <v>856</v>
      </c>
      <c r="B37" s="412"/>
      <c r="C37" s="418"/>
      <c r="D37" s="423"/>
      <c r="E37" s="422"/>
    </row>
    <row r="38" spans="1:5" ht="15">
      <c r="A38" s="421" t="s">
        <v>857</v>
      </c>
      <c r="B38" s="424"/>
      <c r="C38" s="412"/>
      <c r="D38" s="422"/>
      <c r="E38" s="422"/>
    </row>
    <row r="39" spans="1:5" ht="15">
      <c r="A39" s="772" t="s">
        <v>858</v>
      </c>
      <c r="B39" s="773"/>
      <c r="C39" s="773"/>
    </row>
    <row r="40" spans="1:5" ht="15">
      <c r="A40" s="425" t="s">
        <v>859</v>
      </c>
      <c r="B40" s="426"/>
      <c r="C40" s="427"/>
    </row>
    <row r="41" spans="1:5">
      <c r="A41" s="428"/>
      <c r="B41" s="195"/>
      <c r="C41" s="113"/>
    </row>
    <row r="42" spans="1:5">
      <c r="A42" s="428"/>
      <c r="B42" s="195"/>
      <c r="C42" s="113"/>
    </row>
    <row r="43" spans="1:5">
      <c r="A43" s="428"/>
      <c r="B43" s="195"/>
      <c r="C43" s="113"/>
    </row>
    <row r="44" spans="1:5">
      <c r="A44" s="428"/>
      <c r="B44" s="195"/>
      <c r="C44" s="113"/>
    </row>
    <row r="45" spans="1:5">
      <c r="A45" s="428"/>
      <c r="B45" s="195"/>
      <c r="C45" s="113"/>
    </row>
    <row r="46" spans="1:5">
      <c r="A46" s="428"/>
      <c r="B46" s="195"/>
      <c r="C46" s="113"/>
    </row>
    <row r="47" spans="1:5">
      <c r="A47" s="428"/>
      <c r="B47" s="195"/>
      <c r="C47" s="113"/>
    </row>
    <row r="48" spans="1:5">
      <c r="A48" s="428"/>
      <c r="B48" s="195"/>
      <c r="C48" s="113"/>
    </row>
    <row r="49" spans="1:3">
      <c r="A49" s="428"/>
      <c r="B49" s="195"/>
      <c r="C49" s="113"/>
    </row>
    <row r="50" spans="1:3">
      <c r="A50" s="428"/>
      <c r="B50" s="195"/>
    </row>
    <row r="51" spans="1:3">
      <c r="A51" s="429"/>
      <c r="B51" s="195"/>
    </row>
    <row r="52" spans="1:3">
      <c r="A52" s="429"/>
      <c r="B52" s="195"/>
    </row>
    <row r="53" spans="1:3">
      <c r="A53" s="429"/>
    </row>
    <row r="54" spans="1:3">
      <c r="A54" s="429"/>
    </row>
    <row r="55" spans="1:3">
      <c r="A55" s="429"/>
    </row>
    <row r="56" spans="1:3">
      <c r="A56" s="429"/>
    </row>
    <row r="57" spans="1:3">
      <c r="A57" s="429"/>
    </row>
    <row r="58" spans="1:3">
      <c r="A58" s="429"/>
    </row>
    <row r="59" spans="1:3">
      <c r="A59" s="429"/>
    </row>
    <row r="60" spans="1:3">
      <c r="A60" s="429"/>
    </row>
    <row r="61" spans="1:3">
      <c r="A61" s="429"/>
    </row>
    <row r="62" spans="1:3">
      <c r="A62" s="429"/>
    </row>
    <row r="63" spans="1:3">
      <c r="A63" s="429"/>
    </row>
    <row r="64" spans="1:3">
      <c r="A64" s="429"/>
    </row>
    <row r="65" spans="1:1">
      <c r="A65" s="429"/>
    </row>
    <row r="66" spans="1:1">
      <c r="A66" s="429"/>
    </row>
    <row r="67" spans="1:1">
      <c r="A67" s="429"/>
    </row>
    <row r="68" spans="1:1">
      <c r="A68" s="429"/>
    </row>
    <row r="69" spans="1:1">
      <c r="A69" s="429"/>
    </row>
    <row r="70" spans="1:1">
      <c r="A70" s="429"/>
    </row>
    <row r="71" spans="1:1">
      <c r="A71" s="429"/>
    </row>
    <row r="72" spans="1:1">
      <c r="A72" s="429"/>
    </row>
    <row r="73" spans="1:1">
      <c r="A73" s="429"/>
    </row>
  </sheetData>
  <mergeCells count="4">
    <mergeCell ref="A1:G1"/>
    <mergeCell ref="A2:G2"/>
    <mergeCell ref="A3:G3"/>
    <mergeCell ref="A39:C39"/>
  </mergeCells>
  <pageMargins left="0.5" right="0"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B809A-2DA1-4516-9662-FB2E6E080A0E}">
  <sheetPr>
    <pageSetUpPr fitToPage="1"/>
  </sheetPr>
  <dimension ref="A1:O62"/>
  <sheetViews>
    <sheetView workbookViewId="0">
      <selection sqref="A1:G1"/>
    </sheetView>
  </sheetViews>
  <sheetFormatPr defaultColWidth="8.77734375" defaultRowHeight="15"/>
  <cols>
    <col min="1" max="1" width="7.44140625" style="2" customWidth="1"/>
    <col min="2" max="2" width="43.77734375" style="2" customWidth="1"/>
    <col min="3" max="3" width="16.44140625" style="2" customWidth="1"/>
    <col min="4" max="4" width="14.88671875" style="2" bestFit="1" customWidth="1"/>
    <col min="5" max="5" width="14.33203125" style="2" bestFit="1" customWidth="1"/>
    <col min="6" max="6" width="12.88671875" style="2" bestFit="1" customWidth="1"/>
    <col min="7" max="7" width="9.21875" customWidth="1"/>
  </cols>
  <sheetData>
    <row r="1" spans="1:15">
      <c r="A1" s="769" t="s">
        <v>860</v>
      </c>
      <c r="B1" s="769"/>
      <c r="C1" s="769"/>
      <c r="D1" s="769"/>
      <c r="E1" s="769"/>
      <c r="F1" s="769"/>
      <c r="G1" s="769"/>
    </row>
    <row r="2" spans="1:15">
      <c r="A2" s="774" t="s">
        <v>861</v>
      </c>
      <c r="B2" s="774"/>
      <c r="C2" s="774"/>
      <c r="D2" s="774"/>
      <c r="E2" s="774"/>
      <c r="F2" s="774"/>
      <c r="G2" s="774"/>
    </row>
    <row r="3" spans="1:15" ht="15.75" customHeight="1">
      <c r="A3" s="769" t="str">
        <f>+'Attachment O'!D5</f>
        <v>GridLiance Heartland LLC</v>
      </c>
      <c r="B3" s="769"/>
      <c r="C3" s="769"/>
      <c r="D3" s="769"/>
      <c r="E3" s="769"/>
      <c r="F3" s="769"/>
      <c r="G3" s="769"/>
      <c r="I3" s="430"/>
      <c r="J3" s="431"/>
      <c r="K3" s="432"/>
      <c r="L3" s="430"/>
      <c r="M3" s="433"/>
    </row>
    <row r="4" spans="1:15">
      <c r="C4" s="434"/>
      <c r="E4" s="435"/>
      <c r="I4" s="430"/>
      <c r="J4" s="431"/>
      <c r="K4" s="432"/>
    </row>
    <row r="5" spans="1:15">
      <c r="A5" s="365"/>
      <c r="B5" s="436" t="s">
        <v>862</v>
      </c>
      <c r="C5" s="364"/>
      <c r="D5" s="365"/>
      <c r="E5" s="437"/>
      <c r="I5" s="430"/>
      <c r="J5" s="432"/>
      <c r="K5" s="432"/>
      <c r="L5" s="438"/>
      <c r="M5" s="438"/>
    </row>
    <row r="6" spans="1:15" ht="39" customHeight="1">
      <c r="A6" s="365"/>
      <c r="B6" s="436"/>
      <c r="C6" s="364"/>
      <c r="D6" s="439"/>
      <c r="E6" s="439"/>
      <c r="F6" s="440"/>
      <c r="I6" s="430"/>
      <c r="K6" s="441"/>
      <c r="L6" s="442"/>
      <c r="M6" s="442"/>
      <c r="N6" s="442"/>
    </row>
    <row r="7" spans="1:15" ht="16.5" customHeight="1">
      <c r="A7" s="382" t="s">
        <v>506</v>
      </c>
      <c r="B7" s="364"/>
      <c r="C7" s="364"/>
      <c r="D7" s="440"/>
      <c r="E7" s="440"/>
      <c r="F7" s="440"/>
      <c r="I7" s="430"/>
      <c r="J7" s="443"/>
      <c r="K7" s="443"/>
      <c r="L7" s="444"/>
      <c r="M7" s="445"/>
    </row>
    <row r="8" spans="1:15" ht="25.5">
      <c r="A8" s="365">
        <v>1</v>
      </c>
      <c r="C8" s="446"/>
      <c r="D8" s="447" t="s">
        <v>863</v>
      </c>
      <c r="E8" s="439"/>
      <c r="F8" s="440"/>
      <c r="I8" s="430"/>
      <c r="J8" s="443"/>
      <c r="K8" s="443"/>
      <c r="L8" s="448"/>
      <c r="M8" s="445"/>
    </row>
    <row r="9" spans="1:15">
      <c r="A9" s="365">
        <v>2</v>
      </c>
      <c r="B9" s="449" t="s">
        <v>864</v>
      </c>
      <c r="C9" s="449" t="s">
        <v>810</v>
      </c>
      <c r="D9" s="69">
        <v>0</v>
      </c>
      <c r="E9" s="203"/>
      <c r="I9" s="430"/>
      <c r="J9" s="443"/>
      <c r="K9" s="443"/>
      <c r="L9" s="450"/>
      <c r="M9" s="450"/>
    </row>
    <row r="10" spans="1:15">
      <c r="A10" s="365">
        <v>3</v>
      </c>
      <c r="B10" s="449" t="s">
        <v>865</v>
      </c>
      <c r="C10" s="449" t="str">
        <f>+C9</f>
        <v>Note A</v>
      </c>
      <c r="D10" s="69">
        <v>0</v>
      </c>
      <c r="E10" s="203"/>
      <c r="I10" s="430"/>
      <c r="J10" s="443"/>
      <c r="K10" s="443"/>
      <c r="L10" s="443"/>
      <c r="M10" s="451"/>
    </row>
    <row r="11" spans="1:15">
      <c r="A11" s="365">
        <v>4</v>
      </c>
      <c r="B11" s="449" t="s">
        <v>866</v>
      </c>
      <c r="C11" s="449" t="s">
        <v>867</v>
      </c>
      <c r="D11" s="21">
        <f>IF(D10=0,0,D9/D10)</f>
        <v>0</v>
      </c>
      <c r="E11" s="452"/>
      <c r="F11" s="452"/>
      <c r="I11" s="430"/>
    </row>
    <row r="12" spans="1:15">
      <c r="A12" s="365">
        <v>5</v>
      </c>
      <c r="B12" s="449" t="s">
        <v>868</v>
      </c>
      <c r="C12" s="449" t="s">
        <v>45</v>
      </c>
      <c r="D12" s="453">
        <v>0</v>
      </c>
      <c r="E12" s="454"/>
      <c r="F12" s="452"/>
      <c r="I12" s="430"/>
      <c r="J12" s="443"/>
      <c r="N12" s="455"/>
    </row>
    <row r="13" spans="1:15">
      <c r="A13" s="365">
        <v>6</v>
      </c>
      <c r="B13" s="449" t="s">
        <v>869</v>
      </c>
      <c r="C13" s="449" t="s">
        <v>870</v>
      </c>
      <c r="D13" s="21">
        <f>D11*D12</f>
        <v>0</v>
      </c>
      <c r="E13" s="456"/>
      <c r="F13" s="452"/>
    </row>
    <row r="14" spans="1:15">
      <c r="A14" s="365">
        <v>7</v>
      </c>
      <c r="B14" s="449" t="s">
        <v>871</v>
      </c>
      <c r="C14" s="449"/>
      <c r="D14" s="449"/>
      <c r="E14" s="162"/>
      <c r="F14" s="452"/>
      <c r="G14" s="162"/>
      <c r="H14" s="162"/>
      <c r="I14" s="430"/>
      <c r="O14" s="162"/>
    </row>
    <row r="15" spans="1:15">
      <c r="F15" s="452"/>
      <c r="G15" s="162"/>
      <c r="H15" s="162"/>
      <c r="O15" s="162"/>
    </row>
    <row r="16" spans="1:15">
      <c r="A16" s="365">
        <v>8</v>
      </c>
      <c r="B16" s="449" t="s">
        <v>872</v>
      </c>
      <c r="D16" s="457"/>
      <c r="F16" s="452"/>
      <c r="G16" s="262"/>
      <c r="H16" s="262"/>
      <c r="O16" s="262"/>
    </row>
    <row r="17" spans="1:2">
      <c r="A17" s="458"/>
    </row>
    <row r="18" spans="1:2">
      <c r="A18" s="209" t="s">
        <v>348</v>
      </c>
      <c r="B18" s="162"/>
    </row>
    <row r="19" spans="1:2" ht="15.75" thickBot="1">
      <c r="A19" s="459" t="s">
        <v>349</v>
      </c>
      <c r="B19" s="162"/>
    </row>
    <row r="20" spans="1:2">
      <c r="A20" s="260" t="s">
        <v>350</v>
      </c>
      <c r="B20" s="162" t="s">
        <v>873</v>
      </c>
    </row>
    <row r="21" spans="1:2">
      <c r="A21" s="14" t="s">
        <v>352</v>
      </c>
      <c r="B21" s="2" t="s">
        <v>874</v>
      </c>
    </row>
    <row r="62" spans="9:9">
      <c r="I62">
        <v>0</v>
      </c>
    </row>
  </sheetData>
  <mergeCells count="3">
    <mergeCell ref="A1:G1"/>
    <mergeCell ref="A2:G2"/>
    <mergeCell ref="A3:G3"/>
  </mergeCells>
  <pageMargins left="0.5" right="0.1" top="0.75" bottom="0.7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B79DA-5B03-42B1-B77B-7111804A598D}">
  <sheetPr>
    <pageSetUpPr fitToPage="1"/>
  </sheetPr>
  <dimension ref="A1:T157"/>
  <sheetViews>
    <sheetView workbookViewId="0">
      <selection sqref="A1:I1"/>
    </sheetView>
  </sheetViews>
  <sheetFormatPr defaultColWidth="8.88671875" defaultRowHeight="15.75"/>
  <cols>
    <col min="1" max="1" width="5.5546875" style="460" customWidth="1"/>
    <col min="2" max="2" width="40" style="480" bestFit="1" customWidth="1"/>
    <col min="3" max="3" width="10.5546875" style="460" bestFit="1" customWidth="1"/>
    <col min="4" max="4" width="9.77734375" style="460" bestFit="1" customWidth="1"/>
    <col min="5" max="5" width="16.33203125" style="460" customWidth="1"/>
    <col min="6" max="6" width="12.109375" style="460" customWidth="1"/>
    <col min="7" max="7" width="11.88671875" style="460" customWidth="1"/>
    <col min="8" max="8" width="12" style="461" customWidth="1"/>
    <col min="9" max="9" width="32.109375" style="461" customWidth="1"/>
    <col min="10" max="10" width="8.88671875" style="461"/>
    <col min="11" max="11" width="12.109375" style="461" customWidth="1"/>
    <col min="12" max="12" width="12.77734375" style="461" customWidth="1"/>
    <col min="13" max="16384" width="8.88671875" style="461"/>
  </cols>
  <sheetData>
    <row r="1" spans="1:20" ht="18" customHeight="1">
      <c r="A1" s="775" t="s">
        <v>875</v>
      </c>
      <c r="B1" s="775"/>
      <c r="C1" s="775"/>
      <c r="D1" s="775"/>
      <c r="E1" s="775"/>
      <c r="F1" s="775"/>
      <c r="G1" s="775"/>
      <c r="H1" s="775"/>
      <c r="I1" s="775"/>
      <c r="J1" s="460"/>
      <c r="K1" s="460"/>
      <c r="L1" s="460"/>
    </row>
    <row r="2" spans="1:20" ht="18" customHeight="1">
      <c r="A2" s="776" t="str">
        <f>+'Attachment O'!D5</f>
        <v>GridLiance Heartland LLC</v>
      </c>
      <c r="B2" s="776"/>
      <c r="C2" s="776"/>
      <c r="D2" s="776"/>
      <c r="E2" s="776"/>
      <c r="F2" s="776"/>
      <c r="G2" s="776"/>
      <c r="H2" s="776"/>
      <c r="I2" s="776"/>
      <c r="J2" s="462"/>
      <c r="K2" s="462"/>
      <c r="L2" s="462"/>
    </row>
    <row r="3" spans="1:20" ht="18" customHeight="1">
      <c r="A3" s="775" t="str">
        <f>"Projection "&amp;'Attachment O'!$K$3</f>
        <v>Projection For the 12 months ended 12/31/2020</v>
      </c>
      <c r="B3" s="775"/>
      <c r="C3" s="775"/>
      <c r="D3" s="775"/>
      <c r="E3" s="775"/>
      <c r="F3" s="775"/>
      <c r="G3" s="775"/>
      <c r="H3" s="777"/>
      <c r="I3" s="775"/>
      <c r="J3" s="460"/>
      <c r="K3" s="460"/>
      <c r="L3" s="460"/>
    </row>
    <row r="4" spans="1:20" ht="18" customHeight="1">
      <c r="A4" s="463"/>
      <c r="B4" s="463"/>
      <c r="C4" s="463"/>
      <c r="D4" s="463"/>
      <c r="E4" s="463"/>
      <c r="F4" s="463"/>
      <c r="G4" s="463"/>
      <c r="H4" s="463"/>
      <c r="I4" s="463"/>
      <c r="J4" s="460"/>
      <c r="K4" s="460"/>
      <c r="L4" s="460"/>
    </row>
    <row r="5" spans="1:20" ht="18">
      <c r="B5" s="463" t="s">
        <v>350</v>
      </c>
      <c r="C5" s="463"/>
      <c r="D5" s="464"/>
      <c r="E5" s="464" t="s">
        <v>352</v>
      </c>
      <c r="F5" s="464" t="s">
        <v>354</v>
      </c>
      <c r="G5" s="464" t="s">
        <v>356</v>
      </c>
      <c r="H5" s="464" t="s">
        <v>357</v>
      </c>
      <c r="I5" s="465"/>
    </row>
    <row r="6" spans="1:20">
      <c r="B6" s="461"/>
      <c r="C6" s="461"/>
      <c r="D6" s="461"/>
      <c r="E6" s="461"/>
      <c r="F6" s="461"/>
      <c r="G6" s="461"/>
      <c r="H6" s="464" t="s">
        <v>876</v>
      </c>
      <c r="I6" s="460"/>
      <c r="T6" s="464"/>
    </row>
    <row r="7" spans="1:20">
      <c r="A7" s="466" t="s">
        <v>877</v>
      </c>
      <c r="B7" s="466" t="s">
        <v>878</v>
      </c>
      <c r="C7" s="467"/>
      <c r="D7" s="468"/>
      <c r="E7" s="469" t="s">
        <v>879</v>
      </c>
      <c r="F7" s="469" t="s">
        <v>880</v>
      </c>
      <c r="G7" s="469" t="s">
        <v>881</v>
      </c>
      <c r="H7" s="469" t="s">
        <v>21</v>
      </c>
      <c r="I7" s="467"/>
      <c r="T7" s="464"/>
    </row>
    <row r="8" spans="1:20">
      <c r="B8" s="470"/>
      <c r="D8" s="461"/>
      <c r="H8" s="460"/>
      <c r="I8" s="460"/>
      <c r="L8" s="471"/>
    </row>
    <row r="9" spans="1:20" ht="20.100000000000001" customHeight="1">
      <c r="A9" s="460">
        <v>1</v>
      </c>
      <c r="B9" s="460" t="s">
        <v>882</v>
      </c>
      <c r="D9" s="461"/>
      <c r="E9" s="472">
        <f>F25</f>
        <v>-30705.936986301367</v>
      </c>
      <c r="F9" s="472">
        <f>G25</f>
        <v>0</v>
      </c>
      <c r="G9" s="472">
        <f>H25</f>
        <v>0</v>
      </c>
      <c r="H9" s="472"/>
      <c r="I9" s="460" t="s">
        <v>883</v>
      </c>
    </row>
    <row r="10" spans="1:20" ht="20.100000000000001" customHeight="1">
      <c r="A10" s="460">
        <f t="shared" ref="A10:A16" si="0">+A9+1</f>
        <v>2</v>
      </c>
      <c r="B10" s="460" t="s">
        <v>884</v>
      </c>
      <c r="D10" s="461"/>
      <c r="E10" s="472">
        <f>F31</f>
        <v>0</v>
      </c>
      <c r="F10" s="472">
        <v>0</v>
      </c>
      <c r="G10" s="472">
        <f>H31</f>
        <v>0</v>
      </c>
      <c r="H10" s="472"/>
      <c r="I10" s="460" t="s">
        <v>885</v>
      </c>
    </row>
    <row r="11" spans="1:20" ht="20.100000000000001" customHeight="1">
      <c r="A11" s="460">
        <f t="shared" si="0"/>
        <v>3</v>
      </c>
      <c r="B11" s="460" t="s">
        <v>886</v>
      </c>
      <c r="D11" s="461"/>
      <c r="E11" s="472">
        <f>F37</f>
        <v>0</v>
      </c>
      <c r="F11" s="472">
        <f>G37</f>
        <v>0</v>
      </c>
      <c r="G11" s="472">
        <f>H37</f>
        <v>0</v>
      </c>
      <c r="H11" s="472"/>
      <c r="I11" s="460" t="s">
        <v>887</v>
      </c>
    </row>
    <row r="12" spans="1:20" ht="20.100000000000001" customHeight="1">
      <c r="A12" s="460">
        <f t="shared" si="0"/>
        <v>4</v>
      </c>
      <c r="B12" s="460" t="s">
        <v>888</v>
      </c>
      <c r="D12" s="461"/>
      <c r="E12" s="472">
        <f>SUM(E9:E11)</f>
        <v>-30705.936986301367</v>
      </c>
      <c r="F12" s="472">
        <f>SUM(F9:F11)</f>
        <v>0</v>
      </c>
      <c r="G12" s="472">
        <f>SUM(G9:G11)</f>
        <v>0</v>
      </c>
      <c r="H12" s="472"/>
      <c r="I12" s="473" t="s">
        <v>889</v>
      </c>
    </row>
    <row r="13" spans="1:20" ht="20.100000000000001" customHeight="1">
      <c r="A13" s="460">
        <f t="shared" si="0"/>
        <v>5</v>
      </c>
      <c r="B13" s="460" t="s">
        <v>890</v>
      </c>
      <c r="D13" s="461"/>
      <c r="G13" s="474">
        <f>+'Attachment O'!I217</f>
        <v>0.76738237337416204</v>
      </c>
      <c r="H13" s="460"/>
      <c r="I13" s="460" t="s">
        <v>891</v>
      </c>
    </row>
    <row r="14" spans="1:20" ht="20.100000000000001" customHeight="1">
      <c r="A14" s="460">
        <f t="shared" si="0"/>
        <v>6</v>
      </c>
      <c r="B14" s="460" t="s">
        <v>892</v>
      </c>
      <c r="D14" s="461"/>
      <c r="F14" s="475">
        <f>+'Attachment O'!G70</f>
        <v>0.76738237337416204</v>
      </c>
      <c r="H14" s="460"/>
      <c r="I14" s="460" t="s">
        <v>893</v>
      </c>
    </row>
    <row r="15" spans="1:20" ht="20.100000000000001" customHeight="1">
      <c r="A15" s="460">
        <f t="shared" si="0"/>
        <v>7</v>
      </c>
      <c r="B15" s="460" t="s">
        <v>894</v>
      </c>
      <c r="D15" s="461"/>
      <c r="E15" s="475">
        <v>1</v>
      </c>
      <c r="F15" s="475"/>
      <c r="H15" s="460"/>
      <c r="I15" s="476">
        <v>1</v>
      </c>
    </row>
    <row r="16" spans="1:20" ht="20.100000000000001" customHeight="1">
      <c r="A16" s="460">
        <f t="shared" si="0"/>
        <v>8</v>
      </c>
      <c r="B16" s="460" t="s">
        <v>895</v>
      </c>
      <c r="D16" s="461"/>
      <c r="E16" s="472">
        <f>+E15*E12</f>
        <v>-30705.936986301367</v>
      </c>
      <c r="F16" s="472">
        <f>+F14*F12</f>
        <v>0</v>
      </c>
      <c r="G16" s="472">
        <f>+G13*G12</f>
        <v>0</v>
      </c>
      <c r="H16" s="472">
        <f>+E16+F16+G16</f>
        <v>-30705.936986301367</v>
      </c>
      <c r="I16" s="477" t="s">
        <v>896</v>
      </c>
    </row>
    <row r="17" spans="1:17">
      <c r="B17" s="460"/>
      <c r="D17" s="461"/>
      <c r="E17" s="472"/>
      <c r="F17" s="472"/>
      <c r="G17" s="472"/>
      <c r="H17" s="472"/>
      <c r="I17" s="477"/>
    </row>
    <row r="18" spans="1:17">
      <c r="B18" s="460"/>
      <c r="D18" s="473"/>
      <c r="G18" s="472"/>
      <c r="I18" s="464"/>
    </row>
    <row r="19" spans="1:17">
      <c r="B19" s="463" t="s">
        <v>336</v>
      </c>
      <c r="C19" s="463" t="s">
        <v>337</v>
      </c>
      <c r="D19" s="463" t="s">
        <v>338</v>
      </c>
      <c r="E19" s="463" t="s">
        <v>339</v>
      </c>
      <c r="F19" s="463" t="s">
        <v>671</v>
      </c>
      <c r="G19" s="464" t="s">
        <v>672</v>
      </c>
      <c r="H19" s="464" t="s">
        <v>673</v>
      </c>
      <c r="I19" s="464"/>
    </row>
    <row r="20" spans="1:17" ht="31.5">
      <c r="A20" s="478"/>
      <c r="B20" s="479" t="s">
        <v>897</v>
      </c>
      <c r="C20" s="479" t="s">
        <v>663</v>
      </c>
      <c r="D20" s="479" t="s">
        <v>615</v>
      </c>
      <c r="E20" s="479" t="s">
        <v>898</v>
      </c>
      <c r="F20" s="479" t="s">
        <v>879</v>
      </c>
      <c r="G20" s="479" t="s">
        <v>880</v>
      </c>
      <c r="H20" s="479" t="s">
        <v>881</v>
      </c>
      <c r="I20" s="479"/>
      <c r="Q20" s="464"/>
    </row>
    <row r="21" spans="1:17">
      <c r="A21" s="460" t="s">
        <v>899</v>
      </c>
      <c r="D21" s="463"/>
      <c r="E21" s="463"/>
      <c r="F21" s="463"/>
      <c r="G21" s="461"/>
      <c r="Q21" s="464"/>
    </row>
    <row r="22" spans="1:17" ht="20.100000000000001" customHeight="1">
      <c r="A22" s="470">
        <f>A16+1</f>
        <v>9</v>
      </c>
      <c r="B22" s="480" t="s">
        <v>900</v>
      </c>
      <c r="C22" s="460" t="s">
        <v>771</v>
      </c>
      <c r="D22" s="481">
        <v>2019</v>
      </c>
      <c r="E22" s="474">
        <f>'8c- ADIT BOY'!C54</f>
        <v>0</v>
      </c>
      <c r="F22" s="474">
        <f>'8c- ADIT BOY'!E43</f>
        <v>0</v>
      </c>
      <c r="G22" s="482">
        <f>'8c- ADIT BOY'!F54</f>
        <v>0</v>
      </c>
      <c r="H22" s="482">
        <f>'8c- ADIT BOY'!G54</f>
        <v>0</v>
      </c>
      <c r="I22" s="483"/>
    </row>
    <row r="23" spans="1:17" ht="20.100000000000001" customHeight="1">
      <c r="A23" s="470">
        <f>A22+1</f>
        <v>10</v>
      </c>
      <c r="B23" s="480" t="s">
        <v>901</v>
      </c>
      <c r="C23" s="460" t="s">
        <v>771</v>
      </c>
      <c r="D23" s="481">
        <v>2020</v>
      </c>
      <c r="E23" s="474">
        <f>'8d- ADIT EOY'!C57-'8d- ADIT EOY'!C54</f>
        <v>0</v>
      </c>
      <c r="F23" s="474">
        <v>0</v>
      </c>
      <c r="G23" s="474">
        <f>'8d- ADIT EOY'!F57-'8d- ADIT EOY'!F54</f>
        <v>0</v>
      </c>
      <c r="H23" s="474">
        <f>'8d- ADIT EOY'!G57-'8d- ADIT EOY'!G54</f>
        <v>0</v>
      </c>
      <c r="I23" s="483"/>
    </row>
    <row r="24" spans="1:17" ht="20.100000000000001" customHeight="1">
      <c r="A24" s="470">
        <f>A23+1</f>
        <v>11</v>
      </c>
      <c r="B24" s="480" t="s">
        <v>902</v>
      </c>
      <c r="C24" s="460" t="s">
        <v>771</v>
      </c>
      <c r="D24" s="481">
        <f>D23</f>
        <v>2020</v>
      </c>
      <c r="E24" s="474">
        <f>'8b-ADIT Projection Proration'!F22</f>
        <v>-238461</v>
      </c>
      <c r="F24" s="474">
        <f>'8b-ADIT Projection Proration'!H22</f>
        <v>-30705.936986301367</v>
      </c>
      <c r="G24" s="482">
        <f>'8b-ADIT Projection Proration'!J22</f>
        <v>0</v>
      </c>
      <c r="H24" s="482">
        <f>'8b-ADIT Projection Proration'!L22</f>
        <v>0</v>
      </c>
      <c r="I24" s="483"/>
    </row>
    <row r="25" spans="1:17" ht="20.100000000000001" customHeight="1">
      <c r="A25" s="470">
        <f>A24+1</f>
        <v>12</v>
      </c>
      <c r="B25" s="480" t="s">
        <v>903</v>
      </c>
      <c r="E25" s="475">
        <f>E23+E24</f>
        <v>-238461</v>
      </c>
      <c r="F25" s="475">
        <f>F23+F24</f>
        <v>-30705.936986301367</v>
      </c>
      <c r="G25" s="475">
        <f>G23+G24</f>
        <v>0</v>
      </c>
      <c r="H25" s="475">
        <f>H23+H24</f>
        <v>0</v>
      </c>
      <c r="I25" s="475"/>
    </row>
    <row r="26" spans="1:17">
      <c r="A26" s="470"/>
      <c r="G26" s="461"/>
    </row>
    <row r="27" spans="1:17">
      <c r="A27" s="460" t="s">
        <v>904</v>
      </c>
      <c r="G27" s="461"/>
    </row>
    <row r="28" spans="1:17" ht="20.100000000000001" customHeight="1">
      <c r="A28" s="470">
        <f>A25+1</f>
        <v>13</v>
      </c>
      <c r="B28" s="480" t="s">
        <v>905</v>
      </c>
      <c r="C28" s="460" t="s">
        <v>771</v>
      </c>
      <c r="D28" s="481">
        <f>D22</f>
        <v>2019</v>
      </c>
      <c r="E28" s="472">
        <f>'8c- ADIT BOY'!C77</f>
        <v>0</v>
      </c>
      <c r="F28" s="472">
        <f>'8c- ADIT BOY'!E77</f>
        <v>0</v>
      </c>
      <c r="G28" s="482">
        <f>'8c- ADIT BOY'!F77</f>
        <v>0</v>
      </c>
      <c r="H28" s="482">
        <f>'8c- ADIT BOY'!G77</f>
        <v>0</v>
      </c>
      <c r="I28" s="483"/>
    </row>
    <row r="29" spans="1:17" ht="20.100000000000001" customHeight="1">
      <c r="A29" s="470">
        <f>A28+1</f>
        <v>14</v>
      </c>
      <c r="B29" s="480" t="s">
        <v>906</v>
      </c>
      <c r="C29" s="460" t="s">
        <v>771</v>
      </c>
      <c r="D29" s="481">
        <f t="shared" ref="D29:D30" si="1">D23</f>
        <v>2020</v>
      </c>
      <c r="E29" s="472">
        <f>'8d- ADIT EOY'!C80-'8d- ADIT EOY'!C77</f>
        <v>0</v>
      </c>
      <c r="F29" s="472">
        <f>'8d- ADIT EOY'!E80-'8d- ADIT EOY'!E77</f>
        <v>0</v>
      </c>
      <c r="G29" s="482">
        <f>'8d- ADIT EOY'!F80-'8d- ADIT EOY'!F77</f>
        <v>0</v>
      </c>
      <c r="H29" s="482">
        <f>'8d- ADIT EOY'!G80-'8d- ADIT EOY'!G77</f>
        <v>0</v>
      </c>
      <c r="I29" s="483"/>
    </row>
    <row r="30" spans="1:17" ht="20.100000000000001" customHeight="1">
      <c r="A30" s="470">
        <f>A29+1</f>
        <v>15</v>
      </c>
      <c r="B30" s="480" t="s">
        <v>907</v>
      </c>
      <c r="C30" s="460" t="s">
        <v>771</v>
      </c>
      <c r="D30" s="481">
        <f t="shared" si="1"/>
        <v>2020</v>
      </c>
      <c r="E30" s="472">
        <f>'8b-ADIT Projection Proration'!F38</f>
        <v>0</v>
      </c>
      <c r="F30" s="472">
        <f>'8b-ADIT Projection Proration'!H38</f>
        <v>0</v>
      </c>
      <c r="G30" s="482">
        <f>'8b-ADIT Projection Proration'!J38</f>
        <v>0</v>
      </c>
      <c r="H30" s="482">
        <f>'8b-ADIT Projection Proration'!L38</f>
        <v>0</v>
      </c>
      <c r="I30" s="483"/>
    </row>
    <row r="31" spans="1:17" ht="20.100000000000001" customHeight="1">
      <c r="A31" s="470">
        <f>A30+1</f>
        <v>16</v>
      </c>
      <c r="B31" s="480" t="s">
        <v>908</v>
      </c>
      <c r="E31" s="484">
        <f>E29+E30</f>
        <v>0</v>
      </c>
      <c r="F31" s="484">
        <f>F29+F30</f>
        <v>0</v>
      </c>
      <c r="G31" s="484">
        <f>G29+G30</f>
        <v>0</v>
      </c>
      <c r="H31" s="484">
        <f>H29+H30</f>
        <v>0</v>
      </c>
      <c r="I31" s="485"/>
    </row>
    <row r="32" spans="1:17">
      <c r="A32" s="470"/>
      <c r="G32" s="461"/>
    </row>
    <row r="33" spans="1:9">
      <c r="A33" s="460" t="s">
        <v>886</v>
      </c>
      <c r="G33" s="461"/>
    </row>
    <row r="34" spans="1:9" ht="20.100000000000001" customHeight="1">
      <c r="A34" s="470">
        <f>A31+1</f>
        <v>17</v>
      </c>
      <c r="B34" s="480" t="s">
        <v>909</v>
      </c>
      <c r="C34" s="460" t="s">
        <v>771</v>
      </c>
      <c r="D34" s="481">
        <f>D28</f>
        <v>2019</v>
      </c>
      <c r="E34" s="472">
        <f>'8c- ADIT BOY'!C29</f>
        <v>0</v>
      </c>
      <c r="F34" s="472">
        <f>'8c- ADIT BOY'!E29</f>
        <v>0</v>
      </c>
      <c r="G34" s="482">
        <f>'8c- ADIT BOY'!F29</f>
        <v>0</v>
      </c>
      <c r="H34" s="482">
        <f>'8c- ADIT BOY'!G29</f>
        <v>0</v>
      </c>
      <c r="I34" s="483"/>
    </row>
    <row r="35" spans="1:9" ht="20.100000000000001" customHeight="1">
      <c r="A35" s="470">
        <f>A34+1</f>
        <v>18</v>
      </c>
      <c r="B35" s="480" t="s">
        <v>910</v>
      </c>
      <c r="C35" s="460" t="s">
        <v>771</v>
      </c>
      <c r="D35" s="481">
        <f t="shared" ref="D35:D36" si="2">D29</f>
        <v>2020</v>
      </c>
      <c r="E35" s="472">
        <f>'8d- ADIT EOY'!C32-'8d- ADIT EOY'!C29</f>
        <v>0</v>
      </c>
      <c r="F35" s="472">
        <f>'8d- ADIT EOY'!E32-'8d- ADIT EOY'!E29</f>
        <v>0</v>
      </c>
      <c r="G35" s="482">
        <f>'8d- ADIT EOY'!F32-'8d- ADIT EOY'!F29</f>
        <v>0</v>
      </c>
      <c r="H35" s="482">
        <f>'8d- ADIT EOY'!G32-'8d- ADIT EOY'!G29</f>
        <v>0</v>
      </c>
      <c r="I35" s="483"/>
    </row>
    <row r="36" spans="1:9" ht="20.100000000000001" customHeight="1">
      <c r="A36" s="470">
        <f>A35+1</f>
        <v>19</v>
      </c>
      <c r="B36" s="480" t="s">
        <v>911</v>
      </c>
      <c r="C36" s="460" t="s">
        <v>771</v>
      </c>
      <c r="D36" s="481">
        <f t="shared" si="2"/>
        <v>2020</v>
      </c>
      <c r="E36" s="472">
        <f>'8b-ADIT Projection Proration'!F54</f>
        <v>0</v>
      </c>
      <c r="F36" s="472">
        <f>'8b-ADIT Projection Proration'!H54</f>
        <v>0</v>
      </c>
      <c r="G36" s="482">
        <f>'8b-ADIT Projection Proration'!J54</f>
        <v>0</v>
      </c>
      <c r="H36" s="482">
        <f>'8b-ADIT Projection Proration'!L54</f>
        <v>0</v>
      </c>
      <c r="I36" s="483"/>
    </row>
    <row r="37" spans="1:9" ht="20.100000000000001" customHeight="1">
      <c r="A37" s="470">
        <f>A36+1</f>
        <v>20</v>
      </c>
      <c r="B37" s="480" t="s">
        <v>912</v>
      </c>
      <c r="E37" s="484">
        <f>E35+E36</f>
        <v>0</v>
      </c>
      <c r="F37" s="484">
        <f>F35+F36</f>
        <v>0</v>
      </c>
      <c r="G37" s="484">
        <f>G35+G36</f>
        <v>0</v>
      </c>
      <c r="H37" s="484">
        <f>H35+H36</f>
        <v>0</v>
      </c>
      <c r="I37" s="485"/>
    </row>
    <row r="38" spans="1:9">
      <c r="B38" s="460"/>
      <c r="G38" s="461"/>
    </row>
    <row r="39" spans="1:9">
      <c r="B39" s="460"/>
      <c r="D39" s="486"/>
      <c r="E39" s="486"/>
      <c r="F39" s="486"/>
      <c r="G39" s="486"/>
      <c r="H39" s="487"/>
    </row>
    <row r="40" spans="1:9">
      <c r="D40" s="463"/>
    </row>
    <row r="41" spans="1:9">
      <c r="D41" s="472"/>
    </row>
    <row r="42" spans="1:9">
      <c r="D42" s="472"/>
    </row>
    <row r="43" spans="1:9">
      <c r="D43" s="472"/>
    </row>
    <row r="44" spans="1:9">
      <c r="D44" s="472"/>
    </row>
    <row r="45" spans="1:9">
      <c r="D45" s="472"/>
    </row>
    <row r="46" spans="1:9">
      <c r="D46" s="472"/>
    </row>
    <row r="47" spans="1:9">
      <c r="D47" s="472"/>
    </row>
    <row r="48" spans="1:9">
      <c r="D48" s="472"/>
    </row>
    <row r="49" spans="2:9">
      <c r="D49" s="472"/>
    </row>
    <row r="50" spans="2:9">
      <c r="D50" s="472"/>
    </row>
    <row r="51" spans="2:9">
      <c r="B51" s="460"/>
      <c r="D51" s="472"/>
    </row>
    <row r="52" spans="2:9">
      <c r="D52" s="472"/>
    </row>
    <row r="53" spans="2:9">
      <c r="B53" s="460"/>
      <c r="D53" s="472"/>
    </row>
    <row r="62" spans="2:9">
      <c r="I62" s="461">
        <v>0</v>
      </c>
    </row>
    <row r="65" spans="10:10">
      <c r="J65" s="460"/>
    </row>
    <row r="157" spans="8:8">
      <c r="H157" s="488"/>
    </row>
  </sheetData>
  <mergeCells count="3">
    <mergeCell ref="A1:I1"/>
    <mergeCell ref="A2:I2"/>
    <mergeCell ref="A3:I3"/>
  </mergeCells>
  <printOptions horizontalCentered="1"/>
  <pageMargins left="0.25" right="0.25" top="0.75" bottom="0.75" header="0.3" footer="0.3"/>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0EDA-FD19-4EB7-8FD5-4AB87B451392}">
  <sheetPr>
    <pageSetUpPr fitToPage="1"/>
  </sheetPr>
  <dimension ref="A1:T178"/>
  <sheetViews>
    <sheetView workbookViewId="0">
      <selection sqref="A1:L1"/>
    </sheetView>
  </sheetViews>
  <sheetFormatPr defaultColWidth="8.88671875" defaultRowHeight="15.75"/>
  <cols>
    <col min="1" max="1" width="5.5546875" style="460" customWidth="1"/>
    <col min="2" max="2" width="31.109375" style="480" customWidth="1"/>
    <col min="3" max="3" width="10.5546875" style="460" bestFit="1" customWidth="1"/>
    <col min="4" max="4" width="9.77734375" style="460" bestFit="1" customWidth="1"/>
    <col min="5" max="5" width="10" style="460" bestFit="1" customWidth="1"/>
    <col min="6" max="6" width="14.88671875" style="460" customWidth="1"/>
    <col min="7" max="7" width="12.109375" style="460" customWidth="1"/>
    <col min="8" max="8" width="11.88671875" style="460" customWidth="1"/>
    <col min="9" max="9" width="12" style="461" customWidth="1"/>
    <col min="10" max="10" width="15.88671875" style="461" customWidth="1"/>
    <col min="11" max="11" width="8.88671875" style="461"/>
    <col min="12" max="12" width="12.109375" style="461" customWidth="1"/>
    <col min="13" max="13" width="44.77734375" style="461" customWidth="1"/>
    <col min="14" max="16384" width="8.88671875" style="461"/>
  </cols>
  <sheetData>
    <row r="1" spans="1:20" ht="18" customHeight="1">
      <c r="A1" s="775" t="s">
        <v>913</v>
      </c>
      <c r="B1" s="775"/>
      <c r="C1" s="775"/>
      <c r="D1" s="775"/>
      <c r="E1" s="775"/>
      <c r="F1" s="775"/>
      <c r="G1" s="775"/>
      <c r="H1" s="775"/>
      <c r="I1" s="775"/>
      <c r="J1" s="775"/>
      <c r="K1" s="775"/>
      <c r="L1" s="775"/>
    </row>
    <row r="2" spans="1:20" ht="18" customHeight="1">
      <c r="A2" s="776" t="str">
        <f>+'8a-ADIT Projection'!A2:I2</f>
        <v>GridLiance Heartland LLC</v>
      </c>
      <c r="B2" s="776"/>
      <c r="C2" s="776"/>
      <c r="D2" s="776"/>
      <c r="E2" s="776"/>
      <c r="F2" s="776"/>
      <c r="G2" s="776"/>
      <c r="H2" s="776"/>
      <c r="I2" s="776"/>
      <c r="J2" s="776"/>
      <c r="K2" s="776"/>
      <c r="L2" s="776"/>
    </row>
    <row r="3" spans="1:20" ht="18" customHeight="1">
      <c r="A3" s="775" t="str">
        <f>"Projection "&amp;'Attachment O'!$K$3</f>
        <v>Projection For the 12 months ended 12/31/2020</v>
      </c>
      <c r="B3" s="775"/>
      <c r="C3" s="775"/>
      <c r="D3" s="775"/>
      <c r="E3" s="775"/>
      <c r="F3" s="775"/>
      <c r="G3" s="775"/>
      <c r="H3" s="777"/>
      <c r="I3" s="775"/>
      <c r="J3" s="775"/>
      <c r="K3" s="775"/>
      <c r="L3" s="775"/>
    </row>
    <row r="4" spans="1:20" ht="18">
      <c r="I4" s="465"/>
      <c r="J4" s="465"/>
    </row>
    <row r="5" spans="1:20">
      <c r="D5" s="461"/>
      <c r="E5" s="461"/>
      <c r="F5" s="461"/>
      <c r="G5" s="461"/>
      <c r="H5" s="461"/>
      <c r="J5" s="460"/>
      <c r="T5" s="464"/>
    </row>
    <row r="6" spans="1:20">
      <c r="B6" s="463" t="s">
        <v>336</v>
      </c>
      <c r="C6" s="463" t="s">
        <v>337</v>
      </c>
      <c r="D6" s="463" t="s">
        <v>338</v>
      </c>
      <c r="E6" s="463" t="s">
        <v>339</v>
      </c>
      <c r="F6" s="463" t="s">
        <v>671</v>
      </c>
      <c r="G6" s="463" t="s">
        <v>672</v>
      </c>
      <c r="H6" s="463" t="s">
        <v>673</v>
      </c>
      <c r="I6" s="464" t="s">
        <v>674</v>
      </c>
      <c r="J6" s="464" t="s">
        <v>675</v>
      </c>
      <c r="K6" s="464" t="s">
        <v>676</v>
      </c>
      <c r="L6" s="464" t="s">
        <v>677</v>
      </c>
    </row>
    <row r="7" spans="1:20" ht="47.25">
      <c r="A7" s="478"/>
      <c r="B7" s="479" t="s">
        <v>897</v>
      </c>
      <c r="C7" s="479" t="s">
        <v>663</v>
      </c>
      <c r="D7" s="479" t="s">
        <v>615</v>
      </c>
      <c r="E7" s="479" t="s">
        <v>914</v>
      </c>
      <c r="F7" s="479" t="s">
        <v>915</v>
      </c>
      <c r="G7" s="479" t="s">
        <v>75</v>
      </c>
      <c r="H7" s="479" t="s">
        <v>916</v>
      </c>
      <c r="I7" s="479" t="s">
        <v>880</v>
      </c>
      <c r="J7" s="479" t="s">
        <v>917</v>
      </c>
      <c r="K7" s="479" t="s">
        <v>881</v>
      </c>
      <c r="L7" s="479" t="s">
        <v>918</v>
      </c>
      <c r="T7" s="464"/>
    </row>
    <row r="8" spans="1:20">
      <c r="A8" s="460" t="s">
        <v>987</v>
      </c>
      <c r="D8" s="463"/>
      <c r="E8" s="463"/>
      <c r="F8" s="463"/>
      <c r="G8" s="463"/>
      <c r="L8" s="471"/>
      <c r="T8" s="464"/>
    </row>
    <row r="9" spans="1:20" ht="20.100000000000001" customHeight="1">
      <c r="A9" s="470">
        <v>1</v>
      </c>
      <c r="B9" s="480" t="s">
        <v>919</v>
      </c>
      <c r="C9" s="460" t="s">
        <v>771</v>
      </c>
      <c r="D9" s="481">
        <v>2019</v>
      </c>
      <c r="E9" s="489">
        <f>365/365</f>
        <v>1</v>
      </c>
      <c r="F9" s="472">
        <f>'8c- ADIT BOY'!C54</f>
        <v>0</v>
      </c>
      <c r="G9" s="472">
        <f>'8c- ADIT BOY'!E54</f>
        <v>0</v>
      </c>
      <c r="H9" s="484">
        <f t="shared" ref="H9:H21" si="0">E9*G9</f>
        <v>0</v>
      </c>
      <c r="I9" s="482">
        <f>'8c- ADIT BOY'!F54</f>
        <v>0</v>
      </c>
      <c r="J9" s="485">
        <f t="shared" ref="J9:J21" si="1">I9*E9</f>
        <v>0</v>
      </c>
      <c r="K9" s="482">
        <f>'8c- ADIT BOY'!G54</f>
        <v>0</v>
      </c>
      <c r="L9" s="485">
        <f t="shared" ref="L9:L21" si="2">E9*K9</f>
        <v>0</v>
      </c>
    </row>
    <row r="10" spans="1:20" ht="20.100000000000001" customHeight="1">
      <c r="A10" s="470">
        <f t="shared" ref="A10:A22" si="3">+A9+1</f>
        <v>2</v>
      </c>
      <c r="B10" s="480" t="s">
        <v>920</v>
      </c>
      <c r="C10" s="460" t="s">
        <v>696</v>
      </c>
      <c r="D10" s="481">
        <v>2020</v>
      </c>
      <c r="E10" s="489">
        <f>335/365</f>
        <v>0.9178082191780822</v>
      </c>
      <c r="F10" s="490">
        <v>0</v>
      </c>
      <c r="G10" s="490">
        <f>F10</f>
        <v>0</v>
      </c>
      <c r="H10" s="484">
        <f t="shared" si="0"/>
        <v>0</v>
      </c>
      <c r="I10" s="491">
        <v>0</v>
      </c>
      <c r="J10" s="485">
        <f t="shared" si="1"/>
        <v>0</v>
      </c>
      <c r="K10" s="491">
        <v>0</v>
      </c>
      <c r="L10" s="485">
        <f t="shared" si="2"/>
        <v>0</v>
      </c>
    </row>
    <row r="11" spans="1:20" ht="20.100000000000001" customHeight="1">
      <c r="A11" s="470">
        <f t="shared" si="3"/>
        <v>3</v>
      </c>
      <c r="B11" s="480" t="s">
        <v>920</v>
      </c>
      <c r="C11" s="460" t="s">
        <v>697</v>
      </c>
      <c r="D11" s="481">
        <v>2020</v>
      </c>
      <c r="E11" s="489">
        <f>307/365</f>
        <v>0.84109589041095889</v>
      </c>
      <c r="F11" s="490">
        <v>0</v>
      </c>
      <c r="G11" s="490">
        <f t="shared" ref="G11:G21" si="4">F11</f>
        <v>0</v>
      </c>
      <c r="H11" s="484">
        <f t="shared" si="0"/>
        <v>0</v>
      </c>
      <c r="I11" s="491">
        <v>0</v>
      </c>
      <c r="J11" s="485">
        <f t="shared" si="1"/>
        <v>0</v>
      </c>
      <c r="K11" s="491">
        <v>0</v>
      </c>
      <c r="L11" s="485">
        <f t="shared" si="2"/>
        <v>0</v>
      </c>
    </row>
    <row r="12" spans="1:20" ht="20.100000000000001" customHeight="1">
      <c r="A12" s="470">
        <f t="shared" si="3"/>
        <v>4</v>
      </c>
      <c r="B12" s="480" t="s">
        <v>920</v>
      </c>
      <c r="C12" s="460" t="s">
        <v>768</v>
      </c>
      <c r="D12" s="481">
        <v>2020</v>
      </c>
      <c r="E12" s="489">
        <f>276/365</f>
        <v>0.75616438356164384</v>
      </c>
      <c r="F12" s="490">
        <v>0</v>
      </c>
      <c r="G12" s="490">
        <f t="shared" si="4"/>
        <v>0</v>
      </c>
      <c r="H12" s="484">
        <f t="shared" si="0"/>
        <v>0</v>
      </c>
      <c r="I12" s="491">
        <v>0</v>
      </c>
      <c r="J12" s="485">
        <f t="shared" si="1"/>
        <v>0</v>
      </c>
      <c r="K12" s="491">
        <v>0</v>
      </c>
      <c r="L12" s="485">
        <f t="shared" si="2"/>
        <v>0</v>
      </c>
    </row>
    <row r="13" spans="1:20" ht="20.100000000000001" customHeight="1">
      <c r="A13" s="470">
        <f t="shared" si="3"/>
        <v>5</v>
      </c>
      <c r="B13" s="480" t="s">
        <v>920</v>
      </c>
      <c r="C13" s="460" t="s">
        <v>699</v>
      </c>
      <c r="D13" s="481">
        <v>2020</v>
      </c>
      <c r="E13" s="489">
        <f>246/365</f>
        <v>0.67397260273972603</v>
      </c>
      <c r="F13" s="490">
        <v>0</v>
      </c>
      <c r="G13" s="490">
        <f t="shared" si="4"/>
        <v>0</v>
      </c>
      <c r="H13" s="484">
        <f t="shared" si="0"/>
        <v>0</v>
      </c>
      <c r="I13" s="491">
        <v>0</v>
      </c>
      <c r="J13" s="485">
        <f t="shared" si="1"/>
        <v>0</v>
      </c>
      <c r="K13" s="491">
        <v>0</v>
      </c>
      <c r="L13" s="485">
        <f t="shared" si="2"/>
        <v>0</v>
      </c>
    </row>
    <row r="14" spans="1:20" ht="20.100000000000001" customHeight="1">
      <c r="A14" s="470">
        <f t="shared" si="3"/>
        <v>6</v>
      </c>
      <c r="B14" s="480" t="s">
        <v>920</v>
      </c>
      <c r="C14" s="460" t="s">
        <v>700</v>
      </c>
      <c r="D14" s="481">
        <v>2020</v>
      </c>
      <c r="E14" s="489">
        <f>215/365</f>
        <v>0.58904109589041098</v>
      </c>
      <c r="F14" s="490">
        <v>0</v>
      </c>
      <c r="G14" s="490">
        <f t="shared" si="4"/>
        <v>0</v>
      </c>
      <c r="H14" s="484">
        <f t="shared" si="0"/>
        <v>0</v>
      </c>
      <c r="I14" s="491">
        <v>0</v>
      </c>
      <c r="J14" s="485">
        <f t="shared" si="1"/>
        <v>0</v>
      </c>
      <c r="K14" s="491">
        <v>0</v>
      </c>
      <c r="L14" s="485">
        <f t="shared" si="2"/>
        <v>0</v>
      </c>
    </row>
    <row r="15" spans="1:20" ht="20.100000000000001" customHeight="1">
      <c r="A15" s="470">
        <f t="shared" si="3"/>
        <v>7</v>
      </c>
      <c r="B15" s="480" t="s">
        <v>920</v>
      </c>
      <c r="C15" s="460" t="s">
        <v>701</v>
      </c>
      <c r="D15" s="481">
        <v>2020</v>
      </c>
      <c r="E15" s="489">
        <f>185/365</f>
        <v>0.50684931506849318</v>
      </c>
      <c r="F15" s="490">
        <v>0</v>
      </c>
      <c r="G15" s="490">
        <f t="shared" si="4"/>
        <v>0</v>
      </c>
      <c r="H15" s="484">
        <f t="shared" si="0"/>
        <v>0</v>
      </c>
      <c r="I15" s="491">
        <v>0</v>
      </c>
      <c r="J15" s="485">
        <f t="shared" si="1"/>
        <v>0</v>
      </c>
      <c r="K15" s="491">
        <v>0</v>
      </c>
      <c r="L15" s="485">
        <f t="shared" si="2"/>
        <v>0</v>
      </c>
    </row>
    <row r="16" spans="1:20" ht="20.100000000000001" customHeight="1">
      <c r="A16" s="470">
        <f t="shared" si="3"/>
        <v>8</v>
      </c>
      <c r="B16" s="480" t="s">
        <v>920</v>
      </c>
      <c r="C16" s="460" t="s">
        <v>702</v>
      </c>
      <c r="D16" s="481">
        <v>2020</v>
      </c>
      <c r="E16" s="489">
        <f>154/365</f>
        <v>0.42191780821917807</v>
      </c>
      <c r="F16" s="490">
        <v>0</v>
      </c>
      <c r="G16" s="490">
        <f t="shared" si="4"/>
        <v>0</v>
      </c>
      <c r="H16" s="484">
        <f t="shared" si="0"/>
        <v>0</v>
      </c>
      <c r="I16" s="491">
        <v>0</v>
      </c>
      <c r="J16" s="485">
        <f t="shared" si="1"/>
        <v>0</v>
      </c>
      <c r="K16" s="491">
        <v>0</v>
      </c>
      <c r="L16" s="485">
        <f t="shared" si="2"/>
        <v>0</v>
      </c>
    </row>
    <row r="17" spans="1:20" ht="20.100000000000001" customHeight="1">
      <c r="A17" s="470">
        <f t="shared" si="3"/>
        <v>9</v>
      </c>
      <c r="B17" s="480" t="s">
        <v>920</v>
      </c>
      <c r="C17" s="460" t="s">
        <v>770</v>
      </c>
      <c r="D17" s="481">
        <v>2020</v>
      </c>
      <c r="E17" s="489">
        <f>123/365</f>
        <v>0.33698630136986302</v>
      </c>
      <c r="F17" s="490">
        <v>0</v>
      </c>
      <c r="G17" s="490">
        <f t="shared" si="4"/>
        <v>0</v>
      </c>
      <c r="H17" s="484">
        <f t="shared" si="0"/>
        <v>0</v>
      </c>
      <c r="I17" s="491">
        <v>0</v>
      </c>
      <c r="J17" s="485">
        <f t="shared" si="1"/>
        <v>0</v>
      </c>
      <c r="K17" s="491">
        <v>0</v>
      </c>
      <c r="L17" s="485">
        <f t="shared" si="2"/>
        <v>0</v>
      </c>
    </row>
    <row r="18" spans="1:20" ht="20.100000000000001" customHeight="1">
      <c r="A18" s="470">
        <f t="shared" si="3"/>
        <v>10</v>
      </c>
      <c r="B18" s="480" t="s">
        <v>920</v>
      </c>
      <c r="C18" s="460" t="s">
        <v>704</v>
      </c>
      <c r="D18" s="481">
        <v>2020</v>
      </c>
      <c r="E18" s="489">
        <f>93/365</f>
        <v>0.25479452054794521</v>
      </c>
      <c r="F18" s="490">
        <v>-59615.25</v>
      </c>
      <c r="G18" s="490">
        <f t="shared" si="4"/>
        <v>-59615.25</v>
      </c>
      <c r="H18" s="484">
        <f t="shared" si="0"/>
        <v>-15189.63904109589</v>
      </c>
      <c r="I18" s="491">
        <v>0</v>
      </c>
      <c r="J18" s="485">
        <f t="shared" si="1"/>
        <v>0</v>
      </c>
      <c r="K18" s="491">
        <v>0</v>
      </c>
      <c r="L18" s="485">
        <f t="shared" si="2"/>
        <v>0</v>
      </c>
    </row>
    <row r="19" spans="1:20" ht="20.100000000000001" customHeight="1">
      <c r="A19" s="470">
        <f t="shared" si="3"/>
        <v>11</v>
      </c>
      <c r="B19" s="480" t="s">
        <v>920</v>
      </c>
      <c r="C19" s="460" t="s">
        <v>705</v>
      </c>
      <c r="D19" s="481">
        <v>2020</v>
      </c>
      <c r="E19" s="489">
        <f>62/365</f>
        <v>0.16986301369863013</v>
      </c>
      <c r="F19" s="490">
        <v>-59615.25</v>
      </c>
      <c r="G19" s="490">
        <f t="shared" si="4"/>
        <v>-59615.25</v>
      </c>
      <c r="H19" s="484">
        <f t="shared" si="0"/>
        <v>-10126.42602739726</v>
      </c>
      <c r="I19" s="491">
        <v>0</v>
      </c>
      <c r="J19" s="485">
        <f t="shared" si="1"/>
        <v>0</v>
      </c>
      <c r="K19" s="491">
        <v>0</v>
      </c>
      <c r="L19" s="485">
        <f t="shared" si="2"/>
        <v>0</v>
      </c>
    </row>
    <row r="20" spans="1:20" ht="20.100000000000001" customHeight="1">
      <c r="A20" s="470">
        <f t="shared" si="3"/>
        <v>12</v>
      </c>
      <c r="B20" s="480" t="s">
        <v>920</v>
      </c>
      <c r="C20" s="460" t="s">
        <v>706</v>
      </c>
      <c r="D20" s="481">
        <v>2020</v>
      </c>
      <c r="E20" s="489">
        <f>32/365</f>
        <v>8.7671232876712329E-2</v>
      </c>
      <c r="F20" s="490">
        <v>-59615.25</v>
      </c>
      <c r="G20" s="490">
        <f t="shared" si="4"/>
        <v>-59615.25</v>
      </c>
      <c r="H20" s="484">
        <f t="shared" si="0"/>
        <v>-5226.5424657534249</v>
      </c>
      <c r="I20" s="491">
        <v>0</v>
      </c>
      <c r="J20" s="485">
        <f t="shared" si="1"/>
        <v>0</v>
      </c>
      <c r="K20" s="491">
        <v>0</v>
      </c>
      <c r="L20" s="485">
        <f t="shared" si="2"/>
        <v>0</v>
      </c>
    </row>
    <row r="21" spans="1:20" ht="20.100000000000001" customHeight="1">
      <c r="A21" s="470">
        <f t="shared" si="3"/>
        <v>13</v>
      </c>
      <c r="B21" s="480" t="s">
        <v>920</v>
      </c>
      <c r="C21" s="460" t="s">
        <v>771</v>
      </c>
      <c r="D21" s="481">
        <v>2020</v>
      </c>
      <c r="E21" s="489">
        <f>1/365</f>
        <v>2.7397260273972603E-3</v>
      </c>
      <c r="F21" s="490">
        <v>-59615.25</v>
      </c>
      <c r="G21" s="490">
        <f t="shared" si="4"/>
        <v>-59615.25</v>
      </c>
      <c r="H21" s="484">
        <f t="shared" si="0"/>
        <v>-163.32945205479453</v>
      </c>
      <c r="I21" s="491">
        <v>0</v>
      </c>
      <c r="J21" s="485">
        <f t="shared" si="1"/>
        <v>0</v>
      </c>
      <c r="K21" s="491">
        <v>0</v>
      </c>
      <c r="L21" s="485">
        <f t="shared" si="2"/>
        <v>0</v>
      </c>
    </row>
    <row r="22" spans="1:20" ht="20.100000000000001" customHeight="1">
      <c r="A22" s="470">
        <f t="shared" si="3"/>
        <v>14</v>
      </c>
      <c r="B22" s="480" t="s">
        <v>921</v>
      </c>
      <c r="F22" s="484">
        <f t="shared" ref="F22:L22" si="5">SUM(F9:F21)</f>
        <v>-238461</v>
      </c>
      <c r="G22" s="484">
        <f t="shared" si="5"/>
        <v>-238461</v>
      </c>
      <c r="H22" s="484">
        <f t="shared" si="5"/>
        <v>-30705.936986301367</v>
      </c>
      <c r="I22" s="485">
        <f t="shared" si="5"/>
        <v>0</v>
      </c>
      <c r="J22" s="485">
        <f t="shared" si="5"/>
        <v>0</v>
      </c>
      <c r="K22" s="485">
        <f t="shared" si="5"/>
        <v>0</v>
      </c>
      <c r="L22" s="485">
        <f t="shared" si="5"/>
        <v>0</v>
      </c>
    </row>
    <row r="23" spans="1:20">
      <c r="A23" s="470"/>
    </row>
    <row r="24" spans="1:20">
      <c r="A24" s="460" t="s">
        <v>988</v>
      </c>
      <c r="D24" s="463"/>
      <c r="E24" s="463"/>
      <c r="F24" s="463"/>
      <c r="G24" s="463"/>
      <c r="T24" s="464"/>
    </row>
    <row r="25" spans="1:20" ht="20.100000000000001" customHeight="1">
      <c r="A25" s="470">
        <f>A22+1</f>
        <v>15</v>
      </c>
      <c r="B25" s="480" t="s">
        <v>922</v>
      </c>
      <c r="C25" s="460" t="s">
        <v>771</v>
      </c>
      <c r="D25" s="481">
        <f>D9</f>
        <v>2019</v>
      </c>
      <c r="E25" s="489">
        <f>365/365</f>
        <v>1</v>
      </c>
      <c r="F25" s="474">
        <f>'8c- ADIT BOY'!C77</f>
        <v>0</v>
      </c>
      <c r="G25" s="474">
        <f>'8c- ADIT BOY'!E77</f>
        <v>0</v>
      </c>
      <c r="H25" s="475">
        <f t="shared" ref="H25:H37" si="6">E25*G25</f>
        <v>0</v>
      </c>
      <c r="I25" s="482">
        <f>'8c- ADIT BOY'!F77</f>
        <v>0</v>
      </c>
      <c r="J25" s="485">
        <f t="shared" ref="J25:J37" si="7">I25*E25</f>
        <v>0</v>
      </c>
      <c r="K25" s="482">
        <f>'8c- ADIT BOY'!G77</f>
        <v>0</v>
      </c>
      <c r="L25" s="485">
        <f t="shared" ref="L25:L37" si="8">E25*K25</f>
        <v>0</v>
      </c>
    </row>
    <row r="26" spans="1:20" ht="20.100000000000001" customHeight="1">
      <c r="A26" s="470">
        <f t="shared" ref="A26:A38" si="9">+A25+1</f>
        <v>16</v>
      </c>
      <c r="B26" s="480" t="s">
        <v>920</v>
      </c>
      <c r="C26" s="460" t="s">
        <v>696</v>
      </c>
      <c r="D26" s="481">
        <f t="shared" ref="D26:D37" si="10">D10</f>
        <v>2020</v>
      </c>
      <c r="E26" s="489">
        <f>335/365</f>
        <v>0.9178082191780822</v>
      </c>
      <c r="F26" s="492">
        <v>0</v>
      </c>
      <c r="G26" s="492">
        <v>0</v>
      </c>
      <c r="H26" s="475">
        <f t="shared" si="6"/>
        <v>0</v>
      </c>
      <c r="I26" s="491">
        <v>0</v>
      </c>
      <c r="J26" s="485">
        <f t="shared" si="7"/>
        <v>0</v>
      </c>
      <c r="K26" s="491">
        <v>0</v>
      </c>
      <c r="L26" s="485">
        <f t="shared" si="8"/>
        <v>0</v>
      </c>
    </row>
    <row r="27" spans="1:20" ht="20.100000000000001" customHeight="1">
      <c r="A27" s="470">
        <f t="shared" si="9"/>
        <v>17</v>
      </c>
      <c r="B27" s="480" t="s">
        <v>920</v>
      </c>
      <c r="C27" s="460" t="s">
        <v>697</v>
      </c>
      <c r="D27" s="481">
        <f t="shared" si="10"/>
        <v>2020</v>
      </c>
      <c r="E27" s="489">
        <f>307/365</f>
        <v>0.84109589041095889</v>
      </c>
      <c r="F27" s="492">
        <v>0</v>
      </c>
      <c r="G27" s="492">
        <v>0</v>
      </c>
      <c r="H27" s="475">
        <f t="shared" si="6"/>
        <v>0</v>
      </c>
      <c r="I27" s="491">
        <v>0</v>
      </c>
      <c r="J27" s="485">
        <f t="shared" si="7"/>
        <v>0</v>
      </c>
      <c r="K27" s="491">
        <v>0</v>
      </c>
      <c r="L27" s="485">
        <f t="shared" si="8"/>
        <v>0</v>
      </c>
    </row>
    <row r="28" spans="1:20" ht="20.100000000000001" customHeight="1">
      <c r="A28" s="470">
        <f t="shared" si="9"/>
        <v>18</v>
      </c>
      <c r="B28" s="480" t="s">
        <v>920</v>
      </c>
      <c r="C28" s="460" t="s">
        <v>768</v>
      </c>
      <c r="D28" s="481">
        <f t="shared" si="10"/>
        <v>2020</v>
      </c>
      <c r="E28" s="489">
        <f>276/365</f>
        <v>0.75616438356164384</v>
      </c>
      <c r="F28" s="492">
        <v>0</v>
      </c>
      <c r="G28" s="492">
        <v>0</v>
      </c>
      <c r="H28" s="475">
        <f t="shared" si="6"/>
        <v>0</v>
      </c>
      <c r="I28" s="491">
        <v>0</v>
      </c>
      <c r="J28" s="485">
        <f t="shared" si="7"/>
        <v>0</v>
      </c>
      <c r="K28" s="491">
        <v>0</v>
      </c>
      <c r="L28" s="485">
        <f t="shared" si="8"/>
        <v>0</v>
      </c>
    </row>
    <row r="29" spans="1:20" ht="20.100000000000001" customHeight="1">
      <c r="A29" s="470">
        <f t="shared" si="9"/>
        <v>19</v>
      </c>
      <c r="B29" s="480" t="s">
        <v>920</v>
      </c>
      <c r="C29" s="460" t="s">
        <v>699</v>
      </c>
      <c r="D29" s="481">
        <f t="shared" si="10"/>
        <v>2020</v>
      </c>
      <c r="E29" s="489">
        <f>246/365</f>
        <v>0.67397260273972603</v>
      </c>
      <c r="F29" s="492">
        <v>0</v>
      </c>
      <c r="G29" s="492">
        <v>0</v>
      </c>
      <c r="H29" s="475">
        <f t="shared" si="6"/>
        <v>0</v>
      </c>
      <c r="I29" s="491">
        <v>0</v>
      </c>
      <c r="J29" s="485">
        <f t="shared" si="7"/>
        <v>0</v>
      </c>
      <c r="K29" s="491">
        <v>0</v>
      </c>
      <c r="L29" s="485">
        <f t="shared" si="8"/>
        <v>0</v>
      </c>
    </row>
    <row r="30" spans="1:20" ht="20.100000000000001" customHeight="1">
      <c r="A30" s="470">
        <f t="shared" si="9"/>
        <v>20</v>
      </c>
      <c r="B30" s="480" t="s">
        <v>920</v>
      </c>
      <c r="C30" s="460" t="s">
        <v>700</v>
      </c>
      <c r="D30" s="481">
        <f t="shared" si="10"/>
        <v>2020</v>
      </c>
      <c r="E30" s="489">
        <f>215/365</f>
        <v>0.58904109589041098</v>
      </c>
      <c r="F30" s="492">
        <v>0</v>
      </c>
      <c r="G30" s="492">
        <v>0</v>
      </c>
      <c r="H30" s="475">
        <f t="shared" si="6"/>
        <v>0</v>
      </c>
      <c r="I30" s="491">
        <v>0</v>
      </c>
      <c r="J30" s="485">
        <f t="shared" si="7"/>
        <v>0</v>
      </c>
      <c r="K30" s="491">
        <v>0</v>
      </c>
      <c r="L30" s="485">
        <f t="shared" si="8"/>
        <v>0</v>
      </c>
    </row>
    <row r="31" spans="1:20" ht="20.100000000000001" customHeight="1">
      <c r="A31" s="470">
        <f t="shared" si="9"/>
        <v>21</v>
      </c>
      <c r="B31" s="480" t="s">
        <v>920</v>
      </c>
      <c r="C31" s="460" t="s">
        <v>701</v>
      </c>
      <c r="D31" s="481">
        <f t="shared" si="10"/>
        <v>2020</v>
      </c>
      <c r="E31" s="489">
        <f>185/365</f>
        <v>0.50684931506849318</v>
      </c>
      <c r="F31" s="492">
        <v>0</v>
      </c>
      <c r="G31" s="492">
        <v>0</v>
      </c>
      <c r="H31" s="475">
        <f t="shared" si="6"/>
        <v>0</v>
      </c>
      <c r="I31" s="491">
        <v>0</v>
      </c>
      <c r="J31" s="485">
        <f t="shared" si="7"/>
        <v>0</v>
      </c>
      <c r="K31" s="491">
        <v>0</v>
      </c>
      <c r="L31" s="485">
        <f t="shared" si="8"/>
        <v>0</v>
      </c>
    </row>
    <row r="32" spans="1:20" ht="20.100000000000001" customHeight="1">
      <c r="A32" s="470">
        <f t="shared" si="9"/>
        <v>22</v>
      </c>
      <c r="B32" s="480" t="s">
        <v>920</v>
      </c>
      <c r="C32" s="460" t="s">
        <v>702</v>
      </c>
      <c r="D32" s="481">
        <f t="shared" si="10"/>
        <v>2020</v>
      </c>
      <c r="E32" s="489">
        <f>154/365</f>
        <v>0.42191780821917807</v>
      </c>
      <c r="F32" s="492">
        <v>0</v>
      </c>
      <c r="G32" s="492">
        <v>0</v>
      </c>
      <c r="H32" s="475">
        <f t="shared" si="6"/>
        <v>0</v>
      </c>
      <c r="I32" s="491">
        <v>0</v>
      </c>
      <c r="J32" s="485">
        <f t="shared" si="7"/>
        <v>0</v>
      </c>
      <c r="K32" s="491">
        <v>0</v>
      </c>
      <c r="L32" s="485">
        <f t="shared" si="8"/>
        <v>0</v>
      </c>
    </row>
    <row r="33" spans="1:20" ht="20.100000000000001" customHeight="1">
      <c r="A33" s="470">
        <f t="shared" si="9"/>
        <v>23</v>
      </c>
      <c r="B33" s="480" t="s">
        <v>920</v>
      </c>
      <c r="C33" s="460" t="s">
        <v>770</v>
      </c>
      <c r="D33" s="481">
        <f t="shared" si="10"/>
        <v>2020</v>
      </c>
      <c r="E33" s="489">
        <f>123/365</f>
        <v>0.33698630136986302</v>
      </c>
      <c r="F33" s="492">
        <v>0</v>
      </c>
      <c r="G33" s="492">
        <v>0</v>
      </c>
      <c r="H33" s="475">
        <f t="shared" si="6"/>
        <v>0</v>
      </c>
      <c r="I33" s="491">
        <v>0</v>
      </c>
      <c r="J33" s="485">
        <f t="shared" si="7"/>
        <v>0</v>
      </c>
      <c r="K33" s="491">
        <v>0</v>
      </c>
      <c r="L33" s="485">
        <f t="shared" si="8"/>
        <v>0</v>
      </c>
    </row>
    <row r="34" spans="1:20" ht="20.100000000000001" customHeight="1">
      <c r="A34" s="470">
        <f t="shared" si="9"/>
        <v>24</v>
      </c>
      <c r="B34" s="480" t="s">
        <v>920</v>
      </c>
      <c r="C34" s="460" t="s">
        <v>704</v>
      </c>
      <c r="D34" s="481">
        <f t="shared" si="10"/>
        <v>2020</v>
      </c>
      <c r="E34" s="489">
        <f>93/365</f>
        <v>0.25479452054794521</v>
      </c>
      <c r="F34" s="492">
        <v>0</v>
      </c>
      <c r="G34" s="492">
        <v>0</v>
      </c>
      <c r="H34" s="475">
        <f t="shared" si="6"/>
        <v>0</v>
      </c>
      <c r="I34" s="491">
        <v>0</v>
      </c>
      <c r="J34" s="485">
        <f t="shared" si="7"/>
        <v>0</v>
      </c>
      <c r="K34" s="491">
        <v>0</v>
      </c>
      <c r="L34" s="485">
        <f t="shared" si="8"/>
        <v>0</v>
      </c>
    </row>
    <row r="35" spans="1:20" ht="20.100000000000001" customHeight="1">
      <c r="A35" s="470">
        <f t="shared" si="9"/>
        <v>25</v>
      </c>
      <c r="B35" s="480" t="s">
        <v>920</v>
      </c>
      <c r="C35" s="460" t="s">
        <v>705</v>
      </c>
      <c r="D35" s="481">
        <f t="shared" si="10"/>
        <v>2020</v>
      </c>
      <c r="E35" s="489">
        <f>62/365</f>
        <v>0.16986301369863013</v>
      </c>
      <c r="F35" s="492">
        <v>0</v>
      </c>
      <c r="G35" s="492">
        <v>0</v>
      </c>
      <c r="H35" s="475">
        <f t="shared" si="6"/>
        <v>0</v>
      </c>
      <c r="I35" s="491">
        <v>0</v>
      </c>
      <c r="J35" s="485">
        <f t="shared" si="7"/>
        <v>0</v>
      </c>
      <c r="K35" s="491">
        <v>0</v>
      </c>
      <c r="L35" s="485">
        <f t="shared" si="8"/>
        <v>0</v>
      </c>
    </row>
    <row r="36" spans="1:20" ht="20.100000000000001" customHeight="1">
      <c r="A36" s="470">
        <f t="shared" si="9"/>
        <v>26</v>
      </c>
      <c r="B36" s="480" t="s">
        <v>920</v>
      </c>
      <c r="C36" s="460" t="s">
        <v>706</v>
      </c>
      <c r="D36" s="481">
        <f t="shared" si="10"/>
        <v>2020</v>
      </c>
      <c r="E36" s="489">
        <f>32/365</f>
        <v>8.7671232876712329E-2</v>
      </c>
      <c r="F36" s="492">
        <v>0</v>
      </c>
      <c r="G36" s="492">
        <v>0</v>
      </c>
      <c r="H36" s="475">
        <f t="shared" si="6"/>
        <v>0</v>
      </c>
      <c r="I36" s="491">
        <v>0</v>
      </c>
      <c r="J36" s="485">
        <f t="shared" si="7"/>
        <v>0</v>
      </c>
      <c r="K36" s="491">
        <v>0</v>
      </c>
      <c r="L36" s="485">
        <f t="shared" si="8"/>
        <v>0</v>
      </c>
    </row>
    <row r="37" spans="1:20" ht="20.100000000000001" customHeight="1">
      <c r="A37" s="470">
        <f t="shared" si="9"/>
        <v>27</v>
      </c>
      <c r="B37" s="480" t="s">
        <v>920</v>
      </c>
      <c r="C37" s="460" t="s">
        <v>771</v>
      </c>
      <c r="D37" s="481">
        <f t="shared" si="10"/>
        <v>2020</v>
      </c>
      <c r="E37" s="489">
        <f>1/365</f>
        <v>2.7397260273972603E-3</v>
      </c>
      <c r="F37" s="492">
        <v>0</v>
      </c>
      <c r="G37" s="492">
        <v>0</v>
      </c>
      <c r="H37" s="475">
        <f t="shared" si="6"/>
        <v>0</v>
      </c>
      <c r="I37" s="491">
        <v>0</v>
      </c>
      <c r="J37" s="485">
        <f t="shared" si="7"/>
        <v>0</v>
      </c>
      <c r="K37" s="491">
        <v>0</v>
      </c>
      <c r="L37" s="485">
        <f t="shared" si="8"/>
        <v>0</v>
      </c>
    </row>
    <row r="38" spans="1:20" ht="20.100000000000001" customHeight="1">
      <c r="A38" s="470">
        <f t="shared" si="9"/>
        <v>28</v>
      </c>
      <c r="B38" s="480" t="s">
        <v>923</v>
      </c>
      <c r="F38" s="475">
        <f t="shared" ref="F38:L38" si="11">SUM(F25:F37)</f>
        <v>0</v>
      </c>
      <c r="G38" s="475">
        <f t="shared" si="11"/>
        <v>0</v>
      </c>
      <c r="H38" s="475">
        <f t="shared" si="11"/>
        <v>0</v>
      </c>
      <c r="I38" s="485">
        <f t="shared" si="11"/>
        <v>0</v>
      </c>
      <c r="J38" s="485">
        <f t="shared" si="11"/>
        <v>0</v>
      </c>
      <c r="K38" s="485">
        <f t="shared" si="11"/>
        <v>0</v>
      </c>
      <c r="L38" s="485">
        <f t="shared" si="11"/>
        <v>0</v>
      </c>
    </row>
    <row r="39" spans="1:20">
      <c r="A39" s="470"/>
      <c r="F39" s="475"/>
      <c r="G39" s="475"/>
      <c r="I39" s="485"/>
      <c r="J39" s="485"/>
      <c r="K39" s="485"/>
      <c r="L39" s="485"/>
    </row>
    <row r="40" spans="1:20">
      <c r="A40" s="460" t="s">
        <v>989</v>
      </c>
      <c r="D40" s="463"/>
      <c r="E40" s="463"/>
      <c r="F40" s="463"/>
      <c r="G40" s="463"/>
      <c r="T40" s="464"/>
    </row>
    <row r="41" spans="1:20" ht="20.100000000000001" customHeight="1">
      <c r="A41" s="470">
        <f>A38+1</f>
        <v>29</v>
      </c>
      <c r="B41" s="480" t="s">
        <v>924</v>
      </c>
      <c r="C41" s="460" t="s">
        <v>771</v>
      </c>
      <c r="D41" s="481">
        <f>D9</f>
        <v>2019</v>
      </c>
      <c r="E41" s="489">
        <f>365/365</f>
        <v>1</v>
      </c>
      <c r="F41" s="474">
        <f>'8c- ADIT BOY'!C29</f>
        <v>0</v>
      </c>
      <c r="G41" s="474">
        <f>'8c- ADIT BOY'!E29</f>
        <v>0</v>
      </c>
      <c r="H41" s="475">
        <f t="shared" ref="H41:H53" si="12">E41*G41</f>
        <v>0</v>
      </c>
      <c r="I41" s="482">
        <f>'8c- ADIT BOY'!F29</f>
        <v>0</v>
      </c>
      <c r="J41" s="485">
        <f t="shared" ref="J41:J53" si="13">I41*E41</f>
        <v>0</v>
      </c>
      <c r="K41" s="482">
        <f>'8c- ADIT BOY'!G29</f>
        <v>0</v>
      </c>
      <c r="L41" s="485">
        <f t="shared" ref="L41:L53" si="14">E41*K41</f>
        <v>0</v>
      </c>
    </row>
    <row r="42" spans="1:20" ht="20.100000000000001" customHeight="1">
      <c r="A42" s="470">
        <f t="shared" ref="A42:A54" si="15">+A41+1</f>
        <v>30</v>
      </c>
      <c r="B42" s="480" t="s">
        <v>920</v>
      </c>
      <c r="C42" s="460" t="s">
        <v>696</v>
      </c>
      <c r="D42" s="481">
        <f t="shared" ref="D42:D53" si="16">D10</f>
        <v>2020</v>
      </c>
      <c r="E42" s="489">
        <f>335/365</f>
        <v>0.9178082191780822</v>
      </c>
      <c r="F42" s="492">
        <v>0</v>
      </c>
      <c r="G42" s="492">
        <v>0</v>
      </c>
      <c r="H42" s="475">
        <f t="shared" si="12"/>
        <v>0</v>
      </c>
      <c r="I42" s="491">
        <v>0</v>
      </c>
      <c r="J42" s="485">
        <f t="shared" si="13"/>
        <v>0</v>
      </c>
      <c r="K42" s="491">
        <v>0</v>
      </c>
      <c r="L42" s="485">
        <f t="shared" si="14"/>
        <v>0</v>
      </c>
    </row>
    <row r="43" spans="1:20" ht="20.100000000000001" customHeight="1">
      <c r="A43" s="470">
        <f t="shared" si="15"/>
        <v>31</v>
      </c>
      <c r="B43" s="480" t="s">
        <v>920</v>
      </c>
      <c r="C43" s="460" t="s">
        <v>697</v>
      </c>
      <c r="D43" s="481">
        <f t="shared" si="16"/>
        <v>2020</v>
      </c>
      <c r="E43" s="489">
        <f>307/365</f>
        <v>0.84109589041095889</v>
      </c>
      <c r="F43" s="492">
        <v>0</v>
      </c>
      <c r="G43" s="492">
        <v>0</v>
      </c>
      <c r="H43" s="475">
        <f t="shared" si="12"/>
        <v>0</v>
      </c>
      <c r="I43" s="491">
        <v>0</v>
      </c>
      <c r="J43" s="485">
        <f t="shared" si="13"/>
        <v>0</v>
      </c>
      <c r="K43" s="491">
        <v>0</v>
      </c>
      <c r="L43" s="485">
        <f t="shared" si="14"/>
        <v>0</v>
      </c>
    </row>
    <row r="44" spans="1:20" ht="20.100000000000001" customHeight="1">
      <c r="A44" s="470">
        <f t="shared" si="15"/>
        <v>32</v>
      </c>
      <c r="B44" s="480" t="s">
        <v>920</v>
      </c>
      <c r="C44" s="460" t="s">
        <v>768</v>
      </c>
      <c r="D44" s="481">
        <f t="shared" si="16"/>
        <v>2020</v>
      </c>
      <c r="E44" s="489">
        <f>276/365</f>
        <v>0.75616438356164384</v>
      </c>
      <c r="F44" s="492">
        <v>0</v>
      </c>
      <c r="G44" s="492">
        <v>0</v>
      </c>
      <c r="H44" s="475">
        <f t="shared" si="12"/>
        <v>0</v>
      </c>
      <c r="I44" s="491">
        <v>0</v>
      </c>
      <c r="J44" s="485">
        <f t="shared" si="13"/>
        <v>0</v>
      </c>
      <c r="K44" s="491">
        <v>0</v>
      </c>
      <c r="L44" s="485">
        <f t="shared" si="14"/>
        <v>0</v>
      </c>
    </row>
    <row r="45" spans="1:20" ht="20.100000000000001" customHeight="1">
      <c r="A45" s="470">
        <f t="shared" si="15"/>
        <v>33</v>
      </c>
      <c r="B45" s="480" t="s">
        <v>920</v>
      </c>
      <c r="C45" s="460" t="s">
        <v>699</v>
      </c>
      <c r="D45" s="481">
        <f t="shared" si="16"/>
        <v>2020</v>
      </c>
      <c r="E45" s="489">
        <f>246/365</f>
        <v>0.67397260273972603</v>
      </c>
      <c r="F45" s="492">
        <v>0</v>
      </c>
      <c r="G45" s="492">
        <v>0</v>
      </c>
      <c r="H45" s="475">
        <f t="shared" si="12"/>
        <v>0</v>
      </c>
      <c r="I45" s="491">
        <v>0</v>
      </c>
      <c r="J45" s="485">
        <f t="shared" si="13"/>
        <v>0</v>
      </c>
      <c r="K45" s="491">
        <v>0</v>
      </c>
      <c r="L45" s="485">
        <f t="shared" si="14"/>
        <v>0</v>
      </c>
    </row>
    <row r="46" spans="1:20" ht="20.100000000000001" customHeight="1">
      <c r="A46" s="470">
        <f t="shared" si="15"/>
        <v>34</v>
      </c>
      <c r="B46" s="480" t="s">
        <v>920</v>
      </c>
      <c r="C46" s="460" t="s">
        <v>700</v>
      </c>
      <c r="D46" s="481">
        <f t="shared" si="16"/>
        <v>2020</v>
      </c>
      <c r="E46" s="489">
        <f>215/365</f>
        <v>0.58904109589041098</v>
      </c>
      <c r="F46" s="492">
        <v>0</v>
      </c>
      <c r="G46" s="492">
        <v>0</v>
      </c>
      <c r="H46" s="475">
        <f t="shared" si="12"/>
        <v>0</v>
      </c>
      <c r="I46" s="491">
        <v>0</v>
      </c>
      <c r="J46" s="485">
        <f t="shared" si="13"/>
        <v>0</v>
      </c>
      <c r="K46" s="491">
        <v>0</v>
      </c>
      <c r="L46" s="485">
        <f t="shared" si="14"/>
        <v>0</v>
      </c>
    </row>
    <row r="47" spans="1:20" ht="20.100000000000001" customHeight="1">
      <c r="A47" s="470">
        <f t="shared" si="15"/>
        <v>35</v>
      </c>
      <c r="B47" s="480" t="s">
        <v>920</v>
      </c>
      <c r="C47" s="460" t="s">
        <v>701</v>
      </c>
      <c r="D47" s="481">
        <f t="shared" si="16"/>
        <v>2020</v>
      </c>
      <c r="E47" s="489">
        <f>185/365</f>
        <v>0.50684931506849318</v>
      </c>
      <c r="F47" s="492">
        <v>0</v>
      </c>
      <c r="G47" s="492">
        <v>0</v>
      </c>
      <c r="H47" s="475">
        <f t="shared" si="12"/>
        <v>0</v>
      </c>
      <c r="I47" s="491">
        <v>0</v>
      </c>
      <c r="J47" s="485">
        <f t="shared" si="13"/>
        <v>0</v>
      </c>
      <c r="K47" s="491">
        <v>0</v>
      </c>
      <c r="L47" s="485">
        <f t="shared" si="14"/>
        <v>0</v>
      </c>
    </row>
    <row r="48" spans="1:20" ht="20.100000000000001" customHeight="1">
      <c r="A48" s="470">
        <f t="shared" si="15"/>
        <v>36</v>
      </c>
      <c r="B48" s="480" t="s">
        <v>920</v>
      </c>
      <c r="C48" s="460" t="s">
        <v>702</v>
      </c>
      <c r="D48" s="481">
        <f t="shared" si="16"/>
        <v>2020</v>
      </c>
      <c r="E48" s="489">
        <f>154/365</f>
        <v>0.42191780821917807</v>
      </c>
      <c r="F48" s="492">
        <v>0</v>
      </c>
      <c r="G48" s="492">
        <v>0</v>
      </c>
      <c r="H48" s="475">
        <f t="shared" si="12"/>
        <v>0</v>
      </c>
      <c r="I48" s="491">
        <v>0</v>
      </c>
      <c r="J48" s="485">
        <f t="shared" si="13"/>
        <v>0</v>
      </c>
      <c r="K48" s="491">
        <v>0</v>
      </c>
      <c r="L48" s="485">
        <f t="shared" si="14"/>
        <v>0</v>
      </c>
    </row>
    <row r="49" spans="1:12" ht="20.100000000000001" customHeight="1">
      <c r="A49" s="470">
        <f t="shared" si="15"/>
        <v>37</v>
      </c>
      <c r="B49" s="480" t="s">
        <v>920</v>
      </c>
      <c r="C49" s="460" t="s">
        <v>770</v>
      </c>
      <c r="D49" s="481">
        <f t="shared" si="16"/>
        <v>2020</v>
      </c>
      <c r="E49" s="489">
        <f>123/365</f>
        <v>0.33698630136986302</v>
      </c>
      <c r="F49" s="492">
        <v>0</v>
      </c>
      <c r="G49" s="492">
        <v>0</v>
      </c>
      <c r="H49" s="475">
        <f t="shared" si="12"/>
        <v>0</v>
      </c>
      <c r="I49" s="491">
        <v>0</v>
      </c>
      <c r="J49" s="485">
        <f t="shared" si="13"/>
        <v>0</v>
      </c>
      <c r="K49" s="491">
        <v>0</v>
      </c>
      <c r="L49" s="485">
        <f t="shared" si="14"/>
        <v>0</v>
      </c>
    </row>
    <row r="50" spans="1:12" ht="20.100000000000001" customHeight="1">
      <c r="A50" s="470">
        <f t="shared" si="15"/>
        <v>38</v>
      </c>
      <c r="B50" s="480" t="s">
        <v>920</v>
      </c>
      <c r="C50" s="460" t="s">
        <v>704</v>
      </c>
      <c r="D50" s="481">
        <f t="shared" si="16"/>
        <v>2020</v>
      </c>
      <c r="E50" s="489">
        <f>93/365</f>
        <v>0.25479452054794521</v>
      </c>
      <c r="F50" s="492">
        <v>0</v>
      </c>
      <c r="G50" s="492">
        <v>0</v>
      </c>
      <c r="H50" s="475">
        <f t="shared" si="12"/>
        <v>0</v>
      </c>
      <c r="I50" s="491">
        <v>0</v>
      </c>
      <c r="J50" s="485">
        <f t="shared" si="13"/>
        <v>0</v>
      </c>
      <c r="K50" s="491">
        <v>0</v>
      </c>
      <c r="L50" s="485">
        <f t="shared" si="14"/>
        <v>0</v>
      </c>
    </row>
    <row r="51" spans="1:12" ht="20.100000000000001" customHeight="1">
      <c r="A51" s="470">
        <f t="shared" si="15"/>
        <v>39</v>
      </c>
      <c r="B51" s="480" t="s">
        <v>920</v>
      </c>
      <c r="C51" s="460" t="s">
        <v>705</v>
      </c>
      <c r="D51" s="481">
        <f t="shared" si="16"/>
        <v>2020</v>
      </c>
      <c r="E51" s="489">
        <f>62/365</f>
        <v>0.16986301369863013</v>
      </c>
      <c r="F51" s="492">
        <v>0</v>
      </c>
      <c r="G51" s="492">
        <v>0</v>
      </c>
      <c r="H51" s="475">
        <f t="shared" si="12"/>
        <v>0</v>
      </c>
      <c r="I51" s="491">
        <v>0</v>
      </c>
      <c r="J51" s="485">
        <f t="shared" si="13"/>
        <v>0</v>
      </c>
      <c r="K51" s="491">
        <v>0</v>
      </c>
      <c r="L51" s="485">
        <f t="shared" si="14"/>
        <v>0</v>
      </c>
    </row>
    <row r="52" spans="1:12" ht="20.100000000000001" customHeight="1">
      <c r="A52" s="470">
        <f t="shared" si="15"/>
        <v>40</v>
      </c>
      <c r="B52" s="480" t="s">
        <v>920</v>
      </c>
      <c r="C52" s="460" t="s">
        <v>706</v>
      </c>
      <c r="D52" s="481">
        <f t="shared" si="16"/>
        <v>2020</v>
      </c>
      <c r="E52" s="489">
        <f>32/365</f>
        <v>8.7671232876712329E-2</v>
      </c>
      <c r="F52" s="492">
        <v>0</v>
      </c>
      <c r="G52" s="492">
        <v>0</v>
      </c>
      <c r="H52" s="475">
        <f t="shared" si="12"/>
        <v>0</v>
      </c>
      <c r="I52" s="491">
        <v>0</v>
      </c>
      <c r="J52" s="485">
        <f t="shared" si="13"/>
        <v>0</v>
      </c>
      <c r="K52" s="491">
        <v>0</v>
      </c>
      <c r="L52" s="485">
        <f t="shared" si="14"/>
        <v>0</v>
      </c>
    </row>
    <row r="53" spans="1:12" ht="20.100000000000001" customHeight="1">
      <c r="A53" s="470">
        <f t="shared" si="15"/>
        <v>41</v>
      </c>
      <c r="B53" s="480" t="s">
        <v>920</v>
      </c>
      <c r="C53" s="460" t="s">
        <v>771</v>
      </c>
      <c r="D53" s="481">
        <f t="shared" si="16"/>
        <v>2020</v>
      </c>
      <c r="E53" s="489">
        <f>1/365</f>
        <v>2.7397260273972603E-3</v>
      </c>
      <c r="F53" s="492">
        <v>0</v>
      </c>
      <c r="G53" s="492">
        <v>0</v>
      </c>
      <c r="H53" s="475">
        <f t="shared" si="12"/>
        <v>0</v>
      </c>
      <c r="I53" s="491">
        <v>0</v>
      </c>
      <c r="J53" s="485">
        <f t="shared" si="13"/>
        <v>0</v>
      </c>
      <c r="K53" s="491">
        <v>0</v>
      </c>
      <c r="L53" s="485">
        <f t="shared" si="14"/>
        <v>0</v>
      </c>
    </row>
    <row r="54" spans="1:12" ht="20.100000000000001" customHeight="1">
      <c r="A54" s="470">
        <f t="shared" si="15"/>
        <v>42</v>
      </c>
      <c r="B54" s="480" t="s">
        <v>925</v>
      </c>
      <c r="F54" s="475">
        <f t="shared" ref="F54:L54" si="17">SUM(F41:F53)</f>
        <v>0</v>
      </c>
      <c r="G54" s="475">
        <f t="shared" si="17"/>
        <v>0</v>
      </c>
      <c r="H54" s="475">
        <f t="shared" si="17"/>
        <v>0</v>
      </c>
      <c r="I54" s="485">
        <f t="shared" si="17"/>
        <v>0</v>
      </c>
      <c r="J54" s="485">
        <f t="shared" si="17"/>
        <v>0</v>
      </c>
      <c r="K54" s="485">
        <f t="shared" si="17"/>
        <v>0</v>
      </c>
      <c r="L54" s="485">
        <f t="shared" si="17"/>
        <v>0</v>
      </c>
    </row>
    <row r="55" spans="1:12">
      <c r="B55" s="460"/>
    </row>
    <row r="56" spans="1:12">
      <c r="B56" s="460"/>
    </row>
    <row r="57" spans="1:12" ht="15.75" customHeight="1">
      <c r="A57" s="462" t="s">
        <v>926</v>
      </c>
      <c r="B57" s="460" t="s">
        <v>927</v>
      </c>
    </row>
    <row r="58" spans="1:12">
      <c r="A58" s="462" t="s">
        <v>928</v>
      </c>
      <c r="B58" s="460" t="s">
        <v>996</v>
      </c>
      <c r="D58" s="486"/>
      <c r="E58" s="486"/>
      <c r="F58" s="486"/>
      <c r="G58" s="486"/>
      <c r="H58" s="486"/>
      <c r="I58" s="487"/>
    </row>
    <row r="59" spans="1:12">
      <c r="A59" s="563" t="s">
        <v>350</v>
      </c>
      <c r="B59" s="460" t="s">
        <v>929</v>
      </c>
      <c r="D59" s="486"/>
      <c r="E59" s="486"/>
      <c r="F59" s="486"/>
      <c r="G59" s="486"/>
      <c r="H59" s="486"/>
      <c r="I59" s="487"/>
    </row>
    <row r="60" spans="1:12">
      <c r="A60" s="563" t="s">
        <v>352</v>
      </c>
      <c r="B60" s="460" t="s">
        <v>930</v>
      </c>
      <c r="D60" s="486"/>
      <c r="E60" s="486"/>
      <c r="F60" s="486"/>
      <c r="G60" s="486"/>
      <c r="H60" s="486"/>
      <c r="I60" s="487"/>
    </row>
    <row r="61" spans="1:12">
      <c r="A61" s="563" t="s">
        <v>354</v>
      </c>
      <c r="B61" s="480" t="s">
        <v>997</v>
      </c>
      <c r="D61" s="463"/>
      <c r="E61" s="463"/>
    </row>
    <row r="62" spans="1:12">
      <c r="D62" s="472"/>
      <c r="E62" s="472"/>
    </row>
    <row r="63" spans="1:12">
      <c r="D63" s="472"/>
      <c r="E63" s="472"/>
    </row>
    <row r="64" spans="1:12">
      <c r="D64" s="472"/>
      <c r="E64" s="472"/>
    </row>
    <row r="65" spans="2:10">
      <c r="D65" s="472"/>
      <c r="E65" s="472"/>
    </row>
    <row r="66" spans="2:10">
      <c r="D66" s="472"/>
      <c r="E66" s="472"/>
      <c r="J66" s="472"/>
    </row>
    <row r="67" spans="2:10">
      <c r="D67" s="472"/>
      <c r="E67" s="472"/>
    </row>
    <row r="68" spans="2:10">
      <c r="D68" s="472"/>
      <c r="E68" s="472"/>
    </row>
    <row r="69" spans="2:10">
      <c r="D69" s="472"/>
      <c r="E69" s="472"/>
    </row>
    <row r="70" spans="2:10">
      <c r="D70" s="472"/>
      <c r="E70" s="472"/>
    </row>
    <row r="71" spans="2:10">
      <c r="D71" s="472"/>
      <c r="E71" s="472"/>
    </row>
    <row r="72" spans="2:10">
      <c r="B72" s="460"/>
      <c r="D72" s="472"/>
      <c r="E72" s="472"/>
    </row>
    <row r="73" spans="2:10">
      <c r="D73" s="472"/>
      <c r="E73" s="472"/>
    </row>
    <row r="74" spans="2:10">
      <c r="B74" s="460"/>
      <c r="D74" s="472"/>
      <c r="E74" s="472"/>
    </row>
    <row r="178" spans="9:9">
      <c r="I178" s="488"/>
    </row>
  </sheetData>
  <mergeCells count="3">
    <mergeCell ref="A1:L1"/>
    <mergeCell ref="A2:L2"/>
    <mergeCell ref="A3:L3"/>
  </mergeCells>
  <printOptions horizontalCentered="1"/>
  <pageMargins left="0.25" right="0.25" top="0.5" bottom="0.5" header="0.3" footer="0.3"/>
  <pageSetup scale="45"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D9D1-DD17-4377-A974-A3485EDB7549}">
  <dimension ref="A1:U209"/>
  <sheetViews>
    <sheetView view="pageBreakPreview" zoomScale="60" zoomScaleNormal="90" workbookViewId="0">
      <selection sqref="A1:G1"/>
    </sheetView>
  </sheetViews>
  <sheetFormatPr defaultColWidth="8.88671875" defaultRowHeight="15.75"/>
  <cols>
    <col min="1" max="1" width="5.33203125" style="460" customWidth="1"/>
    <col min="2" max="2" width="51.44140625" style="480" customWidth="1"/>
    <col min="3" max="3" width="22.109375" style="460" customWidth="1"/>
    <col min="4" max="4" width="16.33203125" style="460" customWidth="1"/>
    <col min="5" max="5" width="11.88671875" style="460" customWidth="1"/>
    <col min="6" max="6" width="13.77734375" style="460" customWidth="1"/>
    <col min="7" max="7" width="13.109375" style="460" customWidth="1"/>
    <col min="8" max="8" width="77.5546875" style="460" customWidth="1"/>
    <col min="9" max="16384" width="8.88671875" style="461"/>
  </cols>
  <sheetData>
    <row r="1" spans="1:21" ht="18">
      <c r="A1" s="779" t="s">
        <v>931</v>
      </c>
      <c r="B1" s="780"/>
      <c r="C1" s="780"/>
      <c r="D1" s="780"/>
      <c r="E1" s="780"/>
      <c r="F1" s="780"/>
      <c r="G1" s="780"/>
      <c r="H1" s="566" t="s">
        <v>656</v>
      </c>
      <c r="I1" s="465"/>
      <c r="J1" s="465"/>
    </row>
    <row r="2" spans="1:21" ht="18">
      <c r="B2" s="775" t="str">
        <f>'Attachment O'!$K$3</f>
        <v>For the 12 months ended 12/31/2020</v>
      </c>
      <c r="C2" s="775"/>
      <c r="D2" s="775"/>
      <c r="E2" s="775"/>
      <c r="F2" s="775"/>
      <c r="G2" s="775"/>
      <c r="H2" s="775"/>
      <c r="I2" s="465"/>
      <c r="J2" s="465"/>
    </row>
    <row r="3" spans="1:21">
      <c r="D3" s="461"/>
      <c r="E3" s="461"/>
      <c r="F3" s="461"/>
      <c r="G3" s="461"/>
      <c r="U3" s="464"/>
    </row>
    <row r="4" spans="1:21" ht="34.5" customHeight="1">
      <c r="A4" s="466" t="s">
        <v>877</v>
      </c>
      <c r="B4" s="466" t="s">
        <v>878</v>
      </c>
      <c r="C4" s="467"/>
      <c r="D4" s="468"/>
      <c r="E4" s="469" t="s">
        <v>879</v>
      </c>
      <c r="F4" s="469" t="s">
        <v>880</v>
      </c>
      <c r="G4" s="466" t="s">
        <v>881</v>
      </c>
      <c r="H4" s="467"/>
      <c r="U4" s="464"/>
    </row>
    <row r="5" spans="1:21">
      <c r="B5" s="470"/>
      <c r="D5" s="461"/>
      <c r="L5" s="471"/>
    </row>
    <row r="6" spans="1:21" ht="20.100000000000001" customHeight="1">
      <c r="A6" s="460">
        <v>1</v>
      </c>
      <c r="B6" s="460" t="s">
        <v>899</v>
      </c>
      <c r="D6" s="461"/>
      <c r="E6" s="472">
        <f>+E54</f>
        <v>0</v>
      </c>
      <c r="F6" s="472">
        <f>+F54</f>
        <v>0</v>
      </c>
      <c r="G6" s="472">
        <f>+G54</f>
        <v>0</v>
      </c>
      <c r="H6" s="460" t="s">
        <v>932</v>
      </c>
    </row>
    <row r="7" spans="1:21" ht="20.100000000000001" customHeight="1">
      <c r="A7" s="460">
        <f>+A6+1</f>
        <v>2</v>
      </c>
      <c r="B7" s="460" t="s">
        <v>904</v>
      </c>
      <c r="D7" s="461"/>
      <c r="E7" s="472">
        <f>+E77</f>
        <v>0</v>
      </c>
      <c r="F7" s="472">
        <f>+F77</f>
        <v>0</v>
      </c>
      <c r="G7" s="472">
        <f>+G77</f>
        <v>0</v>
      </c>
      <c r="H7" s="460" t="s">
        <v>933</v>
      </c>
    </row>
    <row r="8" spans="1:21" ht="20.100000000000001" customHeight="1">
      <c r="A8" s="460">
        <f>+A7+1</f>
        <v>3</v>
      </c>
      <c r="B8" s="460" t="s">
        <v>886</v>
      </c>
      <c r="D8" s="461"/>
      <c r="E8" s="472">
        <f>E29</f>
        <v>0</v>
      </c>
      <c r="F8" s="472">
        <f>F29</f>
        <v>0</v>
      </c>
      <c r="G8" s="472">
        <f>G29</f>
        <v>0</v>
      </c>
      <c r="H8" s="460" t="s">
        <v>934</v>
      </c>
    </row>
    <row r="9" spans="1:21" ht="20.100000000000001" customHeight="1">
      <c r="A9" s="460">
        <f>+A8+1</f>
        <v>4</v>
      </c>
      <c r="B9" s="460" t="s">
        <v>935</v>
      </c>
      <c r="D9" s="461"/>
      <c r="E9" s="472">
        <f>SUM(E6:E8)</f>
        <v>0</v>
      </c>
      <c r="F9" s="472">
        <f>SUM(F6:F8)</f>
        <v>0</v>
      </c>
      <c r="G9" s="472">
        <f>SUM(G6:G8)</f>
        <v>0</v>
      </c>
      <c r="H9" s="473" t="s">
        <v>936</v>
      </c>
    </row>
    <row r="10" spans="1:21">
      <c r="B10" s="460"/>
      <c r="D10" s="473"/>
      <c r="H10" s="472"/>
    </row>
    <row r="11" spans="1:21">
      <c r="B11" s="460"/>
      <c r="H11" s="475"/>
    </row>
    <row r="12" spans="1:21" ht="33" customHeight="1">
      <c r="B12" s="782" t="s">
        <v>937</v>
      </c>
      <c r="C12" s="782"/>
      <c r="D12" s="782"/>
      <c r="E12" s="782"/>
      <c r="F12" s="782"/>
      <c r="G12" s="782"/>
      <c r="H12" s="782"/>
    </row>
    <row r="13" spans="1:21">
      <c r="C13" s="461"/>
      <c r="D13" s="463"/>
      <c r="E13" s="463"/>
      <c r="F13" s="463"/>
      <c r="G13" s="463"/>
    </row>
    <row r="14" spans="1:21">
      <c r="B14" s="463" t="s">
        <v>350</v>
      </c>
      <c r="C14" s="463" t="s">
        <v>352</v>
      </c>
      <c r="D14" s="463" t="s">
        <v>354</v>
      </c>
      <c r="E14" s="463" t="s">
        <v>356</v>
      </c>
      <c r="F14" s="463" t="s">
        <v>357</v>
      </c>
      <c r="G14" s="463" t="s">
        <v>359</v>
      </c>
      <c r="H14" s="463" t="s">
        <v>361</v>
      </c>
    </row>
    <row r="15" spans="1:21" ht="31.5">
      <c r="B15" s="480" t="s">
        <v>886</v>
      </c>
      <c r="C15" s="493" t="s">
        <v>21</v>
      </c>
      <c r="D15" s="493" t="s">
        <v>938</v>
      </c>
      <c r="E15" s="493" t="s">
        <v>879</v>
      </c>
      <c r="F15" s="493" t="s">
        <v>880</v>
      </c>
      <c r="G15" s="493" t="s">
        <v>881</v>
      </c>
      <c r="H15" s="493" t="s">
        <v>939</v>
      </c>
    </row>
    <row r="16" spans="1:21" ht="30" customHeight="1">
      <c r="A16" s="460">
        <f>A9+1</f>
        <v>5</v>
      </c>
      <c r="B16" s="494"/>
      <c r="C16" s="495"/>
      <c r="D16" s="496"/>
      <c r="E16" s="496"/>
      <c r="F16" s="496"/>
      <c r="G16" s="496"/>
      <c r="H16" s="497"/>
    </row>
    <row r="17" spans="1:8" ht="30" customHeight="1">
      <c r="A17" s="460">
        <f t="shared" ref="A17:A29" si="0">+A16+1</f>
        <v>6</v>
      </c>
      <c r="B17" s="498"/>
      <c r="C17" s="495"/>
      <c r="D17" s="496"/>
      <c r="E17" s="496"/>
      <c r="F17" s="496"/>
      <c r="G17" s="496"/>
      <c r="H17" s="497"/>
    </row>
    <row r="18" spans="1:8" ht="30" customHeight="1">
      <c r="A18" s="460">
        <f t="shared" si="0"/>
        <v>7</v>
      </c>
      <c r="B18" s="498"/>
      <c r="C18" s="495"/>
      <c r="D18" s="496"/>
      <c r="E18" s="496"/>
      <c r="F18" s="496"/>
      <c r="G18" s="496"/>
      <c r="H18" s="497"/>
    </row>
    <row r="19" spans="1:8" ht="30" customHeight="1">
      <c r="A19" s="460">
        <f t="shared" si="0"/>
        <v>8</v>
      </c>
      <c r="B19" s="498"/>
      <c r="C19" s="495"/>
      <c r="D19" s="496"/>
      <c r="E19" s="496"/>
      <c r="F19" s="496"/>
      <c r="G19" s="496"/>
      <c r="H19" s="497"/>
    </row>
    <row r="20" spans="1:8" ht="30" customHeight="1">
      <c r="A20" s="460">
        <f t="shared" si="0"/>
        <v>9</v>
      </c>
      <c r="B20" s="498"/>
      <c r="C20" s="495"/>
      <c r="D20" s="496"/>
      <c r="E20" s="496"/>
      <c r="F20" s="496"/>
      <c r="G20" s="496"/>
      <c r="H20" s="497"/>
    </row>
    <row r="21" spans="1:8" ht="30" customHeight="1">
      <c r="A21" s="460">
        <f t="shared" si="0"/>
        <v>10</v>
      </c>
      <c r="B21" s="498"/>
      <c r="C21" s="495"/>
      <c r="D21" s="496"/>
      <c r="E21" s="496"/>
      <c r="F21" s="496"/>
      <c r="G21" s="496"/>
      <c r="H21" s="497"/>
    </row>
    <row r="22" spans="1:8" ht="30" customHeight="1">
      <c r="A22" s="460">
        <f t="shared" si="0"/>
        <v>11</v>
      </c>
      <c r="B22" s="498"/>
      <c r="C22" s="495"/>
      <c r="D22" s="496"/>
      <c r="E22" s="496"/>
      <c r="F22" s="496"/>
      <c r="G22" s="496"/>
      <c r="H22" s="497"/>
    </row>
    <row r="23" spans="1:8" ht="30" customHeight="1">
      <c r="A23" s="460">
        <f t="shared" si="0"/>
        <v>12</v>
      </c>
      <c r="B23" s="498"/>
      <c r="C23" s="495"/>
      <c r="D23" s="499"/>
      <c r="E23" s="496"/>
      <c r="F23" s="496"/>
      <c r="G23" s="496"/>
      <c r="H23" s="497"/>
    </row>
    <row r="24" spans="1:8" ht="30" customHeight="1">
      <c r="A24" s="460">
        <f t="shared" si="0"/>
        <v>13</v>
      </c>
      <c r="B24" s="498"/>
      <c r="C24" s="495"/>
      <c r="D24" s="496"/>
      <c r="E24" s="496"/>
      <c r="F24" s="496"/>
      <c r="G24" s="496"/>
      <c r="H24" s="497"/>
    </row>
    <row r="25" spans="1:8" ht="30" customHeight="1">
      <c r="A25" s="460">
        <f t="shared" si="0"/>
        <v>14</v>
      </c>
      <c r="B25" s="500" t="s">
        <v>940</v>
      </c>
      <c r="C25" s="501"/>
      <c r="D25" s="501"/>
      <c r="E25" s="501"/>
      <c r="F25" s="501"/>
      <c r="G25" s="501"/>
      <c r="H25" s="502" t="s">
        <v>941</v>
      </c>
    </row>
    <row r="26" spans="1:8" ht="20.100000000000001" customHeight="1">
      <c r="A26" s="460">
        <f t="shared" si="0"/>
        <v>15</v>
      </c>
      <c r="B26" s="503" t="s">
        <v>942</v>
      </c>
      <c r="C26" s="504">
        <f>SUBTOTAL(9,C16:C25)</f>
        <v>0</v>
      </c>
      <c r="D26" s="504">
        <f>SUM(D16:D25)</f>
        <v>0</v>
      </c>
      <c r="E26" s="504">
        <f>SUM(E16:E25)</f>
        <v>0</v>
      </c>
      <c r="F26" s="504">
        <f>SUM(F16:F25)</f>
        <v>0</v>
      </c>
      <c r="G26" s="504">
        <f>SUM(G16:G25)</f>
        <v>0</v>
      </c>
      <c r="H26" s="505"/>
    </row>
    <row r="27" spans="1:8" ht="20.100000000000001" customHeight="1">
      <c r="A27" s="460">
        <f t="shared" si="0"/>
        <v>16</v>
      </c>
      <c r="B27" s="506" t="s">
        <v>943</v>
      </c>
      <c r="C27" s="507"/>
      <c r="D27" s="507"/>
      <c r="E27" s="507"/>
      <c r="F27" s="508"/>
      <c r="G27" s="509"/>
      <c r="H27" s="497"/>
    </row>
    <row r="28" spans="1:8" ht="20.100000000000001" customHeight="1">
      <c r="A28" s="460">
        <f t="shared" si="0"/>
        <v>17</v>
      </c>
      <c r="B28" s="510" t="s">
        <v>944</v>
      </c>
      <c r="C28" s="511"/>
      <c r="D28" s="511"/>
      <c r="E28" s="511"/>
      <c r="F28" s="511"/>
      <c r="G28" s="511"/>
      <c r="H28" s="512"/>
    </row>
    <row r="29" spans="1:8" ht="20.100000000000001" customHeight="1" thickBot="1">
      <c r="A29" s="460">
        <f t="shared" si="0"/>
        <v>18</v>
      </c>
      <c r="B29" s="513" t="s">
        <v>21</v>
      </c>
      <c r="C29" s="514">
        <f>+C26-C27-C28</f>
        <v>0</v>
      </c>
      <c r="D29" s="514">
        <f>+D26-D27-D28</f>
        <v>0</v>
      </c>
      <c r="E29" s="514">
        <f>+E26-E27-E28</f>
        <v>0</v>
      </c>
      <c r="F29" s="514">
        <f>+F26-F27-F28</f>
        <v>0</v>
      </c>
      <c r="G29" s="514">
        <f>+G26-G27-G28</f>
        <v>0</v>
      </c>
      <c r="H29" s="515"/>
    </row>
    <row r="30" spans="1:8" ht="20.100000000000001" customHeight="1" thickTop="1">
      <c r="B30" s="460" t="s">
        <v>945</v>
      </c>
      <c r="C30" s="473"/>
      <c r="D30" s="516"/>
      <c r="E30" s="463"/>
      <c r="G30" s="517"/>
    </row>
    <row r="31" spans="1:8" ht="20.100000000000001" customHeight="1">
      <c r="B31" s="778" t="s">
        <v>946</v>
      </c>
      <c r="C31" s="778"/>
      <c r="D31" s="778"/>
      <c r="E31" s="778"/>
      <c r="F31" s="778"/>
      <c r="G31" s="778"/>
    </row>
    <row r="32" spans="1:8" ht="20.100000000000001" customHeight="1">
      <c r="B32" s="480" t="s">
        <v>947</v>
      </c>
      <c r="F32" s="463"/>
      <c r="G32" s="463"/>
    </row>
    <row r="33" spans="1:8" ht="20.100000000000001" customHeight="1">
      <c r="B33" s="480" t="s">
        <v>948</v>
      </c>
      <c r="F33" s="463"/>
      <c r="G33" s="463"/>
    </row>
    <row r="34" spans="1:8" ht="20.100000000000001" customHeight="1">
      <c r="B34" s="480" t="s">
        <v>949</v>
      </c>
      <c r="F34" s="463"/>
      <c r="G34" s="463"/>
    </row>
    <row r="35" spans="1:8" ht="35.25" customHeight="1">
      <c r="B35" s="778" t="s">
        <v>1088</v>
      </c>
      <c r="C35" s="778"/>
      <c r="D35" s="778"/>
      <c r="E35" s="778"/>
      <c r="F35" s="778"/>
      <c r="G35" s="778"/>
      <c r="H35" s="518"/>
    </row>
    <row r="36" spans="1:8">
      <c r="B36" s="518"/>
      <c r="C36" s="518"/>
      <c r="D36" s="518"/>
      <c r="E36" s="518"/>
      <c r="F36" s="518"/>
      <c r="G36" s="518"/>
      <c r="H36" s="518"/>
    </row>
    <row r="37" spans="1:8">
      <c r="A37" s="532"/>
      <c r="B37" s="518"/>
      <c r="C37" s="518"/>
      <c r="D37" s="518"/>
      <c r="E37" s="518"/>
      <c r="F37" s="518"/>
      <c r="G37" s="518"/>
      <c r="H37" s="518"/>
    </row>
    <row r="38" spans="1:8">
      <c r="A38" s="779" t="s">
        <v>931</v>
      </c>
      <c r="B38" s="780"/>
      <c r="C38" s="780"/>
      <c r="D38" s="780"/>
      <c r="E38" s="780"/>
      <c r="F38" s="780"/>
      <c r="G38" s="780"/>
      <c r="H38" s="566" t="s">
        <v>717</v>
      </c>
    </row>
    <row r="39" spans="1:8">
      <c r="A39" s="775" t="str">
        <f>'Attachment O'!$K$3</f>
        <v>For the 12 months ended 12/31/2020</v>
      </c>
      <c r="B39" s="781"/>
      <c r="C39" s="781"/>
      <c r="D39" s="781"/>
      <c r="E39" s="781"/>
      <c r="F39" s="781"/>
      <c r="G39" s="781"/>
      <c r="H39" s="781"/>
    </row>
    <row r="40" spans="1:8">
      <c r="A40" s="532"/>
      <c r="B40" s="532"/>
      <c r="C40" s="532"/>
      <c r="D40" s="532"/>
      <c r="E40" s="532"/>
      <c r="F40" s="532"/>
      <c r="G40" s="532"/>
      <c r="H40" s="532"/>
    </row>
    <row r="41" spans="1:8">
      <c r="B41" s="463" t="s">
        <v>350</v>
      </c>
      <c r="C41" s="463" t="s">
        <v>352</v>
      </c>
      <c r="D41" s="463" t="s">
        <v>354</v>
      </c>
      <c r="E41" s="463" t="s">
        <v>356</v>
      </c>
      <c r="F41" s="463" t="s">
        <v>357</v>
      </c>
      <c r="G41" s="463" t="s">
        <v>359</v>
      </c>
      <c r="H41" s="463" t="s">
        <v>361</v>
      </c>
    </row>
    <row r="42" spans="1:8" ht="31.5">
      <c r="B42" s="460" t="s">
        <v>950</v>
      </c>
      <c r="C42" s="493" t="s">
        <v>21</v>
      </c>
      <c r="D42" s="493" t="s">
        <v>938</v>
      </c>
      <c r="E42" s="493" t="s">
        <v>879</v>
      </c>
      <c r="F42" s="493" t="s">
        <v>880</v>
      </c>
      <c r="G42" s="493" t="s">
        <v>881</v>
      </c>
      <c r="H42" s="493" t="s">
        <v>939</v>
      </c>
    </row>
    <row r="43" spans="1:8" ht="30" customHeight="1">
      <c r="A43" s="460">
        <f>A29+1</f>
        <v>19</v>
      </c>
      <c r="B43" s="498" t="s">
        <v>1183</v>
      </c>
      <c r="C43" s="495"/>
      <c r="D43" s="496"/>
      <c r="E43" s="496"/>
      <c r="F43" s="496"/>
      <c r="G43" s="496"/>
      <c r="H43" s="497" t="s">
        <v>1184</v>
      </c>
    </row>
    <row r="44" spans="1:8" ht="30" customHeight="1">
      <c r="A44" s="460">
        <f t="shared" ref="A44:A54" si="1">+A43+1</f>
        <v>20</v>
      </c>
      <c r="B44" s="498"/>
      <c r="C44" s="495"/>
      <c r="D44" s="496"/>
      <c r="E44" s="496"/>
      <c r="F44" s="496"/>
      <c r="G44" s="496"/>
      <c r="H44" s="497"/>
    </row>
    <row r="45" spans="1:8" ht="30" customHeight="1">
      <c r="A45" s="460">
        <f t="shared" si="1"/>
        <v>21</v>
      </c>
      <c r="B45" s="498"/>
      <c r="C45" s="495"/>
      <c r="D45" s="496"/>
      <c r="E45" s="496"/>
      <c r="F45" s="496"/>
      <c r="G45" s="496"/>
      <c r="H45" s="497"/>
    </row>
    <row r="46" spans="1:8" ht="30" customHeight="1">
      <c r="A46" s="460">
        <f t="shared" si="1"/>
        <v>22</v>
      </c>
      <c r="B46" s="498"/>
      <c r="C46" s="496"/>
      <c r="D46" s="496"/>
      <c r="E46" s="496"/>
      <c r="F46" s="496"/>
      <c r="G46" s="496"/>
      <c r="H46" s="497"/>
    </row>
    <row r="47" spans="1:8" ht="30" customHeight="1">
      <c r="A47" s="460">
        <f t="shared" si="1"/>
        <v>23</v>
      </c>
      <c r="B47" s="498"/>
      <c r="C47" s="496"/>
      <c r="D47" s="496"/>
      <c r="E47" s="496"/>
      <c r="F47" s="496"/>
      <c r="G47" s="496"/>
      <c r="H47" s="497"/>
    </row>
    <row r="48" spans="1:8" ht="30" customHeight="1">
      <c r="A48" s="460">
        <f t="shared" si="1"/>
        <v>24</v>
      </c>
      <c r="B48" s="519"/>
      <c r="C48" s="520"/>
      <c r="D48" s="520"/>
      <c r="E48" s="520"/>
      <c r="F48" s="520"/>
      <c r="G48" s="520"/>
      <c r="H48" s="497"/>
    </row>
    <row r="49" spans="1:8" ht="30" customHeight="1">
      <c r="A49" s="460">
        <f t="shared" si="1"/>
        <v>25</v>
      </c>
      <c r="B49" s="521"/>
      <c r="C49" s="520"/>
      <c r="D49" s="520"/>
      <c r="E49" s="520"/>
      <c r="F49" s="520"/>
      <c r="G49" s="520"/>
      <c r="H49" s="497"/>
    </row>
    <row r="50" spans="1:8" ht="30" customHeight="1">
      <c r="A50" s="460">
        <f t="shared" si="1"/>
        <v>26</v>
      </c>
      <c r="B50" s="500" t="s">
        <v>951</v>
      </c>
      <c r="C50" s="522">
        <v>0</v>
      </c>
      <c r="D50" s="522"/>
      <c r="E50" s="522">
        <f>C50</f>
        <v>0</v>
      </c>
      <c r="F50" s="522">
        <v>0</v>
      </c>
      <c r="G50" s="522"/>
      <c r="H50" s="502" t="s">
        <v>941</v>
      </c>
    </row>
    <row r="51" spans="1:8" ht="20.100000000000001" customHeight="1">
      <c r="A51" s="460">
        <f t="shared" si="1"/>
        <v>27</v>
      </c>
      <c r="B51" s="523" t="s">
        <v>952</v>
      </c>
      <c r="C51" s="504">
        <f>SUBTOTAL(9,C43:C50)</f>
        <v>0</v>
      </c>
      <c r="D51" s="504">
        <f>SUM(D43:D50)</f>
        <v>0</v>
      </c>
      <c r="E51" s="504">
        <f>SUM(E43:E50)</f>
        <v>0</v>
      </c>
      <c r="F51" s="504">
        <f>SUM(F43:F50)</f>
        <v>0</v>
      </c>
      <c r="G51" s="504">
        <f>SUM(G43:G50)</f>
        <v>0</v>
      </c>
      <c r="H51" s="505"/>
    </row>
    <row r="52" spans="1:8" ht="20.100000000000001" customHeight="1">
      <c r="A52" s="460">
        <f t="shared" si="1"/>
        <v>28</v>
      </c>
      <c r="B52" s="523" t="s">
        <v>943</v>
      </c>
      <c r="C52" s="507"/>
      <c r="D52" s="507"/>
      <c r="E52" s="507"/>
      <c r="F52" s="507"/>
      <c r="G52" s="507"/>
      <c r="H52" s="497"/>
    </row>
    <row r="53" spans="1:8" ht="20.100000000000001" customHeight="1">
      <c r="A53" s="460">
        <f t="shared" si="1"/>
        <v>29</v>
      </c>
      <c r="B53" s="524" t="s">
        <v>944</v>
      </c>
      <c r="C53" s="511"/>
      <c r="D53" s="511"/>
      <c r="E53" s="511"/>
      <c r="F53" s="511"/>
      <c r="G53" s="511"/>
      <c r="H53" s="512"/>
    </row>
    <row r="54" spans="1:8" ht="20.100000000000001" customHeight="1" thickBot="1">
      <c r="A54" s="460">
        <f t="shared" si="1"/>
        <v>30</v>
      </c>
      <c r="B54" s="513" t="s">
        <v>21</v>
      </c>
      <c r="C54" s="514">
        <f>+C51-C52-C53</f>
        <v>0</v>
      </c>
      <c r="D54" s="514">
        <f>+D51-D52-D53</f>
        <v>0</v>
      </c>
      <c r="E54" s="514">
        <f>+E51-E52-E53</f>
        <v>0</v>
      </c>
      <c r="F54" s="514">
        <f>+F51-F52-F53</f>
        <v>0</v>
      </c>
      <c r="G54" s="514">
        <f>+G51-G52-G53</f>
        <v>0</v>
      </c>
      <c r="H54" s="515"/>
    </row>
    <row r="55" spans="1:8" ht="20.100000000000001" customHeight="1" thickTop="1">
      <c r="B55" s="460" t="s">
        <v>953</v>
      </c>
      <c r="D55" s="463"/>
      <c r="E55" s="516"/>
      <c r="G55" s="518"/>
    </row>
    <row r="56" spans="1:8" ht="20.100000000000001" customHeight="1">
      <c r="B56" s="778" t="s">
        <v>946</v>
      </c>
      <c r="C56" s="778"/>
      <c r="D56" s="778"/>
      <c r="E56" s="778"/>
      <c r="F56" s="778"/>
      <c r="G56" s="778"/>
    </row>
    <row r="57" spans="1:8" ht="20.100000000000001" customHeight="1">
      <c r="B57" s="480" t="s">
        <v>947</v>
      </c>
      <c r="F57" s="463"/>
      <c r="G57" s="463"/>
    </row>
    <row r="58" spans="1:8" ht="20.100000000000001" customHeight="1">
      <c r="B58" s="480" t="s">
        <v>948</v>
      </c>
      <c r="F58" s="463"/>
      <c r="G58" s="463"/>
    </row>
    <row r="59" spans="1:8" ht="20.100000000000001" customHeight="1">
      <c r="B59" s="480" t="s">
        <v>949</v>
      </c>
      <c r="F59" s="463"/>
      <c r="G59" s="463"/>
    </row>
    <row r="60" spans="1:8" ht="35.1" customHeight="1">
      <c r="B60" s="778" t="s">
        <v>1088</v>
      </c>
      <c r="C60" s="778"/>
      <c r="D60" s="778"/>
      <c r="E60" s="778"/>
      <c r="F60" s="778"/>
      <c r="G60" s="778"/>
      <c r="H60" s="518"/>
    </row>
    <row r="61" spans="1:8">
      <c r="H61" s="518"/>
    </row>
    <row r="62" spans="1:8">
      <c r="B62" s="463" t="s">
        <v>350</v>
      </c>
      <c r="C62" s="463" t="s">
        <v>352</v>
      </c>
      <c r="D62" s="463" t="s">
        <v>354</v>
      </c>
      <c r="E62" s="463" t="s">
        <v>356</v>
      </c>
      <c r="F62" s="463" t="s">
        <v>357</v>
      </c>
      <c r="G62" s="463" t="s">
        <v>359</v>
      </c>
      <c r="H62" s="463" t="s">
        <v>361</v>
      </c>
    </row>
    <row r="63" spans="1:8" ht="31.5">
      <c r="B63" s="460" t="s">
        <v>954</v>
      </c>
      <c r="C63" s="493" t="s">
        <v>21</v>
      </c>
      <c r="D63" s="493" t="s">
        <v>938</v>
      </c>
      <c r="E63" s="493" t="s">
        <v>879</v>
      </c>
      <c r="F63" s="493" t="s">
        <v>880</v>
      </c>
      <c r="G63" s="493" t="s">
        <v>881</v>
      </c>
      <c r="H63" s="493" t="s">
        <v>939</v>
      </c>
    </row>
    <row r="64" spans="1:8" ht="30" customHeight="1">
      <c r="A64" s="460">
        <f>A54+1</f>
        <v>31</v>
      </c>
      <c r="B64" s="525"/>
      <c r="C64" s="495"/>
      <c r="D64" s="496"/>
      <c r="E64" s="496"/>
      <c r="F64" s="496"/>
      <c r="G64" s="496"/>
      <c r="H64" s="497"/>
    </row>
    <row r="65" spans="1:10" ht="30" customHeight="1">
      <c r="A65" s="460">
        <f t="shared" ref="A65:A77" si="2">+A64+1</f>
        <v>32</v>
      </c>
      <c r="B65" s="498"/>
      <c r="C65" s="495"/>
      <c r="D65" s="496"/>
      <c r="E65" s="496"/>
      <c r="F65" s="496"/>
      <c r="G65" s="496"/>
      <c r="H65" s="497"/>
      <c r="J65" s="526"/>
    </row>
    <row r="66" spans="1:10" ht="30" customHeight="1">
      <c r="A66" s="460">
        <f t="shared" si="2"/>
        <v>33</v>
      </c>
      <c r="B66" s="498"/>
      <c r="C66" s="495"/>
      <c r="D66" s="496"/>
      <c r="E66" s="496"/>
      <c r="F66" s="496"/>
      <c r="G66" s="496"/>
      <c r="H66" s="497"/>
    </row>
    <row r="67" spans="1:10" ht="30" customHeight="1">
      <c r="A67" s="460">
        <f t="shared" si="2"/>
        <v>34</v>
      </c>
      <c r="B67" s="498"/>
      <c r="C67" s="495"/>
      <c r="D67" s="496"/>
      <c r="E67" s="496"/>
      <c r="F67" s="496"/>
      <c r="G67" s="496"/>
      <c r="H67" s="497"/>
    </row>
    <row r="68" spans="1:10" ht="30" customHeight="1">
      <c r="A68" s="460">
        <f t="shared" si="2"/>
        <v>35</v>
      </c>
      <c r="B68" s="498"/>
      <c r="C68" s="496"/>
      <c r="D68" s="520"/>
      <c r="E68" s="496"/>
      <c r="F68" s="496"/>
      <c r="G68" s="496"/>
      <c r="H68" s="497"/>
    </row>
    <row r="69" spans="1:10" ht="30" customHeight="1">
      <c r="A69" s="460">
        <f t="shared" si="2"/>
        <v>36</v>
      </c>
      <c r="B69" s="498"/>
      <c r="C69" s="496"/>
      <c r="D69" s="520"/>
      <c r="E69" s="496"/>
      <c r="F69" s="496"/>
      <c r="G69" s="496"/>
      <c r="H69" s="497"/>
    </row>
    <row r="70" spans="1:10" ht="30" customHeight="1">
      <c r="A70" s="460">
        <f t="shared" si="2"/>
        <v>37</v>
      </c>
      <c r="B70" s="498"/>
      <c r="C70" s="496"/>
      <c r="D70" s="520"/>
      <c r="E70" s="496"/>
      <c r="F70" s="496"/>
      <c r="G70" s="496"/>
      <c r="H70" s="497"/>
    </row>
    <row r="71" spans="1:10" ht="30" customHeight="1">
      <c r="A71" s="460">
        <f t="shared" si="2"/>
        <v>38</v>
      </c>
      <c r="B71" s="498"/>
      <c r="C71" s="496"/>
      <c r="D71" s="499"/>
      <c r="E71" s="496"/>
      <c r="F71" s="496"/>
      <c r="G71" s="496"/>
      <c r="H71" s="497"/>
    </row>
    <row r="72" spans="1:10" ht="30" customHeight="1">
      <c r="A72" s="460">
        <f t="shared" si="2"/>
        <v>39</v>
      </c>
      <c r="B72" s="498"/>
      <c r="C72" s="496"/>
      <c r="D72" s="496"/>
      <c r="E72" s="496"/>
      <c r="F72" s="496"/>
      <c r="G72" s="496"/>
      <c r="H72" s="497"/>
    </row>
    <row r="73" spans="1:10" ht="30" customHeight="1">
      <c r="A73" s="460">
        <f t="shared" si="2"/>
        <v>40</v>
      </c>
      <c r="B73" s="500" t="s">
        <v>955</v>
      </c>
      <c r="C73" s="522"/>
      <c r="D73" s="522"/>
      <c r="E73" s="522"/>
      <c r="F73" s="522"/>
      <c r="G73" s="522"/>
      <c r="H73" s="502" t="s">
        <v>941</v>
      </c>
    </row>
    <row r="74" spans="1:10" ht="20.100000000000001" customHeight="1">
      <c r="A74" s="460">
        <f t="shared" si="2"/>
        <v>41</v>
      </c>
      <c r="B74" s="503" t="s">
        <v>956</v>
      </c>
      <c r="C74" s="504">
        <f>SUBTOTAL(9,C64:C73)</f>
        <v>0</v>
      </c>
      <c r="D74" s="504">
        <f>SUM(D64:D73)</f>
        <v>0</v>
      </c>
      <c r="E74" s="504">
        <f>SUM(E64:E73)</f>
        <v>0</v>
      </c>
      <c r="F74" s="504">
        <f>SUM(F64:F73)</f>
        <v>0</v>
      </c>
      <c r="G74" s="504">
        <f>SUM(G64:G73)</f>
        <v>0</v>
      </c>
      <c r="H74" s="497"/>
    </row>
    <row r="75" spans="1:10" ht="20.100000000000001" customHeight="1">
      <c r="A75" s="460">
        <f t="shared" si="2"/>
        <v>42</v>
      </c>
      <c r="B75" s="503" t="s">
        <v>943</v>
      </c>
      <c r="C75" s="508"/>
      <c r="D75" s="508"/>
      <c r="E75" s="508"/>
      <c r="F75" s="508"/>
      <c r="G75" s="508"/>
      <c r="H75" s="497"/>
    </row>
    <row r="76" spans="1:10" ht="20.100000000000001" customHeight="1">
      <c r="A76" s="460">
        <f t="shared" si="2"/>
        <v>43</v>
      </c>
      <c r="B76" s="527" t="s">
        <v>944</v>
      </c>
      <c r="C76" s="528"/>
      <c r="D76" s="528"/>
      <c r="E76" s="528"/>
      <c r="F76" s="528"/>
      <c r="G76" s="528"/>
      <c r="H76" s="512"/>
    </row>
    <row r="77" spans="1:10" ht="20.100000000000001" customHeight="1" thickBot="1">
      <c r="A77" s="460">
        <f t="shared" si="2"/>
        <v>44</v>
      </c>
      <c r="B77" s="513" t="s">
        <v>21</v>
      </c>
      <c r="C77" s="529">
        <f>+C74-C75-C76</f>
        <v>0</v>
      </c>
      <c r="D77" s="529">
        <f>+D74-D75-D76</f>
        <v>0</v>
      </c>
      <c r="E77" s="529">
        <f>+E74-E75-E76</f>
        <v>0</v>
      </c>
      <c r="F77" s="529">
        <f>+F74-F75-F76</f>
        <v>0</v>
      </c>
      <c r="G77" s="529">
        <f>+G74-G75-G76</f>
        <v>0</v>
      </c>
      <c r="H77" s="515"/>
    </row>
    <row r="78" spans="1:10" ht="20.100000000000001" customHeight="1" thickTop="1">
      <c r="B78" s="460" t="s">
        <v>957</v>
      </c>
      <c r="E78" s="463"/>
      <c r="F78" s="463"/>
      <c r="H78" s="530"/>
    </row>
    <row r="79" spans="1:10" ht="20.100000000000001" customHeight="1">
      <c r="B79" s="778" t="s">
        <v>946</v>
      </c>
      <c r="C79" s="778"/>
      <c r="D79" s="778"/>
      <c r="E79" s="778"/>
      <c r="F79" s="778"/>
      <c r="G79" s="778"/>
    </row>
    <row r="80" spans="1:10" ht="20.100000000000001" customHeight="1">
      <c r="B80" s="480" t="s">
        <v>947</v>
      </c>
      <c r="F80" s="463"/>
      <c r="G80" s="463"/>
    </row>
    <row r="81" spans="2:9" ht="20.100000000000001" customHeight="1">
      <c r="B81" s="480" t="s">
        <v>948</v>
      </c>
      <c r="F81" s="463"/>
      <c r="G81" s="463"/>
    </row>
    <row r="82" spans="2:9" ht="20.100000000000001" customHeight="1">
      <c r="B82" s="480" t="s">
        <v>949</v>
      </c>
      <c r="F82" s="463"/>
      <c r="G82" s="463"/>
    </row>
    <row r="83" spans="2:9" ht="35.1" customHeight="1">
      <c r="B83" s="778" t="s">
        <v>1088</v>
      </c>
      <c r="C83" s="778"/>
      <c r="D83" s="778"/>
      <c r="E83" s="778"/>
      <c r="F83" s="778"/>
      <c r="G83" s="778"/>
    </row>
    <row r="85" spans="2:9" ht="15.75" customHeight="1">
      <c r="B85" s="531"/>
      <c r="C85" s="531"/>
      <c r="D85" s="531"/>
      <c r="E85" s="531"/>
      <c r="F85" s="531"/>
      <c r="G85" s="531"/>
      <c r="H85" s="531"/>
    </row>
    <row r="86" spans="2:9">
      <c r="B86" s="775"/>
      <c r="C86" s="775"/>
      <c r="D86" s="775"/>
      <c r="E86" s="775"/>
      <c r="F86" s="775"/>
      <c r="G86" s="775"/>
      <c r="H86" s="775"/>
    </row>
    <row r="87" spans="2:9">
      <c r="B87" s="460"/>
    </row>
    <row r="88" spans="2:9">
      <c r="B88" s="460"/>
    </row>
    <row r="89" spans="2:9" ht="15.75" customHeight="1">
      <c r="B89" s="460"/>
    </row>
    <row r="90" spans="2:9">
      <c r="B90" s="460"/>
      <c r="D90" s="486"/>
      <c r="E90" s="486"/>
      <c r="F90" s="486"/>
      <c r="G90" s="486"/>
      <c r="H90" s="486"/>
      <c r="I90" s="487"/>
    </row>
    <row r="91" spans="2:9">
      <c r="B91" s="460"/>
      <c r="D91" s="486"/>
      <c r="E91" s="486"/>
      <c r="F91" s="486"/>
      <c r="G91" s="486"/>
      <c r="H91" s="486"/>
      <c r="I91" s="487"/>
    </row>
    <row r="92" spans="2:9">
      <c r="D92" s="463"/>
      <c r="E92" s="463"/>
    </row>
    <row r="93" spans="2:9">
      <c r="D93" s="472"/>
      <c r="E93" s="472"/>
    </row>
    <row r="94" spans="2:9">
      <c r="D94" s="472"/>
      <c r="E94" s="472"/>
    </row>
    <row r="95" spans="2:9">
      <c r="D95" s="472"/>
      <c r="E95" s="472"/>
    </row>
    <row r="96" spans="2:9">
      <c r="D96" s="472"/>
      <c r="E96" s="472"/>
    </row>
    <row r="97" spans="2:5">
      <c r="D97" s="472"/>
      <c r="E97" s="472"/>
    </row>
    <row r="98" spans="2:5">
      <c r="D98" s="472"/>
      <c r="E98" s="472"/>
    </row>
    <row r="99" spans="2:5">
      <c r="D99" s="472"/>
      <c r="E99" s="472"/>
    </row>
    <row r="100" spans="2:5">
      <c r="D100" s="472"/>
      <c r="E100" s="472"/>
    </row>
    <row r="101" spans="2:5">
      <c r="D101" s="472"/>
      <c r="E101" s="472"/>
    </row>
    <row r="102" spans="2:5">
      <c r="D102" s="472"/>
      <c r="E102" s="472"/>
    </row>
    <row r="103" spans="2:5">
      <c r="B103" s="460"/>
      <c r="D103" s="472"/>
      <c r="E103" s="472"/>
    </row>
    <row r="104" spans="2:5">
      <c r="D104" s="472"/>
      <c r="E104" s="472"/>
    </row>
    <row r="105" spans="2:5">
      <c r="B105" s="460"/>
      <c r="D105" s="472"/>
      <c r="E105" s="472"/>
    </row>
    <row r="209" spans="9:9">
      <c r="I209" s="488"/>
    </row>
  </sheetData>
  <mergeCells count="12">
    <mergeCell ref="B35:G35"/>
    <mergeCell ref="A1:G1"/>
    <mergeCell ref="A38:G38"/>
    <mergeCell ref="A39:H39"/>
    <mergeCell ref="B2:H2"/>
    <mergeCell ref="B12:H12"/>
    <mergeCell ref="B31:G31"/>
    <mergeCell ref="B56:G56"/>
    <mergeCell ref="B60:G60"/>
    <mergeCell ref="B79:G79"/>
    <mergeCell ref="B83:G83"/>
    <mergeCell ref="B86:H86"/>
  </mergeCells>
  <printOptions horizontalCentered="1"/>
  <pageMargins left="0.25" right="0.25" top="0.5" bottom="0.5" header="0.3" footer="0.3"/>
  <pageSetup scale="47" fitToHeight="0" orientation="landscape" r:id="rId1"/>
  <headerFooter alignWithMargins="0"/>
  <rowBreaks count="2" manualBreakCount="2">
    <brk id="36" max="7" man="1"/>
    <brk id="8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F581-3BE3-423B-AC4E-D0508D1AEDB7}">
  <dimension ref="A1:U212"/>
  <sheetViews>
    <sheetView workbookViewId="0">
      <selection sqref="A1:G1"/>
    </sheetView>
  </sheetViews>
  <sheetFormatPr defaultColWidth="8.88671875" defaultRowHeight="15.75"/>
  <cols>
    <col min="1" max="1" width="5.109375" style="460" customWidth="1"/>
    <col min="2" max="2" width="49.33203125" style="480" customWidth="1"/>
    <col min="3" max="3" width="22.109375" style="460" customWidth="1"/>
    <col min="4" max="4" width="15.109375" style="460" customWidth="1"/>
    <col min="5" max="5" width="12.5546875" style="460" customWidth="1"/>
    <col min="6" max="6" width="11.5546875" style="460" customWidth="1"/>
    <col min="7" max="7" width="14.88671875" style="460" customWidth="1"/>
    <col min="8" max="8" width="79.44140625" style="460" customWidth="1"/>
    <col min="9" max="16384" width="8.88671875" style="461"/>
  </cols>
  <sheetData>
    <row r="1" spans="1:21" ht="18">
      <c r="A1" s="779" t="s">
        <v>958</v>
      </c>
      <c r="B1" s="780"/>
      <c r="C1" s="780"/>
      <c r="D1" s="780"/>
      <c r="E1" s="780"/>
      <c r="F1" s="780"/>
      <c r="G1" s="780"/>
      <c r="H1" s="567" t="s">
        <v>656</v>
      </c>
      <c r="I1" s="465"/>
      <c r="J1" s="465"/>
    </row>
    <row r="2" spans="1:21" ht="18">
      <c r="B2" s="775" t="str">
        <f>'Attachment O'!$K$3</f>
        <v>For the 12 months ended 12/31/2020</v>
      </c>
      <c r="C2" s="784"/>
      <c r="D2" s="784"/>
      <c r="E2" s="784"/>
      <c r="F2" s="784"/>
      <c r="G2" s="784"/>
      <c r="H2" s="784"/>
      <c r="I2" s="465"/>
      <c r="J2" s="465"/>
    </row>
    <row r="3" spans="1:21" ht="18">
      <c r="B3" s="775"/>
      <c r="C3" s="775"/>
      <c r="D3" s="775"/>
      <c r="E3" s="775"/>
      <c r="F3" s="775"/>
      <c r="G3" s="775"/>
      <c r="H3" s="777"/>
      <c r="I3" s="465"/>
      <c r="J3" s="465"/>
    </row>
    <row r="4" spans="1:21" ht="18">
      <c r="I4" s="465"/>
      <c r="J4" s="465"/>
    </row>
    <row r="5" spans="1:21">
      <c r="D5" s="463"/>
      <c r="E5" s="463"/>
      <c r="G5" s="463"/>
    </row>
    <row r="6" spans="1:21">
      <c r="D6" s="463"/>
      <c r="E6" s="463"/>
      <c r="F6" s="463"/>
      <c r="G6" s="463"/>
      <c r="U6" s="464"/>
    </row>
    <row r="7" spans="1:21" ht="34.5" customHeight="1">
      <c r="A7" s="466" t="s">
        <v>877</v>
      </c>
      <c r="B7" s="466" t="s">
        <v>878</v>
      </c>
      <c r="C7" s="467"/>
      <c r="D7" s="468"/>
      <c r="E7" s="533" t="s">
        <v>879</v>
      </c>
      <c r="F7" s="469" t="s">
        <v>880</v>
      </c>
      <c r="G7" s="469" t="s">
        <v>881</v>
      </c>
      <c r="H7" s="467"/>
      <c r="U7" s="464"/>
    </row>
    <row r="8" spans="1:21">
      <c r="A8" s="470"/>
      <c r="L8" s="471"/>
    </row>
    <row r="9" spans="1:21" ht="20.100000000000001" customHeight="1">
      <c r="A9" s="470">
        <v>1</v>
      </c>
      <c r="B9" s="460" t="s">
        <v>950</v>
      </c>
      <c r="E9" s="474">
        <f>+E57</f>
        <v>-238461</v>
      </c>
      <c r="F9" s="474">
        <f>+F57</f>
        <v>0</v>
      </c>
      <c r="G9" s="474">
        <f>+G57</f>
        <v>0</v>
      </c>
      <c r="H9" s="460" t="s">
        <v>932</v>
      </c>
    </row>
    <row r="10" spans="1:21" ht="20.100000000000001" customHeight="1">
      <c r="A10" s="470">
        <f>+A9+1</f>
        <v>2</v>
      </c>
      <c r="B10" s="460" t="s">
        <v>904</v>
      </c>
      <c r="E10" s="474">
        <f>+E80</f>
        <v>0</v>
      </c>
      <c r="F10" s="474">
        <f>+F80</f>
        <v>0</v>
      </c>
      <c r="G10" s="474">
        <f>+G80</f>
        <v>0</v>
      </c>
      <c r="H10" s="460" t="s">
        <v>933</v>
      </c>
    </row>
    <row r="11" spans="1:21" ht="20.100000000000001" customHeight="1">
      <c r="A11" s="470">
        <f>+A10+1</f>
        <v>3</v>
      </c>
      <c r="B11" s="460" t="s">
        <v>886</v>
      </c>
      <c r="E11" s="474">
        <f>E32</f>
        <v>0</v>
      </c>
      <c r="F11" s="474">
        <f>F32</f>
        <v>0</v>
      </c>
      <c r="G11" s="474">
        <f>G32</f>
        <v>0</v>
      </c>
      <c r="H11" s="460" t="s">
        <v>934</v>
      </c>
    </row>
    <row r="12" spans="1:21" ht="20.100000000000001" customHeight="1">
      <c r="A12" s="470">
        <f>+A11+1</f>
        <v>4</v>
      </c>
      <c r="B12" s="460" t="s">
        <v>935</v>
      </c>
      <c r="E12" s="474">
        <f>SUM(E9:E11)</f>
        <v>-238461</v>
      </c>
      <c r="F12" s="474">
        <f>SUM(F9:F11)</f>
        <v>0</v>
      </c>
      <c r="G12" s="474">
        <f>SUM(G9:G11)</f>
        <v>0</v>
      </c>
      <c r="H12" s="473" t="s">
        <v>936</v>
      </c>
    </row>
    <row r="13" spans="1:21">
      <c r="A13" s="470"/>
      <c r="B13" s="460"/>
      <c r="D13" s="473"/>
      <c r="H13" s="472"/>
    </row>
    <row r="14" spans="1:21">
      <c r="A14" s="470"/>
      <c r="B14" s="460"/>
      <c r="H14" s="475"/>
    </row>
    <row r="15" spans="1:21" ht="30" customHeight="1">
      <c r="A15" s="470"/>
      <c r="B15" s="782" t="s">
        <v>937</v>
      </c>
      <c r="C15" s="782"/>
      <c r="D15" s="782"/>
      <c r="E15" s="782"/>
      <c r="F15" s="782"/>
      <c r="G15" s="782"/>
      <c r="H15" s="782"/>
    </row>
    <row r="16" spans="1:21">
      <c r="A16" s="470"/>
    </row>
    <row r="17" spans="1:8">
      <c r="A17" s="470"/>
      <c r="B17" s="463" t="s">
        <v>350</v>
      </c>
      <c r="C17" s="463" t="s">
        <v>352</v>
      </c>
      <c r="D17" s="463" t="s">
        <v>354</v>
      </c>
      <c r="E17" s="463" t="s">
        <v>356</v>
      </c>
      <c r="F17" s="463" t="s">
        <v>357</v>
      </c>
      <c r="G17" s="463" t="s">
        <v>359</v>
      </c>
      <c r="H17" s="463" t="s">
        <v>361</v>
      </c>
    </row>
    <row r="18" spans="1:8" ht="31.5">
      <c r="A18" s="470"/>
      <c r="B18" s="480" t="s">
        <v>886</v>
      </c>
      <c r="C18" s="493" t="s">
        <v>21</v>
      </c>
      <c r="D18" s="493" t="s">
        <v>938</v>
      </c>
      <c r="E18" s="493" t="s">
        <v>879</v>
      </c>
      <c r="F18" s="493" t="s">
        <v>880</v>
      </c>
      <c r="G18" s="493" t="s">
        <v>881</v>
      </c>
      <c r="H18" s="493" t="s">
        <v>939</v>
      </c>
    </row>
    <row r="19" spans="1:8" ht="30" customHeight="1">
      <c r="A19" s="470">
        <f>A12+1</f>
        <v>5</v>
      </c>
      <c r="B19" s="494"/>
      <c r="C19" s="495"/>
      <c r="D19" s="496"/>
      <c r="E19" s="496"/>
      <c r="F19" s="496"/>
      <c r="G19" s="496"/>
      <c r="H19" s="497"/>
    </row>
    <row r="20" spans="1:8" ht="30" customHeight="1">
      <c r="A20" s="470">
        <f t="shared" ref="A20:A32" si="0">+A19+1</f>
        <v>6</v>
      </c>
      <c r="B20" s="498"/>
      <c r="C20" s="495"/>
      <c r="D20" s="496"/>
      <c r="E20" s="496"/>
      <c r="F20" s="496"/>
      <c r="G20" s="496"/>
      <c r="H20" s="497"/>
    </row>
    <row r="21" spans="1:8" ht="30" customHeight="1">
      <c r="A21" s="470">
        <f t="shared" si="0"/>
        <v>7</v>
      </c>
      <c r="B21" s="498"/>
      <c r="C21" s="495"/>
      <c r="D21" s="496"/>
      <c r="E21" s="496"/>
      <c r="F21" s="496"/>
      <c r="G21" s="496"/>
      <c r="H21" s="497"/>
    </row>
    <row r="22" spans="1:8" ht="30" customHeight="1">
      <c r="A22" s="470">
        <f t="shared" si="0"/>
        <v>8</v>
      </c>
      <c r="B22" s="498"/>
      <c r="C22" s="495"/>
      <c r="D22" s="496"/>
      <c r="E22" s="496"/>
      <c r="F22" s="496"/>
      <c r="G22" s="496"/>
      <c r="H22" s="497"/>
    </row>
    <row r="23" spans="1:8" ht="30" customHeight="1">
      <c r="A23" s="470">
        <f t="shared" si="0"/>
        <v>9</v>
      </c>
      <c r="B23" s="498"/>
      <c r="C23" s="495"/>
      <c r="D23" s="496"/>
      <c r="E23" s="496"/>
      <c r="F23" s="496"/>
      <c r="G23" s="496"/>
      <c r="H23" s="497"/>
    </row>
    <row r="24" spans="1:8" ht="30" customHeight="1">
      <c r="A24" s="470">
        <f t="shared" si="0"/>
        <v>10</v>
      </c>
      <c r="B24" s="498"/>
      <c r="C24" s="495"/>
      <c r="D24" s="496"/>
      <c r="E24" s="496"/>
      <c r="F24" s="496"/>
      <c r="G24" s="496"/>
      <c r="H24" s="497"/>
    </row>
    <row r="25" spans="1:8" ht="30" customHeight="1">
      <c r="A25" s="470">
        <f t="shared" si="0"/>
        <v>11</v>
      </c>
      <c r="B25" s="498"/>
      <c r="C25" s="495"/>
      <c r="D25" s="496"/>
      <c r="E25" s="496"/>
      <c r="F25" s="496"/>
      <c r="G25" s="496"/>
      <c r="H25" s="497"/>
    </row>
    <row r="26" spans="1:8" ht="30" customHeight="1">
      <c r="A26" s="470">
        <f t="shared" si="0"/>
        <v>12</v>
      </c>
      <c r="B26" s="498"/>
      <c r="C26" s="495"/>
      <c r="D26" s="499"/>
      <c r="E26" s="496"/>
      <c r="F26" s="496"/>
      <c r="G26" s="496"/>
      <c r="H26" s="497"/>
    </row>
    <row r="27" spans="1:8" ht="30" customHeight="1">
      <c r="A27" s="470">
        <f t="shared" si="0"/>
        <v>13</v>
      </c>
      <c r="B27" s="498"/>
      <c r="C27" s="495"/>
      <c r="D27" s="496"/>
      <c r="E27" s="496"/>
      <c r="F27" s="496"/>
      <c r="G27" s="496"/>
      <c r="H27" s="497"/>
    </row>
    <row r="28" spans="1:8" ht="30" customHeight="1">
      <c r="A28" s="470">
        <f t="shared" si="0"/>
        <v>14</v>
      </c>
      <c r="B28" s="500" t="s">
        <v>940</v>
      </c>
      <c r="C28" s="501"/>
      <c r="D28" s="501"/>
      <c r="E28" s="501"/>
      <c r="F28" s="501"/>
      <c r="G28" s="501"/>
      <c r="H28" s="502" t="s">
        <v>941</v>
      </c>
    </row>
    <row r="29" spans="1:8" ht="20.100000000000001" customHeight="1">
      <c r="A29" s="470">
        <f t="shared" si="0"/>
        <v>15</v>
      </c>
      <c r="B29" s="503" t="s">
        <v>959</v>
      </c>
      <c r="C29" s="504">
        <f>SUBTOTAL(9,C19:C28)</f>
        <v>0</v>
      </c>
      <c r="D29" s="504">
        <f>SUM(D19:D28)</f>
        <v>0</v>
      </c>
      <c r="E29" s="504">
        <f>SUM(E19:E28)</f>
        <v>0</v>
      </c>
      <c r="F29" s="504">
        <f>SUM(F19:F28)</f>
        <v>0</v>
      </c>
      <c r="G29" s="504">
        <f>SUM(G19:G28)</f>
        <v>0</v>
      </c>
      <c r="H29" s="505"/>
    </row>
    <row r="30" spans="1:8" ht="20.100000000000001" customHeight="1">
      <c r="A30" s="470">
        <f t="shared" si="0"/>
        <v>16</v>
      </c>
      <c r="B30" s="506" t="s">
        <v>943</v>
      </c>
      <c r="C30" s="507"/>
      <c r="D30" s="507"/>
      <c r="E30" s="507"/>
      <c r="F30" s="508"/>
      <c r="G30" s="509"/>
      <c r="H30" s="497"/>
    </row>
    <row r="31" spans="1:8" ht="20.100000000000001" customHeight="1">
      <c r="A31" s="470">
        <f t="shared" si="0"/>
        <v>17</v>
      </c>
      <c r="B31" s="510" t="s">
        <v>944</v>
      </c>
      <c r="C31" s="511"/>
      <c r="D31" s="511"/>
      <c r="E31" s="511"/>
      <c r="F31" s="511"/>
      <c r="G31" s="511"/>
      <c r="H31" s="512"/>
    </row>
    <row r="32" spans="1:8" ht="20.100000000000001" customHeight="1" thickBot="1">
      <c r="A32" s="470">
        <f t="shared" si="0"/>
        <v>18</v>
      </c>
      <c r="B32" s="513" t="s">
        <v>21</v>
      </c>
      <c r="C32" s="514">
        <f>+C29-C30-C31</f>
        <v>0</v>
      </c>
      <c r="D32" s="514">
        <f>+D29-D30-D31</f>
        <v>0</v>
      </c>
      <c r="E32" s="514">
        <f>+E29-E30-E31</f>
        <v>0</v>
      </c>
      <c r="F32" s="514">
        <f>+F29-F30-F31</f>
        <v>0</v>
      </c>
      <c r="G32" s="514">
        <f>+G29-G30-G31</f>
        <v>0</v>
      </c>
      <c r="H32" s="515"/>
    </row>
    <row r="33" spans="1:8" ht="20.100000000000001" customHeight="1" thickTop="1">
      <c r="A33" s="470"/>
      <c r="B33" s="460" t="s">
        <v>945</v>
      </c>
      <c r="C33" s="473"/>
      <c r="D33" s="516"/>
      <c r="E33" s="463"/>
      <c r="G33" s="517"/>
    </row>
    <row r="34" spans="1:8" ht="20.100000000000001" customHeight="1">
      <c r="A34" s="470"/>
      <c r="B34" s="778" t="s">
        <v>946</v>
      </c>
      <c r="C34" s="778"/>
      <c r="D34" s="778"/>
      <c r="E34" s="778"/>
      <c r="F34" s="778"/>
      <c r="G34" s="778"/>
    </row>
    <row r="35" spans="1:8" ht="20.100000000000001" customHeight="1">
      <c r="A35" s="470"/>
      <c r="B35" s="480" t="s">
        <v>947</v>
      </c>
      <c r="F35" s="463"/>
      <c r="G35" s="463"/>
    </row>
    <row r="36" spans="1:8" ht="20.100000000000001" customHeight="1">
      <c r="A36" s="470"/>
      <c r="B36" s="480" t="s">
        <v>948</v>
      </c>
      <c r="F36" s="463"/>
      <c r="G36" s="463"/>
    </row>
    <row r="37" spans="1:8" ht="20.100000000000001" customHeight="1">
      <c r="A37" s="470"/>
      <c r="B37" s="480" t="s">
        <v>949</v>
      </c>
      <c r="F37" s="463"/>
      <c r="G37" s="463"/>
    </row>
    <row r="38" spans="1:8" ht="33" customHeight="1">
      <c r="A38" s="470"/>
      <c r="B38" s="778" t="s">
        <v>1089</v>
      </c>
      <c r="C38" s="778"/>
      <c r="D38" s="778"/>
      <c r="E38" s="778"/>
      <c r="F38" s="778"/>
      <c r="G38" s="778"/>
      <c r="H38" s="518"/>
    </row>
    <row r="39" spans="1:8">
      <c r="A39" s="470"/>
      <c r="B39" s="518"/>
      <c r="C39" s="518"/>
      <c r="D39" s="518"/>
      <c r="E39" s="518"/>
      <c r="F39" s="518"/>
      <c r="G39" s="518"/>
      <c r="H39" s="518"/>
    </row>
    <row r="40" spans="1:8">
      <c r="A40" s="470"/>
      <c r="B40" s="518"/>
      <c r="C40" s="518"/>
      <c r="D40" s="518"/>
      <c r="E40" s="518"/>
      <c r="F40" s="518"/>
      <c r="G40" s="518"/>
      <c r="H40" s="518"/>
    </row>
    <row r="41" spans="1:8">
      <c r="A41" s="779" t="s">
        <v>958</v>
      </c>
      <c r="B41" s="783"/>
      <c r="C41" s="783"/>
      <c r="D41" s="783"/>
      <c r="E41" s="783"/>
      <c r="F41" s="783"/>
      <c r="G41" s="783"/>
      <c r="H41" s="567" t="s">
        <v>717</v>
      </c>
    </row>
    <row r="42" spans="1:8">
      <c r="A42" s="775" t="str">
        <f>'Attachment O'!$K$3</f>
        <v>For the 12 months ended 12/31/2020</v>
      </c>
      <c r="B42" s="781"/>
      <c r="C42" s="781"/>
      <c r="D42" s="781"/>
      <c r="E42" s="781"/>
      <c r="F42" s="781"/>
      <c r="G42" s="781"/>
      <c r="H42" s="781"/>
    </row>
    <row r="43" spans="1:8">
      <c r="A43" s="470"/>
      <c r="B43" s="532"/>
      <c r="C43" s="532"/>
      <c r="D43" s="532"/>
      <c r="E43" s="532"/>
      <c r="F43" s="532"/>
      <c r="G43" s="532"/>
      <c r="H43" s="532"/>
    </row>
    <row r="44" spans="1:8">
      <c r="A44" s="470"/>
      <c r="B44" s="463" t="s">
        <v>350</v>
      </c>
      <c r="C44" s="463" t="s">
        <v>352</v>
      </c>
      <c r="D44" s="463" t="s">
        <v>354</v>
      </c>
      <c r="E44" s="463" t="s">
        <v>356</v>
      </c>
      <c r="F44" s="463" t="s">
        <v>357</v>
      </c>
      <c r="G44" s="463" t="s">
        <v>359</v>
      </c>
      <c r="H44" s="463" t="s">
        <v>361</v>
      </c>
    </row>
    <row r="45" spans="1:8" ht="31.5">
      <c r="A45" s="470"/>
      <c r="B45" s="480" t="s">
        <v>899</v>
      </c>
      <c r="C45" s="493" t="s">
        <v>21</v>
      </c>
      <c r="D45" s="493" t="s">
        <v>938</v>
      </c>
      <c r="E45" s="493" t="s">
        <v>879</v>
      </c>
      <c r="F45" s="493" t="s">
        <v>880</v>
      </c>
      <c r="G45" s="493" t="s">
        <v>881</v>
      </c>
      <c r="H45" s="493" t="s">
        <v>939</v>
      </c>
    </row>
    <row r="46" spans="1:8" ht="30" customHeight="1">
      <c r="A46" s="470">
        <f>A32+1</f>
        <v>19</v>
      </c>
      <c r="B46" s="498"/>
      <c r="C46" s="495"/>
      <c r="D46" s="496"/>
      <c r="E46" s="496"/>
      <c r="F46" s="496"/>
      <c r="G46" s="496"/>
      <c r="H46" s="497"/>
    </row>
    <row r="47" spans="1:8" ht="30" customHeight="1">
      <c r="A47" s="470">
        <f t="shared" ref="A47:A57" si="1">+A46+1</f>
        <v>20</v>
      </c>
      <c r="B47" s="498"/>
      <c r="C47" s="495"/>
      <c r="D47" s="496"/>
      <c r="E47" s="496"/>
      <c r="F47" s="496"/>
      <c r="G47" s="496"/>
      <c r="H47" s="497"/>
    </row>
    <row r="48" spans="1:8" ht="30" customHeight="1">
      <c r="A48" s="470">
        <f t="shared" si="1"/>
        <v>21</v>
      </c>
      <c r="B48" s="498"/>
      <c r="C48" s="495"/>
      <c r="D48" s="496"/>
      <c r="E48" s="496"/>
      <c r="F48" s="496"/>
      <c r="G48" s="496"/>
      <c r="H48" s="497"/>
    </row>
    <row r="49" spans="1:9" ht="30" customHeight="1">
      <c r="A49" s="470">
        <f t="shared" si="1"/>
        <v>22</v>
      </c>
      <c r="B49" s="498"/>
      <c r="C49" s="495"/>
      <c r="D49" s="496"/>
      <c r="E49" s="496"/>
      <c r="F49" s="496"/>
      <c r="G49" s="496"/>
      <c r="H49" s="497"/>
    </row>
    <row r="50" spans="1:9" ht="30" customHeight="1">
      <c r="A50" s="470">
        <f t="shared" si="1"/>
        <v>23</v>
      </c>
      <c r="B50" s="498"/>
      <c r="C50" s="496"/>
      <c r="D50" s="496"/>
      <c r="E50" s="496"/>
      <c r="F50" s="496"/>
      <c r="G50" s="496"/>
      <c r="H50" s="497"/>
    </row>
    <row r="51" spans="1:9" ht="30" customHeight="1">
      <c r="A51" s="470">
        <f t="shared" si="1"/>
        <v>24</v>
      </c>
      <c r="B51" s="498"/>
      <c r="C51" s="496"/>
      <c r="D51" s="496"/>
      <c r="E51" s="496"/>
      <c r="F51" s="496"/>
      <c r="G51" s="496"/>
      <c r="H51" s="497"/>
    </row>
    <row r="52" spans="1:9" ht="30" customHeight="1">
      <c r="A52" s="470">
        <f t="shared" si="1"/>
        <v>25</v>
      </c>
      <c r="B52" s="519"/>
      <c r="C52" s="520"/>
      <c r="D52" s="520"/>
      <c r="E52" s="520"/>
      <c r="F52" s="520"/>
      <c r="G52" s="520"/>
      <c r="H52" s="497"/>
    </row>
    <row r="53" spans="1:9" ht="30" customHeight="1">
      <c r="A53" s="470">
        <f t="shared" si="1"/>
        <v>26</v>
      </c>
      <c r="B53" s="500" t="s">
        <v>951</v>
      </c>
      <c r="C53" s="522"/>
      <c r="D53" s="522"/>
      <c r="E53" s="522">
        <f>'8b-ADIT Projection Proration'!G22</f>
        <v>-238461</v>
      </c>
      <c r="F53" s="522"/>
      <c r="G53" s="522"/>
      <c r="H53" s="502" t="s">
        <v>941</v>
      </c>
    </row>
    <row r="54" spans="1:9" ht="20.100000000000001" customHeight="1">
      <c r="A54" s="470">
        <f t="shared" si="1"/>
        <v>27</v>
      </c>
      <c r="B54" s="523" t="s">
        <v>960</v>
      </c>
      <c r="C54" s="504">
        <f>SUBTOTAL(9,C46:C53)</f>
        <v>0</v>
      </c>
      <c r="D54" s="504">
        <f>SUM(D46:D53)</f>
        <v>0</v>
      </c>
      <c r="E54" s="504">
        <f>SUM(E46:E53)</f>
        <v>-238461</v>
      </c>
      <c r="F54" s="504">
        <f>SUM(F46:F53)</f>
        <v>0</v>
      </c>
      <c r="G54" s="504">
        <f>SUM(G46:G53)</f>
        <v>0</v>
      </c>
      <c r="H54" s="505"/>
    </row>
    <row r="55" spans="1:9" ht="20.100000000000001" customHeight="1">
      <c r="A55" s="470">
        <f t="shared" si="1"/>
        <v>28</v>
      </c>
      <c r="B55" s="523" t="s">
        <v>943</v>
      </c>
      <c r="C55" s="507"/>
      <c r="D55" s="507"/>
      <c r="E55" s="507"/>
      <c r="F55" s="507"/>
      <c r="G55" s="507"/>
      <c r="H55" s="497"/>
    </row>
    <row r="56" spans="1:9" ht="20.100000000000001" customHeight="1">
      <c r="A56" s="470">
        <f t="shared" si="1"/>
        <v>29</v>
      </c>
      <c r="B56" s="524" t="s">
        <v>944</v>
      </c>
      <c r="C56" s="511"/>
      <c r="D56" s="511"/>
      <c r="E56" s="511"/>
      <c r="F56" s="511"/>
      <c r="G56" s="511"/>
      <c r="H56" s="512"/>
    </row>
    <row r="57" spans="1:9" ht="20.100000000000001" customHeight="1" thickBot="1">
      <c r="A57" s="470">
        <f t="shared" si="1"/>
        <v>30</v>
      </c>
      <c r="B57" s="513" t="s">
        <v>21</v>
      </c>
      <c r="C57" s="514">
        <f>+C54-C55-C56</f>
        <v>0</v>
      </c>
      <c r="D57" s="514">
        <f>+D54-D55-D56</f>
        <v>0</v>
      </c>
      <c r="E57" s="514">
        <f>+E54-E55-E56</f>
        <v>-238461</v>
      </c>
      <c r="F57" s="514">
        <f>+F54-F55-F56</f>
        <v>0</v>
      </c>
      <c r="G57" s="514">
        <f>+G54-G55-G56</f>
        <v>0</v>
      </c>
      <c r="H57" s="515"/>
    </row>
    <row r="58" spans="1:9" ht="20.100000000000001" customHeight="1" thickTop="1">
      <c r="A58" s="470"/>
      <c r="B58" s="460" t="s">
        <v>953</v>
      </c>
      <c r="D58" s="463"/>
      <c r="E58" s="516"/>
      <c r="G58" s="518"/>
    </row>
    <row r="59" spans="1:9" ht="20.100000000000001" customHeight="1">
      <c r="A59" s="470"/>
      <c r="B59" s="778" t="s">
        <v>946</v>
      </c>
      <c r="C59" s="778"/>
      <c r="D59" s="778"/>
      <c r="E59" s="778"/>
      <c r="F59" s="778"/>
      <c r="G59" s="778"/>
    </row>
    <row r="60" spans="1:9" ht="20.100000000000001" customHeight="1">
      <c r="A60" s="470"/>
      <c r="B60" s="480" t="s">
        <v>947</v>
      </c>
      <c r="F60" s="463"/>
      <c r="G60" s="463"/>
    </row>
    <row r="61" spans="1:9" ht="20.100000000000001" customHeight="1">
      <c r="A61" s="470"/>
      <c r="B61" s="480" t="s">
        <v>948</v>
      </c>
      <c r="F61" s="463"/>
      <c r="G61" s="463"/>
    </row>
    <row r="62" spans="1:9" ht="20.100000000000001" customHeight="1">
      <c r="A62" s="470"/>
      <c r="B62" s="480" t="s">
        <v>949</v>
      </c>
      <c r="F62" s="463"/>
      <c r="G62" s="463"/>
    </row>
    <row r="63" spans="1:9" ht="33.75" customHeight="1">
      <c r="A63" s="470"/>
      <c r="B63" s="778" t="s">
        <v>1088</v>
      </c>
      <c r="C63" s="778"/>
      <c r="D63" s="778"/>
      <c r="E63" s="778"/>
      <c r="F63" s="778"/>
      <c r="G63" s="778"/>
      <c r="H63" s="518"/>
    </row>
    <row r="64" spans="1:9">
      <c r="A64" s="470"/>
      <c r="H64" s="518"/>
      <c r="I64" s="461">
        <v>0</v>
      </c>
    </row>
    <row r="65" spans="1:10">
      <c r="A65" s="470"/>
      <c r="B65" s="463" t="s">
        <v>350</v>
      </c>
      <c r="C65" s="463" t="s">
        <v>352</v>
      </c>
      <c r="D65" s="463" t="s">
        <v>354</v>
      </c>
      <c r="E65" s="463" t="s">
        <v>356</v>
      </c>
      <c r="F65" s="463" t="s">
        <v>357</v>
      </c>
      <c r="G65" s="463" t="s">
        <v>359</v>
      </c>
      <c r="H65" s="463" t="s">
        <v>361</v>
      </c>
    </row>
    <row r="66" spans="1:10" ht="31.5">
      <c r="A66" s="470"/>
      <c r="B66" s="480" t="s">
        <v>904</v>
      </c>
      <c r="C66" s="493" t="s">
        <v>21</v>
      </c>
      <c r="D66" s="493" t="s">
        <v>938</v>
      </c>
      <c r="E66" s="493" t="s">
        <v>879</v>
      </c>
      <c r="F66" s="493" t="s">
        <v>880</v>
      </c>
      <c r="G66" s="493" t="s">
        <v>881</v>
      </c>
      <c r="H66" s="493" t="s">
        <v>939</v>
      </c>
    </row>
    <row r="67" spans="1:10" ht="30" customHeight="1">
      <c r="A67" s="470">
        <f>A57+1</f>
        <v>31</v>
      </c>
      <c r="B67" s="525"/>
      <c r="C67" s="495"/>
      <c r="D67" s="496"/>
      <c r="E67" s="496"/>
      <c r="F67" s="496"/>
      <c r="G67" s="496"/>
      <c r="H67" s="497"/>
    </row>
    <row r="68" spans="1:10" ht="30" customHeight="1">
      <c r="A68" s="470">
        <f t="shared" ref="A68:A80" si="2">+A67+1</f>
        <v>32</v>
      </c>
      <c r="B68" s="498"/>
      <c r="C68" s="495"/>
      <c r="D68" s="496"/>
      <c r="E68" s="496"/>
      <c r="F68" s="496"/>
      <c r="G68" s="496"/>
      <c r="H68" s="497"/>
      <c r="J68" s="526"/>
    </row>
    <row r="69" spans="1:10" ht="30" customHeight="1">
      <c r="A69" s="470">
        <f t="shared" si="2"/>
        <v>33</v>
      </c>
      <c r="B69" s="498"/>
      <c r="C69" s="495"/>
      <c r="D69" s="496"/>
      <c r="E69" s="496"/>
      <c r="F69" s="496"/>
      <c r="G69" s="496"/>
      <c r="H69" s="497"/>
    </row>
    <row r="70" spans="1:10" ht="30" customHeight="1">
      <c r="A70" s="470">
        <f t="shared" si="2"/>
        <v>34</v>
      </c>
      <c r="B70" s="498"/>
      <c r="C70" s="495"/>
      <c r="D70" s="496"/>
      <c r="E70" s="496"/>
      <c r="F70" s="496"/>
      <c r="G70" s="496"/>
      <c r="H70" s="497"/>
    </row>
    <row r="71" spans="1:10" ht="30" customHeight="1">
      <c r="A71" s="470">
        <f t="shared" si="2"/>
        <v>35</v>
      </c>
      <c r="B71" s="498"/>
      <c r="C71" s="496"/>
      <c r="D71" s="520"/>
      <c r="E71" s="496"/>
      <c r="F71" s="496"/>
      <c r="G71" s="496"/>
      <c r="H71" s="497"/>
    </row>
    <row r="72" spans="1:10" ht="30" customHeight="1">
      <c r="A72" s="470">
        <f t="shared" si="2"/>
        <v>36</v>
      </c>
      <c r="B72" s="498"/>
      <c r="C72" s="496"/>
      <c r="D72" s="520"/>
      <c r="E72" s="496"/>
      <c r="F72" s="496"/>
      <c r="G72" s="496"/>
      <c r="H72" s="497"/>
    </row>
    <row r="73" spans="1:10" ht="30" customHeight="1">
      <c r="A73" s="470">
        <f t="shared" si="2"/>
        <v>37</v>
      </c>
      <c r="B73" s="498"/>
      <c r="C73" s="496"/>
      <c r="D73" s="520"/>
      <c r="E73" s="496"/>
      <c r="F73" s="496"/>
      <c r="G73" s="496"/>
      <c r="H73" s="497"/>
    </row>
    <row r="74" spans="1:10" ht="30" customHeight="1">
      <c r="A74" s="470">
        <f t="shared" si="2"/>
        <v>38</v>
      </c>
      <c r="B74" s="498"/>
      <c r="C74" s="496"/>
      <c r="D74" s="499"/>
      <c r="E74" s="496"/>
      <c r="F74" s="496"/>
      <c r="G74" s="496"/>
      <c r="H74" s="497"/>
    </row>
    <row r="75" spans="1:10" ht="30" customHeight="1">
      <c r="A75" s="470">
        <f t="shared" si="2"/>
        <v>39</v>
      </c>
      <c r="B75" s="498"/>
      <c r="C75" s="496"/>
      <c r="D75" s="496"/>
      <c r="E75" s="496"/>
      <c r="F75" s="496"/>
      <c r="G75" s="496"/>
      <c r="H75" s="497"/>
    </row>
    <row r="76" spans="1:10" ht="30" customHeight="1">
      <c r="A76" s="470">
        <f t="shared" si="2"/>
        <v>40</v>
      </c>
      <c r="B76" s="500" t="s">
        <v>955</v>
      </c>
      <c r="C76" s="522"/>
      <c r="D76" s="522"/>
      <c r="E76" s="522"/>
      <c r="F76" s="522"/>
      <c r="G76" s="522"/>
      <c r="H76" s="502" t="s">
        <v>941</v>
      </c>
    </row>
    <row r="77" spans="1:10" ht="20.100000000000001" customHeight="1">
      <c r="A77" s="470">
        <f t="shared" si="2"/>
        <v>41</v>
      </c>
      <c r="B77" s="503" t="s">
        <v>961</v>
      </c>
      <c r="C77" s="504">
        <f>SUBTOTAL(9,C67:C76)</f>
        <v>0</v>
      </c>
      <c r="D77" s="504">
        <f>SUM(D67:D76)</f>
        <v>0</v>
      </c>
      <c r="E77" s="504">
        <f>SUM(E67:E76)</f>
        <v>0</v>
      </c>
      <c r="F77" s="504">
        <f>SUM(F67:F76)</f>
        <v>0</v>
      </c>
      <c r="G77" s="504">
        <f>SUM(G67:G76)</f>
        <v>0</v>
      </c>
      <c r="H77" s="497"/>
    </row>
    <row r="78" spans="1:10" ht="20.100000000000001" customHeight="1">
      <c r="A78" s="470">
        <f t="shared" si="2"/>
        <v>42</v>
      </c>
      <c r="B78" s="503" t="s">
        <v>943</v>
      </c>
      <c r="C78" s="508"/>
      <c r="D78" s="508"/>
      <c r="E78" s="508"/>
      <c r="F78" s="508"/>
      <c r="G78" s="508"/>
      <c r="H78" s="497"/>
    </row>
    <row r="79" spans="1:10" ht="20.100000000000001" customHeight="1">
      <c r="A79" s="470">
        <f t="shared" si="2"/>
        <v>43</v>
      </c>
      <c r="B79" s="527" t="s">
        <v>944</v>
      </c>
      <c r="C79" s="528"/>
      <c r="D79" s="528"/>
      <c r="E79" s="528"/>
      <c r="F79" s="528"/>
      <c r="G79" s="528"/>
      <c r="H79" s="512"/>
    </row>
    <row r="80" spans="1:10" ht="20.100000000000001" customHeight="1" thickBot="1">
      <c r="A80" s="470">
        <f t="shared" si="2"/>
        <v>44</v>
      </c>
      <c r="B80" s="513" t="s">
        <v>21</v>
      </c>
      <c r="C80" s="529">
        <f>+C77-C78-C79</f>
        <v>0</v>
      </c>
      <c r="D80" s="529">
        <f>+D77-D78-D79</f>
        <v>0</v>
      </c>
      <c r="E80" s="529">
        <f>+E77-E78-E79</f>
        <v>0</v>
      </c>
      <c r="F80" s="529">
        <f>+F77-F78-F79</f>
        <v>0</v>
      </c>
      <c r="G80" s="529">
        <f>+G77-G78-G79</f>
        <v>0</v>
      </c>
      <c r="H80" s="515"/>
    </row>
    <row r="81" spans="1:9" ht="20.100000000000001" customHeight="1" thickTop="1">
      <c r="A81" s="470"/>
      <c r="B81" s="460" t="s">
        <v>957</v>
      </c>
      <c r="E81" s="463"/>
      <c r="F81" s="463"/>
      <c r="H81" s="530"/>
    </row>
    <row r="82" spans="1:9" ht="20.100000000000001" customHeight="1">
      <c r="A82" s="470"/>
      <c r="B82" s="778" t="s">
        <v>946</v>
      </c>
      <c r="C82" s="778"/>
      <c r="D82" s="778"/>
      <c r="E82" s="778"/>
      <c r="F82" s="778"/>
      <c r="G82" s="778"/>
    </row>
    <row r="83" spans="1:9" ht="20.100000000000001" customHeight="1">
      <c r="A83" s="470"/>
      <c r="B83" s="480" t="s">
        <v>947</v>
      </c>
      <c r="F83" s="463"/>
      <c r="G83" s="463"/>
    </row>
    <row r="84" spans="1:9" ht="20.100000000000001" customHeight="1">
      <c r="A84" s="470"/>
      <c r="B84" s="480" t="s">
        <v>948</v>
      </c>
      <c r="F84" s="463"/>
      <c r="G84" s="463"/>
    </row>
    <row r="85" spans="1:9" ht="20.100000000000001" customHeight="1">
      <c r="A85" s="470"/>
      <c r="B85" s="480" t="s">
        <v>949</v>
      </c>
      <c r="F85" s="463"/>
      <c r="G85" s="463"/>
    </row>
    <row r="86" spans="1:9" ht="32.25" customHeight="1">
      <c r="A86" s="470"/>
      <c r="B86" s="778" t="s">
        <v>1088</v>
      </c>
      <c r="C86" s="778"/>
      <c r="D86" s="778"/>
      <c r="E86" s="778"/>
      <c r="F86" s="778"/>
      <c r="G86" s="778"/>
    </row>
    <row r="88" spans="1:9" ht="15.75" customHeight="1">
      <c r="B88" s="531"/>
      <c r="C88" s="531"/>
      <c r="D88" s="531"/>
      <c r="E88" s="531"/>
      <c r="F88" s="531"/>
      <c r="G88" s="531"/>
      <c r="H88" s="531"/>
    </row>
    <row r="89" spans="1:9">
      <c r="B89" s="775"/>
      <c r="C89" s="775"/>
      <c r="D89" s="775"/>
      <c r="E89" s="775"/>
      <c r="F89" s="775"/>
      <c r="G89" s="775"/>
      <c r="H89" s="775"/>
    </row>
    <row r="90" spans="1:9">
      <c r="B90" s="460"/>
    </row>
    <row r="91" spans="1:9">
      <c r="B91" s="460"/>
    </row>
    <row r="92" spans="1:9" ht="15.75" customHeight="1">
      <c r="B92" s="460"/>
    </row>
    <row r="93" spans="1:9">
      <c r="B93" s="460"/>
      <c r="D93" s="486"/>
      <c r="E93" s="486"/>
      <c r="F93" s="486"/>
      <c r="G93" s="486"/>
      <c r="H93" s="486"/>
      <c r="I93" s="487"/>
    </row>
    <row r="94" spans="1:9">
      <c r="B94" s="460"/>
      <c r="D94" s="486"/>
      <c r="E94" s="486"/>
      <c r="F94" s="486"/>
      <c r="G94" s="486"/>
      <c r="H94" s="486"/>
      <c r="I94" s="487"/>
    </row>
    <row r="95" spans="1:9">
      <c r="D95" s="463"/>
      <c r="E95" s="463"/>
    </row>
    <row r="96" spans="1:9">
      <c r="D96" s="472"/>
      <c r="E96" s="472"/>
    </row>
    <row r="97" spans="2:5">
      <c r="D97" s="472"/>
      <c r="E97" s="472"/>
    </row>
    <row r="98" spans="2:5">
      <c r="D98" s="472"/>
      <c r="E98" s="472"/>
    </row>
    <row r="99" spans="2:5">
      <c r="D99" s="472"/>
      <c r="E99" s="472"/>
    </row>
    <row r="100" spans="2:5">
      <c r="D100" s="472"/>
      <c r="E100" s="472"/>
    </row>
    <row r="101" spans="2:5">
      <c r="D101" s="472"/>
      <c r="E101" s="472"/>
    </row>
    <row r="102" spans="2:5">
      <c r="D102" s="472"/>
      <c r="E102" s="472"/>
    </row>
    <row r="103" spans="2:5">
      <c r="D103" s="472"/>
      <c r="E103" s="472"/>
    </row>
    <row r="104" spans="2:5">
      <c r="D104" s="472"/>
      <c r="E104" s="472"/>
    </row>
    <row r="105" spans="2:5">
      <c r="D105" s="472"/>
      <c r="E105" s="472"/>
    </row>
    <row r="106" spans="2:5">
      <c r="B106" s="460"/>
      <c r="D106" s="472"/>
      <c r="E106" s="472"/>
    </row>
    <row r="107" spans="2:5">
      <c r="D107" s="472"/>
      <c r="E107" s="472"/>
    </row>
    <row r="108" spans="2:5">
      <c r="B108" s="460"/>
      <c r="D108" s="472"/>
      <c r="E108" s="472"/>
    </row>
    <row r="212" spans="9:9">
      <c r="I212" s="488"/>
    </row>
  </sheetData>
  <mergeCells count="13">
    <mergeCell ref="B38:G38"/>
    <mergeCell ref="A41:G41"/>
    <mergeCell ref="A1:G1"/>
    <mergeCell ref="A42:H42"/>
    <mergeCell ref="B2:H2"/>
    <mergeCell ref="B3:H3"/>
    <mergeCell ref="B15:H15"/>
    <mergeCell ref="B34:G34"/>
    <mergeCell ref="B59:G59"/>
    <mergeCell ref="B63:G63"/>
    <mergeCell ref="B82:G82"/>
    <mergeCell ref="B86:G86"/>
    <mergeCell ref="B89:H89"/>
  </mergeCells>
  <printOptions horizontalCentered="1"/>
  <pageMargins left="0.5" right="0.5" top="0.5" bottom="0.5" header="0.33" footer="0.5"/>
  <pageSetup scale="47" fitToHeight="0" orientation="landscape" r:id="rId1"/>
  <headerFooter alignWithMargins="0"/>
  <rowBreaks count="1" manualBreakCount="1">
    <brk id="39" max="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70D4-57ED-4CD0-A244-E268282E142B}">
  <sheetPr>
    <pageSetUpPr fitToPage="1"/>
  </sheetPr>
  <dimension ref="A1:T152"/>
  <sheetViews>
    <sheetView workbookViewId="0">
      <selection sqref="A1:I1"/>
    </sheetView>
  </sheetViews>
  <sheetFormatPr defaultColWidth="8.88671875" defaultRowHeight="15.75"/>
  <cols>
    <col min="1" max="1" width="5.5546875" style="460" customWidth="1"/>
    <col min="2" max="2" width="35.6640625" style="480" customWidth="1"/>
    <col min="3" max="3" width="10.5546875" style="460" bestFit="1" customWidth="1"/>
    <col min="4" max="4" width="9.77734375" style="460" bestFit="1" customWidth="1"/>
    <col min="5" max="5" width="16.33203125" style="460" customWidth="1"/>
    <col min="6" max="6" width="12.109375" style="460" customWidth="1"/>
    <col min="7" max="7" width="11.88671875" style="460" customWidth="1"/>
    <col min="8" max="8" width="14.109375" style="461" customWidth="1"/>
    <col min="9" max="9" width="33.5546875" style="461" customWidth="1"/>
    <col min="10" max="10" width="8.88671875" style="461"/>
    <col min="11" max="11" width="12.109375" style="461" customWidth="1"/>
    <col min="12" max="12" width="12.77734375" style="461" customWidth="1"/>
    <col min="13" max="16384" width="8.88671875" style="461"/>
  </cols>
  <sheetData>
    <row r="1" spans="1:20" ht="18" customHeight="1">
      <c r="A1" s="775" t="s">
        <v>962</v>
      </c>
      <c r="B1" s="775"/>
      <c r="C1" s="775"/>
      <c r="D1" s="775"/>
      <c r="E1" s="775"/>
      <c r="F1" s="775"/>
      <c r="G1" s="775"/>
      <c r="H1" s="775"/>
      <c r="I1" s="775"/>
      <c r="J1" s="460"/>
      <c r="K1" s="460"/>
      <c r="L1" s="460"/>
    </row>
    <row r="2" spans="1:20" ht="18" customHeight="1">
      <c r="A2" s="776" t="str">
        <f>+'Attachment O'!D5</f>
        <v>GridLiance Heartland LLC</v>
      </c>
      <c r="B2" s="776"/>
      <c r="C2" s="776"/>
      <c r="D2" s="776"/>
      <c r="E2" s="776"/>
      <c r="F2" s="776"/>
      <c r="G2" s="776"/>
      <c r="H2" s="776"/>
      <c r="I2" s="776"/>
      <c r="J2" s="462"/>
      <c r="K2" s="462"/>
      <c r="L2" s="462"/>
    </row>
    <row r="3" spans="1:20" ht="18" customHeight="1">
      <c r="A3" s="775" t="str">
        <f>'Attachment O'!$K$3</f>
        <v>For the 12 months ended 12/31/2020</v>
      </c>
      <c r="B3" s="775"/>
      <c r="C3" s="775"/>
      <c r="D3" s="775"/>
      <c r="E3" s="775"/>
      <c r="F3" s="775"/>
      <c r="G3" s="775"/>
      <c r="H3" s="777"/>
      <c r="I3" s="775"/>
      <c r="J3" s="460"/>
      <c r="K3" s="460"/>
      <c r="L3" s="460"/>
    </row>
    <row r="4" spans="1:20" ht="18" customHeight="1">
      <c r="A4" s="463"/>
      <c r="B4" s="463"/>
      <c r="C4" s="463"/>
      <c r="D4" s="463"/>
      <c r="E4" s="463"/>
      <c r="F4" s="463"/>
      <c r="G4" s="463"/>
      <c r="H4" s="463"/>
      <c r="I4" s="463"/>
      <c r="J4" s="460"/>
      <c r="K4" s="460"/>
      <c r="L4" s="460"/>
    </row>
    <row r="5" spans="1:20" ht="18" customHeight="1">
      <c r="B5" s="463" t="s">
        <v>350</v>
      </c>
      <c r="C5" s="463"/>
      <c r="D5" s="464"/>
      <c r="E5" s="464" t="s">
        <v>352</v>
      </c>
      <c r="F5" s="464" t="s">
        <v>354</v>
      </c>
      <c r="G5" s="464" t="s">
        <v>356</v>
      </c>
      <c r="H5" s="464" t="s">
        <v>357</v>
      </c>
      <c r="I5" s="465"/>
    </row>
    <row r="6" spans="1:20" ht="18" customHeight="1">
      <c r="B6" s="461"/>
      <c r="C6" s="461"/>
      <c r="D6" s="461"/>
      <c r="E6" s="461"/>
      <c r="F6" s="461"/>
      <c r="G6" s="461"/>
      <c r="H6" s="464" t="s">
        <v>876</v>
      </c>
      <c r="I6" s="460"/>
      <c r="T6" s="464"/>
    </row>
    <row r="7" spans="1:20" ht="18" customHeight="1">
      <c r="A7" s="466" t="s">
        <v>877</v>
      </c>
      <c r="B7" s="466" t="s">
        <v>878</v>
      </c>
      <c r="C7" s="467"/>
      <c r="D7" s="468"/>
      <c r="E7" s="469" t="s">
        <v>879</v>
      </c>
      <c r="F7" s="469" t="s">
        <v>880</v>
      </c>
      <c r="G7" s="469" t="s">
        <v>881</v>
      </c>
      <c r="H7" s="469" t="s">
        <v>963</v>
      </c>
      <c r="I7" s="467"/>
      <c r="T7" s="464"/>
    </row>
    <row r="8" spans="1:20" ht="18" customHeight="1">
      <c r="B8" s="470"/>
      <c r="D8" s="461"/>
      <c r="H8" s="460"/>
      <c r="I8" s="460"/>
      <c r="L8" s="471"/>
    </row>
    <row r="9" spans="1:20" ht="18" customHeight="1">
      <c r="A9" s="460">
        <v>1</v>
      </c>
      <c r="B9" s="460" t="s">
        <v>899</v>
      </c>
      <c r="D9" s="461"/>
      <c r="E9" s="472">
        <f>F25</f>
        <v>207755.06301369861</v>
      </c>
      <c r="F9" s="472">
        <f t="shared" ref="F9:G9" si="0">G25</f>
        <v>0</v>
      </c>
      <c r="G9" s="472">
        <f t="shared" si="0"/>
        <v>0</v>
      </c>
      <c r="H9" s="472"/>
      <c r="I9" s="460" t="s">
        <v>883</v>
      </c>
    </row>
    <row r="10" spans="1:20" ht="18" customHeight="1">
      <c r="A10" s="460">
        <f t="shared" ref="A10:A16" si="1">+A9+1</f>
        <v>2</v>
      </c>
      <c r="B10" s="460" t="s">
        <v>904</v>
      </c>
      <c r="D10" s="461"/>
      <c r="E10" s="472">
        <f>F31</f>
        <v>0</v>
      </c>
      <c r="F10" s="472">
        <f>G31</f>
        <v>0</v>
      </c>
      <c r="G10" s="472">
        <f>H31</f>
        <v>0</v>
      </c>
      <c r="H10" s="472"/>
      <c r="I10" s="460" t="s">
        <v>885</v>
      </c>
    </row>
    <row r="11" spans="1:20" ht="18" customHeight="1">
      <c r="A11" s="460">
        <f t="shared" si="1"/>
        <v>3</v>
      </c>
      <c r="B11" s="460" t="s">
        <v>886</v>
      </c>
      <c r="D11" s="461"/>
      <c r="E11" s="472">
        <f>F37</f>
        <v>0</v>
      </c>
      <c r="F11" s="472">
        <f>G37</f>
        <v>0</v>
      </c>
      <c r="G11" s="472">
        <f>H37</f>
        <v>0</v>
      </c>
      <c r="H11" s="472"/>
      <c r="I11" s="460" t="s">
        <v>964</v>
      </c>
    </row>
    <row r="12" spans="1:20" ht="18" customHeight="1">
      <c r="A12" s="460">
        <f t="shared" si="1"/>
        <v>4</v>
      </c>
      <c r="B12" s="460" t="s">
        <v>935</v>
      </c>
      <c r="D12" s="461"/>
      <c r="E12" s="472">
        <f>SUM(E9:E11)</f>
        <v>207755.06301369861</v>
      </c>
      <c r="F12" s="472">
        <f>SUM(F9:F11)</f>
        <v>0</v>
      </c>
      <c r="G12" s="472">
        <f>SUM(G9:G11)</f>
        <v>0</v>
      </c>
      <c r="H12" s="472"/>
      <c r="I12" s="473" t="s">
        <v>889</v>
      </c>
    </row>
    <row r="13" spans="1:20" ht="18" customHeight="1">
      <c r="A13" s="460">
        <f t="shared" si="1"/>
        <v>5</v>
      </c>
      <c r="B13" s="460" t="s">
        <v>965</v>
      </c>
      <c r="D13" s="461"/>
      <c r="G13" s="474">
        <f>+'Attachment O'!I217</f>
        <v>0.76738237337416204</v>
      </c>
      <c r="H13" s="460"/>
      <c r="I13" s="460" t="s">
        <v>891</v>
      </c>
    </row>
    <row r="14" spans="1:20" ht="18" customHeight="1">
      <c r="A14" s="460">
        <f t="shared" si="1"/>
        <v>6</v>
      </c>
      <c r="B14" s="460" t="s">
        <v>892</v>
      </c>
      <c r="D14" s="461"/>
      <c r="F14" s="475">
        <f>+'Attachment O'!G70</f>
        <v>0.76738237337416204</v>
      </c>
      <c r="H14" s="460"/>
      <c r="I14" s="460" t="s">
        <v>893</v>
      </c>
    </row>
    <row r="15" spans="1:20" ht="18" customHeight="1">
      <c r="A15" s="460">
        <f t="shared" si="1"/>
        <v>7</v>
      </c>
      <c r="B15" s="460" t="s">
        <v>894</v>
      </c>
      <c r="D15" s="461"/>
      <c r="E15" s="475">
        <v>1</v>
      </c>
      <c r="F15" s="475"/>
      <c r="H15" s="460"/>
      <c r="I15" s="476">
        <v>1</v>
      </c>
    </row>
    <row r="16" spans="1:20" ht="18" customHeight="1">
      <c r="A16" s="460">
        <f t="shared" si="1"/>
        <v>8</v>
      </c>
      <c r="B16" s="460" t="s">
        <v>966</v>
      </c>
      <c r="D16" s="461"/>
      <c r="E16" s="472">
        <f>+E12*E15</f>
        <v>207755.06301369861</v>
      </c>
      <c r="F16" s="472">
        <f>+F14*F12</f>
        <v>0</v>
      </c>
      <c r="G16" s="472">
        <f>+G13*G12</f>
        <v>0</v>
      </c>
      <c r="H16" s="472">
        <f>+E16+F16+G16</f>
        <v>207755.06301369861</v>
      </c>
      <c r="I16" s="477" t="s">
        <v>896</v>
      </c>
    </row>
    <row r="17" spans="1:17" ht="18" customHeight="1">
      <c r="B17" s="460"/>
      <c r="D17" s="461"/>
      <c r="E17" s="472"/>
      <c r="F17" s="472"/>
      <c r="G17" s="472"/>
      <c r="H17" s="472"/>
      <c r="I17" s="477"/>
    </row>
    <row r="18" spans="1:17" ht="18" customHeight="1">
      <c r="B18" s="460"/>
      <c r="D18" s="473"/>
      <c r="G18" s="472"/>
      <c r="I18" s="464"/>
    </row>
    <row r="19" spans="1:17" ht="18" customHeight="1">
      <c r="B19" s="463" t="s">
        <v>336</v>
      </c>
      <c r="C19" s="463" t="s">
        <v>337</v>
      </c>
      <c r="D19" s="463" t="s">
        <v>338</v>
      </c>
      <c r="E19" s="463" t="s">
        <v>339</v>
      </c>
      <c r="F19" s="463" t="s">
        <v>671</v>
      </c>
      <c r="G19" s="464" t="s">
        <v>672</v>
      </c>
      <c r="H19" s="464" t="s">
        <v>673</v>
      </c>
      <c r="I19" s="464"/>
    </row>
    <row r="20" spans="1:17" ht="18" customHeight="1">
      <c r="A20" s="478"/>
      <c r="B20" s="479" t="s">
        <v>897</v>
      </c>
      <c r="C20" s="479" t="s">
        <v>663</v>
      </c>
      <c r="D20" s="479" t="s">
        <v>615</v>
      </c>
      <c r="E20" s="479" t="s">
        <v>898</v>
      </c>
      <c r="F20" s="479" t="s">
        <v>879</v>
      </c>
      <c r="G20" s="479" t="s">
        <v>880</v>
      </c>
      <c r="H20" s="479" t="s">
        <v>881</v>
      </c>
      <c r="I20" s="479"/>
      <c r="Q20" s="464"/>
    </row>
    <row r="21" spans="1:17" ht="18" customHeight="1">
      <c r="A21" s="460" t="s">
        <v>899</v>
      </c>
      <c r="D21" s="463"/>
      <c r="E21" s="463"/>
      <c r="F21" s="463"/>
      <c r="G21" s="461"/>
      <c r="Q21" s="464"/>
    </row>
    <row r="22" spans="1:17" ht="18" customHeight="1">
      <c r="A22" s="470">
        <f>A16+1</f>
        <v>9</v>
      </c>
      <c r="B22" s="480" t="s">
        <v>900</v>
      </c>
      <c r="C22" s="460" t="s">
        <v>771</v>
      </c>
      <c r="D22" s="481">
        <f>'8b-ADIT Projection Proration'!D9</f>
        <v>2019</v>
      </c>
      <c r="E22" s="474">
        <f>'8c- ADIT BOY'!C54</f>
        <v>0</v>
      </c>
      <c r="F22" s="474">
        <f>'8c- ADIT BOY'!E54</f>
        <v>0</v>
      </c>
      <c r="G22" s="474">
        <f>'8c- ADIT BOY'!F54</f>
        <v>0</v>
      </c>
      <c r="H22" s="474">
        <f>'8c- ADIT BOY'!G54</f>
        <v>0</v>
      </c>
      <c r="I22" s="483"/>
    </row>
    <row r="23" spans="1:17" ht="18" customHeight="1">
      <c r="A23" s="470">
        <f>A22+1</f>
        <v>10</v>
      </c>
      <c r="B23" s="480" t="s">
        <v>967</v>
      </c>
      <c r="C23" s="460" t="s">
        <v>771</v>
      </c>
      <c r="D23" s="481">
        <f>D24</f>
        <v>2020</v>
      </c>
      <c r="E23" s="474">
        <f>'8d- ADIT EOY'!C57-'8d- ADIT EOY'!C53</f>
        <v>0</v>
      </c>
      <c r="F23" s="474">
        <f>'8d- ADIT EOY'!E57-'8d- ADIT EOY'!E53</f>
        <v>0</v>
      </c>
      <c r="G23" s="474">
        <f>'8d- ADIT EOY'!F57-'8d- ADIT EOY'!F53</f>
        <v>0</v>
      </c>
      <c r="H23" s="474">
        <f>'8d- ADIT EOY'!G57-'8d- ADIT EOY'!G53</f>
        <v>0</v>
      </c>
      <c r="I23" s="483"/>
    </row>
    <row r="24" spans="1:17" ht="18" customHeight="1">
      <c r="A24" s="470">
        <f>A23+1</f>
        <v>11</v>
      </c>
      <c r="B24" s="480" t="s">
        <v>968</v>
      </c>
      <c r="C24" s="460" t="s">
        <v>771</v>
      </c>
      <c r="D24" s="481">
        <f>'8b-ADIT Projection Proration'!D21</f>
        <v>2020</v>
      </c>
      <c r="E24" s="474">
        <f>'8f-ADIT True-up Proration'!F22</f>
        <v>-238461</v>
      </c>
      <c r="F24" s="474">
        <f>'8f-ADIT True-up Proration'!N21</f>
        <v>207755.06301369861</v>
      </c>
      <c r="G24" s="474">
        <f>'8f-ADIT True-up Proration'!W21</f>
        <v>0</v>
      </c>
      <c r="H24" s="474">
        <f>'8f-ADIT True-up Proration'!AF21</f>
        <v>0</v>
      </c>
      <c r="I24" s="483"/>
    </row>
    <row r="25" spans="1:17" ht="18" customHeight="1">
      <c r="A25" s="470">
        <f>A24+1</f>
        <v>12</v>
      </c>
      <c r="B25" s="480" t="s">
        <v>969</v>
      </c>
      <c r="D25" s="534"/>
      <c r="E25" s="474">
        <f>E23+E24</f>
        <v>-238461</v>
      </c>
      <c r="F25" s="474">
        <f>F23+F24</f>
        <v>207755.06301369861</v>
      </c>
      <c r="G25" s="474">
        <f>G23+G24</f>
        <v>0</v>
      </c>
      <c r="H25" s="474">
        <f>H23+H24</f>
        <v>0</v>
      </c>
      <c r="I25" s="483"/>
    </row>
    <row r="26" spans="1:17" ht="18" customHeight="1">
      <c r="A26" s="470"/>
      <c r="G26" s="461"/>
    </row>
    <row r="27" spans="1:17" ht="18" customHeight="1">
      <c r="A27" s="460" t="s">
        <v>904</v>
      </c>
      <c r="G27" s="461"/>
    </row>
    <row r="28" spans="1:17" ht="18" customHeight="1">
      <c r="A28" s="470">
        <f>A25+1</f>
        <v>13</v>
      </c>
      <c r="B28" s="480" t="s">
        <v>905</v>
      </c>
      <c r="C28" s="460" t="s">
        <v>771</v>
      </c>
      <c r="D28" s="481">
        <f>D22</f>
        <v>2019</v>
      </c>
      <c r="E28" s="472">
        <f>'8c- ADIT BOY'!C77</f>
        <v>0</v>
      </c>
      <c r="F28" s="472">
        <f>'8c- ADIT BOY'!E77</f>
        <v>0</v>
      </c>
      <c r="G28" s="472">
        <f>'8c- ADIT BOY'!F77</f>
        <v>0</v>
      </c>
      <c r="H28" s="472">
        <f>'8c- ADIT BOY'!G77</f>
        <v>0</v>
      </c>
      <c r="I28" s="483"/>
    </row>
    <row r="29" spans="1:17" ht="18" customHeight="1">
      <c r="A29" s="470">
        <f>A28+1</f>
        <v>14</v>
      </c>
      <c r="B29" s="480" t="s">
        <v>970</v>
      </c>
      <c r="C29" s="460" t="s">
        <v>771</v>
      </c>
      <c r="D29" s="481">
        <f t="shared" ref="D29:D30" si="2">D23</f>
        <v>2020</v>
      </c>
      <c r="E29" s="472">
        <f>'8d- ADIT EOY'!C80-'8d- ADIT EOY'!C76</f>
        <v>0</v>
      </c>
      <c r="F29" s="472">
        <f>'8d- ADIT EOY'!E80-'8d- ADIT EOY'!E76</f>
        <v>0</v>
      </c>
      <c r="G29" s="472">
        <f>'8d- ADIT EOY'!F80-'8d- ADIT EOY'!F76</f>
        <v>0</v>
      </c>
      <c r="H29" s="472">
        <f>'8d- ADIT EOY'!G80-'8d- ADIT EOY'!G76</f>
        <v>0</v>
      </c>
      <c r="I29" s="483"/>
    </row>
    <row r="30" spans="1:17" ht="18" customHeight="1">
      <c r="A30" s="470">
        <f>A29+1</f>
        <v>15</v>
      </c>
      <c r="B30" s="480" t="s">
        <v>971</v>
      </c>
      <c r="C30" s="460" t="s">
        <v>771</v>
      </c>
      <c r="D30" s="481">
        <f t="shared" si="2"/>
        <v>2020</v>
      </c>
      <c r="E30" s="472">
        <f>'8f-ADIT True-up Proration'!F38</f>
        <v>0</v>
      </c>
      <c r="F30" s="472">
        <f>'8f-ADIT True-up Proration'!N37</f>
        <v>0</v>
      </c>
      <c r="G30" s="472">
        <f>'8f-ADIT True-up Proration'!W37</f>
        <v>0</v>
      </c>
      <c r="H30" s="472">
        <f>'8f-ADIT True-up Proration'!AF37</f>
        <v>0</v>
      </c>
      <c r="I30" s="483"/>
    </row>
    <row r="31" spans="1:17" ht="18" customHeight="1">
      <c r="A31" s="470">
        <f>A30+1</f>
        <v>16</v>
      </c>
      <c r="B31" s="480" t="s">
        <v>972</v>
      </c>
      <c r="E31" s="484">
        <f>E29+E30</f>
        <v>0</v>
      </c>
      <c r="F31" s="484">
        <f>F29+F30</f>
        <v>0</v>
      </c>
      <c r="G31" s="484">
        <f>G29+G30</f>
        <v>0</v>
      </c>
      <c r="H31" s="484">
        <f>H29+H30</f>
        <v>0</v>
      </c>
      <c r="I31" s="485"/>
    </row>
    <row r="32" spans="1:17" ht="18" customHeight="1">
      <c r="A32" s="470"/>
      <c r="G32" s="461"/>
    </row>
    <row r="33" spans="1:9" ht="18" customHeight="1">
      <c r="A33" s="460" t="s">
        <v>886</v>
      </c>
      <c r="G33" s="461"/>
    </row>
    <row r="34" spans="1:9" ht="18" customHeight="1">
      <c r="A34" s="470">
        <f>A31+1</f>
        <v>17</v>
      </c>
      <c r="B34" s="480" t="s">
        <v>909</v>
      </c>
      <c r="C34" s="460" t="s">
        <v>771</v>
      </c>
      <c r="D34" s="481">
        <f>D28</f>
        <v>2019</v>
      </c>
      <c r="E34" s="472">
        <f>'8c- ADIT BOY'!C29</f>
        <v>0</v>
      </c>
      <c r="F34" s="472">
        <f>'8c- ADIT BOY'!E29</f>
        <v>0</v>
      </c>
      <c r="G34" s="472">
        <f>'8c- ADIT BOY'!F29</f>
        <v>0</v>
      </c>
      <c r="H34" s="472">
        <f>'8c- ADIT BOY'!G29</f>
        <v>0</v>
      </c>
      <c r="I34" s="483"/>
    </row>
    <row r="35" spans="1:9" ht="18" customHeight="1">
      <c r="A35" s="470">
        <f>A34+1</f>
        <v>18</v>
      </c>
      <c r="B35" s="480" t="s">
        <v>973</v>
      </c>
      <c r="C35" s="460" t="s">
        <v>771</v>
      </c>
      <c r="D35" s="481">
        <f t="shared" ref="D35:D36" si="3">D29</f>
        <v>2020</v>
      </c>
      <c r="E35" s="472">
        <f>'8d- ADIT EOY'!C32-'8d- ADIT EOY'!C28</f>
        <v>0</v>
      </c>
      <c r="F35" s="472">
        <f>'8d- ADIT EOY'!E32-'8d- ADIT EOY'!E28</f>
        <v>0</v>
      </c>
      <c r="G35" s="472">
        <f>'8d- ADIT EOY'!F32-'8d- ADIT EOY'!F28</f>
        <v>0</v>
      </c>
      <c r="H35" s="472">
        <f>'8d- ADIT EOY'!G32-'8d- ADIT EOY'!G28</f>
        <v>0</v>
      </c>
      <c r="I35" s="483"/>
    </row>
    <row r="36" spans="1:9" ht="18" customHeight="1">
      <c r="A36" s="470">
        <f>A35+1</f>
        <v>19</v>
      </c>
      <c r="B36" s="480" t="s">
        <v>974</v>
      </c>
      <c r="C36" s="460" t="s">
        <v>771</v>
      </c>
      <c r="D36" s="481">
        <f t="shared" si="3"/>
        <v>2020</v>
      </c>
      <c r="E36" s="472">
        <f>'8f-ADIT True-up Proration'!F54</f>
        <v>0</v>
      </c>
      <c r="F36" s="472">
        <f>'8f-ADIT True-up Proration'!N53</f>
        <v>0</v>
      </c>
      <c r="G36" s="472">
        <f>'8f-ADIT True-up Proration'!W53</f>
        <v>0</v>
      </c>
      <c r="H36" s="472">
        <f>'8f-ADIT True-up Proration'!AF53</f>
        <v>0</v>
      </c>
      <c r="I36" s="483"/>
    </row>
    <row r="37" spans="1:9" ht="18" customHeight="1">
      <c r="A37" s="470">
        <f>A36+1</f>
        <v>20</v>
      </c>
      <c r="B37" s="480" t="s">
        <v>975</v>
      </c>
      <c r="E37" s="484">
        <f>E35+E36</f>
        <v>0</v>
      </c>
      <c r="F37" s="484">
        <f>F35+F36</f>
        <v>0</v>
      </c>
      <c r="G37" s="484">
        <f>G35+G36</f>
        <v>0</v>
      </c>
      <c r="H37" s="484">
        <f>H35+H36</f>
        <v>0</v>
      </c>
      <c r="I37" s="485"/>
    </row>
    <row r="38" spans="1:9">
      <c r="D38" s="472"/>
    </row>
    <row r="39" spans="1:9">
      <c r="D39" s="472"/>
    </row>
    <row r="40" spans="1:9">
      <c r="D40" s="472"/>
    </row>
    <row r="41" spans="1:9">
      <c r="D41" s="472"/>
    </row>
    <row r="42" spans="1:9">
      <c r="D42" s="472"/>
    </row>
    <row r="43" spans="1:9">
      <c r="D43" s="472"/>
    </row>
    <row r="44" spans="1:9">
      <c r="D44" s="472"/>
    </row>
    <row r="45" spans="1:9">
      <c r="D45" s="472"/>
    </row>
    <row r="46" spans="1:9">
      <c r="B46" s="460"/>
      <c r="D46" s="472"/>
    </row>
    <row r="47" spans="1:9">
      <c r="D47" s="472"/>
    </row>
    <row r="48" spans="1:9">
      <c r="B48" s="460"/>
      <c r="D48" s="472"/>
    </row>
    <row r="62" spans="9:9">
      <c r="I62" s="461">
        <v>0</v>
      </c>
    </row>
    <row r="66" spans="10:10">
      <c r="J66" s="460"/>
    </row>
    <row r="152" spans="8:8">
      <c r="H152" s="488"/>
    </row>
  </sheetData>
  <mergeCells count="3">
    <mergeCell ref="A1:I1"/>
    <mergeCell ref="A2:I2"/>
    <mergeCell ref="A3:I3"/>
  </mergeCells>
  <printOptions horizontalCentered="1"/>
  <pageMargins left="0.25" right="0.25" top="0.75" bottom="0.75" header="0.3" footer="0.3"/>
  <pageSetup scale="7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B6B50-E4EA-4172-9D28-FC6237C6E283}">
  <dimension ref="A1:AG74"/>
  <sheetViews>
    <sheetView workbookViewId="0">
      <selection sqref="A1:I1"/>
    </sheetView>
  </sheetViews>
  <sheetFormatPr defaultColWidth="8.88671875" defaultRowHeight="12.75"/>
  <cols>
    <col min="1" max="1" width="5.6640625" style="535" customWidth="1"/>
    <col min="2" max="2" width="31.109375" style="536" customWidth="1"/>
    <col min="3" max="3" width="10.6640625" style="535" customWidth="1"/>
    <col min="4" max="4" width="9.88671875" style="535" customWidth="1"/>
    <col min="5" max="5" width="10" style="535" customWidth="1"/>
    <col min="6" max="32" width="10.5546875" style="535" customWidth="1"/>
    <col min="33" max="16384" width="8.88671875" style="535"/>
  </cols>
  <sheetData>
    <row r="1" spans="1:33" ht="15">
      <c r="A1" s="789" t="s">
        <v>976</v>
      </c>
      <c r="B1" s="780"/>
      <c r="C1" s="780"/>
      <c r="D1" s="780"/>
      <c r="E1" s="780"/>
      <c r="F1" s="780"/>
      <c r="G1" s="780"/>
      <c r="H1" s="780"/>
      <c r="I1" s="780"/>
      <c r="J1" s="789" t="s">
        <v>426</v>
      </c>
      <c r="K1" s="780"/>
      <c r="L1" s="780"/>
      <c r="M1" s="780"/>
      <c r="N1" s="780"/>
      <c r="O1" s="789" t="s">
        <v>976</v>
      </c>
      <c r="P1" s="790"/>
      <c r="Q1" s="790"/>
      <c r="R1" s="790"/>
      <c r="S1" s="790"/>
      <c r="T1" s="790"/>
      <c r="U1" s="791"/>
      <c r="W1" s="568" t="s">
        <v>496</v>
      </c>
      <c r="X1" s="789" t="s">
        <v>976</v>
      </c>
      <c r="Y1" s="790"/>
      <c r="Z1" s="790"/>
      <c r="AA1" s="790"/>
      <c r="AB1" s="790"/>
      <c r="AC1" s="790"/>
      <c r="AD1" s="790"/>
      <c r="AF1" s="568" t="s">
        <v>497</v>
      </c>
    </row>
    <row r="2" spans="1:33" ht="15">
      <c r="A2" s="788" t="str">
        <f>+'Attachment O'!D5</f>
        <v>GridLiance Heartland LLC</v>
      </c>
      <c r="B2" s="788"/>
      <c r="C2" s="788"/>
      <c r="D2" s="788"/>
      <c r="E2" s="788"/>
      <c r="F2" s="788"/>
      <c r="G2" s="788"/>
      <c r="H2" s="788"/>
      <c r="I2" s="788"/>
      <c r="J2" s="788"/>
      <c r="K2" s="788"/>
      <c r="L2" s="788"/>
      <c r="M2" s="788"/>
      <c r="N2" s="788"/>
      <c r="O2" s="788" t="str">
        <f>+'Attachment O'!D5</f>
        <v>GridLiance Heartland LLC</v>
      </c>
      <c r="P2" s="781"/>
      <c r="Q2" s="781"/>
      <c r="R2" s="781"/>
      <c r="S2" s="781"/>
      <c r="T2" s="781"/>
      <c r="U2" s="781"/>
      <c r="V2" s="781"/>
      <c r="W2" s="781"/>
      <c r="X2" s="788" t="str">
        <f>+'Attachment O'!D5</f>
        <v>GridLiance Heartland LLC</v>
      </c>
      <c r="Y2" s="781"/>
      <c r="Z2" s="781"/>
      <c r="AA2" s="781"/>
      <c r="AB2" s="781"/>
      <c r="AC2" s="781"/>
      <c r="AD2" s="781"/>
      <c r="AE2" s="781"/>
      <c r="AF2" s="781"/>
    </row>
    <row r="3" spans="1:33" ht="15">
      <c r="A3" s="788" t="str">
        <f>'Attachment O'!$K$3</f>
        <v>For the 12 months ended 12/31/2020</v>
      </c>
      <c r="B3" s="788"/>
      <c r="C3" s="788"/>
      <c r="D3" s="788"/>
      <c r="E3" s="788"/>
      <c r="F3" s="788"/>
      <c r="G3" s="788"/>
      <c r="H3" s="788"/>
      <c r="I3" s="788"/>
      <c r="J3" s="788"/>
      <c r="K3" s="788"/>
      <c r="L3" s="788"/>
      <c r="M3" s="788"/>
      <c r="N3" s="788"/>
      <c r="O3" s="788" t="str">
        <f>'Attachment O'!$K$3</f>
        <v>For the 12 months ended 12/31/2020</v>
      </c>
      <c r="P3" s="781"/>
      <c r="Q3" s="781"/>
      <c r="R3" s="781"/>
      <c r="S3" s="781"/>
      <c r="T3" s="781"/>
      <c r="U3" s="781"/>
      <c r="V3" s="781"/>
      <c r="W3" s="781"/>
      <c r="X3" s="788" t="str">
        <f>'Attachment O'!$K$3</f>
        <v>For the 12 months ended 12/31/2020</v>
      </c>
      <c r="Y3" s="781"/>
      <c r="Z3" s="781"/>
      <c r="AA3" s="781"/>
      <c r="AB3" s="781"/>
      <c r="AC3" s="781"/>
      <c r="AD3" s="781"/>
      <c r="AE3" s="781"/>
      <c r="AF3" s="781"/>
    </row>
    <row r="4" spans="1:33" ht="13.5" thickBot="1"/>
    <row r="5" spans="1:33">
      <c r="F5" s="785" t="s">
        <v>75</v>
      </c>
      <c r="G5" s="786"/>
      <c r="H5" s="786"/>
      <c r="I5" s="786"/>
      <c r="J5" s="786"/>
      <c r="K5" s="786"/>
      <c r="L5" s="786"/>
      <c r="M5" s="786"/>
      <c r="N5" s="787"/>
      <c r="O5" s="785" t="s">
        <v>880</v>
      </c>
      <c r="P5" s="786"/>
      <c r="Q5" s="786"/>
      <c r="R5" s="786"/>
      <c r="S5" s="786"/>
      <c r="T5" s="786"/>
      <c r="U5" s="786"/>
      <c r="V5" s="786"/>
      <c r="W5" s="787"/>
      <c r="X5" s="785" t="s">
        <v>881</v>
      </c>
      <c r="Y5" s="786"/>
      <c r="Z5" s="786"/>
      <c r="AA5" s="786"/>
      <c r="AB5" s="786"/>
      <c r="AC5" s="786"/>
      <c r="AD5" s="786"/>
      <c r="AE5" s="786"/>
      <c r="AF5" s="787"/>
      <c r="AG5" s="537"/>
    </row>
    <row r="6" spans="1:33">
      <c r="B6" s="537" t="s">
        <v>336</v>
      </c>
      <c r="C6" s="537" t="s">
        <v>337</v>
      </c>
      <c r="D6" s="537" t="s">
        <v>338</v>
      </c>
      <c r="E6" s="537" t="s">
        <v>339</v>
      </c>
      <c r="F6" s="538" t="s">
        <v>671</v>
      </c>
      <c r="G6" s="537" t="s">
        <v>672</v>
      </c>
      <c r="H6" s="537" t="s">
        <v>673</v>
      </c>
      <c r="I6" s="537" t="s">
        <v>674</v>
      </c>
      <c r="J6" s="537" t="s">
        <v>675</v>
      </c>
      <c r="K6" s="537" t="s">
        <v>676</v>
      </c>
      <c r="L6" s="537" t="s">
        <v>677</v>
      </c>
      <c r="M6" s="537" t="s">
        <v>678</v>
      </c>
      <c r="N6" s="539" t="s">
        <v>679</v>
      </c>
      <c r="O6" s="538" t="s">
        <v>671</v>
      </c>
      <c r="P6" s="537" t="s">
        <v>672</v>
      </c>
      <c r="Q6" s="537" t="s">
        <v>673</v>
      </c>
      <c r="R6" s="537" t="s">
        <v>674</v>
      </c>
      <c r="S6" s="537" t="s">
        <v>675</v>
      </c>
      <c r="T6" s="537" t="s">
        <v>676</v>
      </c>
      <c r="U6" s="537" t="s">
        <v>677</v>
      </c>
      <c r="V6" s="537" t="s">
        <v>678</v>
      </c>
      <c r="W6" s="539" t="s">
        <v>679</v>
      </c>
      <c r="X6" s="538" t="s">
        <v>671</v>
      </c>
      <c r="Y6" s="537" t="s">
        <v>672</v>
      </c>
      <c r="Z6" s="537" t="s">
        <v>673</v>
      </c>
      <c r="AA6" s="537" t="s">
        <v>674</v>
      </c>
      <c r="AB6" s="537" t="s">
        <v>675</v>
      </c>
      <c r="AC6" s="537" t="s">
        <v>676</v>
      </c>
      <c r="AD6" s="537" t="s">
        <v>677</v>
      </c>
      <c r="AE6" s="537" t="s">
        <v>678</v>
      </c>
      <c r="AF6" s="539" t="s">
        <v>679</v>
      </c>
    </row>
    <row r="7" spans="1:33" ht="63.75">
      <c r="A7" s="540"/>
      <c r="B7" s="541" t="s">
        <v>897</v>
      </c>
      <c r="C7" s="541" t="s">
        <v>663</v>
      </c>
      <c r="D7" s="541" t="s">
        <v>615</v>
      </c>
      <c r="E7" s="541" t="s">
        <v>914</v>
      </c>
      <c r="F7" s="542" t="s">
        <v>977</v>
      </c>
      <c r="G7" s="541" t="s">
        <v>978</v>
      </c>
      <c r="H7" s="541" t="s">
        <v>979</v>
      </c>
      <c r="I7" s="541" t="s">
        <v>980</v>
      </c>
      <c r="J7" s="541" t="s">
        <v>981</v>
      </c>
      <c r="K7" s="541" t="s">
        <v>982</v>
      </c>
      <c r="L7" s="541" t="s">
        <v>983</v>
      </c>
      <c r="M7" s="541" t="s">
        <v>984</v>
      </c>
      <c r="N7" s="543" t="s">
        <v>985</v>
      </c>
      <c r="O7" s="542" t="s">
        <v>977</v>
      </c>
      <c r="P7" s="541" t="s">
        <v>978</v>
      </c>
      <c r="Q7" s="541" t="s">
        <v>979</v>
      </c>
      <c r="R7" s="541" t="s">
        <v>980</v>
      </c>
      <c r="S7" s="541" t="s">
        <v>981</v>
      </c>
      <c r="T7" s="541" t="s">
        <v>982</v>
      </c>
      <c r="U7" s="541" t="s">
        <v>983</v>
      </c>
      <c r="V7" s="541" t="s">
        <v>984</v>
      </c>
      <c r="W7" s="543" t="s">
        <v>985</v>
      </c>
      <c r="X7" s="542" t="s">
        <v>977</v>
      </c>
      <c r="Y7" s="541" t="s">
        <v>978</v>
      </c>
      <c r="Z7" s="541" t="s">
        <v>979</v>
      </c>
      <c r="AA7" s="541" t="s">
        <v>980</v>
      </c>
      <c r="AB7" s="541" t="s">
        <v>981</v>
      </c>
      <c r="AC7" s="541" t="s">
        <v>982</v>
      </c>
      <c r="AD7" s="541" t="s">
        <v>983</v>
      </c>
      <c r="AE7" s="541" t="s">
        <v>984</v>
      </c>
      <c r="AF7" s="543" t="s">
        <v>985</v>
      </c>
      <c r="AG7" s="537"/>
    </row>
    <row r="8" spans="1:33">
      <c r="A8" s="535" t="s">
        <v>990</v>
      </c>
      <c r="D8" s="537"/>
      <c r="E8" s="537"/>
      <c r="F8" s="544"/>
      <c r="N8" s="545"/>
      <c r="O8" s="544"/>
      <c r="W8" s="545"/>
      <c r="X8" s="544"/>
      <c r="AF8" s="545"/>
      <c r="AG8" s="537"/>
    </row>
    <row r="9" spans="1:33">
      <c r="A9" s="546">
        <v>1</v>
      </c>
      <c r="B9" s="536" t="s">
        <v>919</v>
      </c>
      <c r="C9" s="535" t="s">
        <v>771</v>
      </c>
      <c r="D9" s="547">
        <f>'8b-ADIT Projection Proration'!D9</f>
        <v>2019</v>
      </c>
      <c r="E9" s="548">
        <f>365/365</f>
        <v>1</v>
      </c>
      <c r="F9" s="549"/>
      <c r="G9" s="322"/>
      <c r="H9" s="322">
        <f>'8c- ADIT BOY'!E54</f>
        <v>0</v>
      </c>
      <c r="I9" s="322"/>
      <c r="J9" s="322"/>
      <c r="K9" s="322"/>
      <c r="L9" s="322"/>
      <c r="M9" s="322"/>
      <c r="N9" s="550">
        <v>0</v>
      </c>
      <c r="O9" s="549"/>
      <c r="P9" s="322"/>
      <c r="Q9" s="322">
        <f>'8c- ADIT BOY'!F54</f>
        <v>0</v>
      </c>
      <c r="R9" s="322"/>
      <c r="S9" s="322"/>
      <c r="T9" s="322"/>
      <c r="U9" s="322"/>
      <c r="V9" s="322"/>
      <c r="W9" s="550">
        <v>0</v>
      </c>
      <c r="X9" s="549"/>
      <c r="Y9" s="322"/>
      <c r="Z9" s="322">
        <f>'8c- ADIT BOY'!G54</f>
        <v>0</v>
      </c>
      <c r="AA9" s="322"/>
      <c r="AB9" s="322"/>
      <c r="AC9" s="322"/>
      <c r="AD9" s="322"/>
      <c r="AE9" s="322"/>
      <c r="AF9" s="550">
        <v>0</v>
      </c>
    </row>
    <row r="10" spans="1:33">
      <c r="A10" s="546">
        <f t="shared" ref="A10:A22" si="0">+A9+1</f>
        <v>2</v>
      </c>
      <c r="B10" s="536" t="s">
        <v>920</v>
      </c>
      <c r="C10" s="535" t="s">
        <v>696</v>
      </c>
      <c r="D10" s="547">
        <f>'8b-ADIT Projection Proration'!D10</f>
        <v>2020</v>
      </c>
      <c r="E10" s="548">
        <f>335/365</f>
        <v>0.9178082191780822</v>
      </c>
      <c r="F10" s="549">
        <f>'8b-ADIT Projection Proration'!G10</f>
        <v>0</v>
      </c>
      <c r="G10" s="322">
        <f t="shared" ref="G10:G21" si="1">$E10*F10</f>
        <v>0</v>
      </c>
      <c r="H10" s="322">
        <f t="shared" ref="H10:H21" si="2">+G10+H9</f>
        <v>0</v>
      </c>
      <c r="I10" s="551">
        <v>0</v>
      </c>
      <c r="J10" s="322">
        <f t="shared" ref="J10:J21" si="3">I10-F10</f>
        <v>0</v>
      </c>
      <c r="K10" s="322">
        <f t="shared" ref="K10:K21" si="4">IF(J10&gt;=0,+J10,0)</f>
        <v>0</v>
      </c>
      <c r="L10" s="322">
        <f t="shared" ref="L10:L21" si="5">IF(K10&gt;0,0,IF(I10&lt;0,0,(-(J10)*($E10))))</f>
        <v>0</v>
      </c>
      <c r="M10" s="322">
        <f t="shared" ref="M10:M21" si="6">IF(K10&gt;0,0,IF(I10&gt;0,0,(-(J10)*($E10))))</f>
        <v>0</v>
      </c>
      <c r="N10" s="550">
        <f t="shared" ref="N10:N21" si="7">IF(I10&lt;0,N9+M10,N9+$G10+K10-L10)</f>
        <v>0</v>
      </c>
      <c r="O10" s="549">
        <f>'8b-ADIT Projection Proration'!I10</f>
        <v>0</v>
      </c>
      <c r="P10" s="322">
        <f t="shared" ref="P10:P21" si="8">$E10*O10</f>
        <v>0</v>
      </c>
      <c r="Q10" s="322">
        <f t="shared" ref="Q10:Q21" si="9">+P10+Q9</f>
        <v>0</v>
      </c>
      <c r="R10" s="551">
        <v>0</v>
      </c>
      <c r="S10" s="322">
        <f t="shared" ref="S10:S21" si="10">R10-O10</f>
        <v>0</v>
      </c>
      <c r="T10" s="322">
        <f t="shared" ref="T10:T21" si="11">IF(S10&gt;=0,+S10,0)</f>
        <v>0</v>
      </c>
      <c r="U10" s="322">
        <f t="shared" ref="U10:U21" si="12">IF(T10&gt;0,0,IF(R10&lt;0,0,(-(S10)*($E10))))</f>
        <v>0</v>
      </c>
      <c r="V10" s="322">
        <f t="shared" ref="V10:V21" si="13">IF(T10&gt;0,0,IF(R10&gt;0,0,(-(S10)*($E10))))</f>
        <v>0</v>
      </c>
      <c r="W10" s="550">
        <f t="shared" ref="W10:W21" si="14">IF(R10&lt;0,W9+V10,W9+P10+T10-U10)</f>
        <v>0</v>
      </c>
      <c r="X10" s="549">
        <f>'8b-ADIT Projection Proration'!K10</f>
        <v>0</v>
      </c>
      <c r="Y10" s="322">
        <f t="shared" ref="Y10:Y21" si="15">$E10*X10</f>
        <v>0</v>
      </c>
      <c r="Z10" s="322">
        <f t="shared" ref="Z10:Z21" si="16">+Y10+Z9</f>
        <v>0</v>
      </c>
      <c r="AA10" s="551">
        <v>0</v>
      </c>
      <c r="AB10" s="322">
        <f t="shared" ref="AB10:AB21" si="17">AA10-X10</f>
        <v>0</v>
      </c>
      <c r="AC10" s="322">
        <f t="shared" ref="AC10:AC21" si="18">IF(AB10&gt;=0,+AB10,0)</f>
        <v>0</v>
      </c>
      <c r="AD10" s="322">
        <f t="shared" ref="AD10:AD21" si="19">IF(AC10&gt;0,0,IF(AA10&lt;0,0,(-(AB10)*($E10))))</f>
        <v>0</v>
      </c>
      <c r="AE10" s="322">
        <f t="shared" ref="AE10:AE21" si="20">IF(AC10&gt;0,0,IF(AA10&gt;0,0,(-(AB10)*($E10))))</f>
        <v>0</v>
      </c>
      <c r="AF10" s="550">
        <f t="shared" ref="AF10:AF21" si="21">IF(AA10&lt;0,AF9+AE10,AF9+Y10+AC10-AD10)</f>
        <v>0</v>
      </c>
    </row>
    <row r="11" spans="1:33">
      <c r="A11" s="546">
        <f t="shared" si="0"/>
        <v>3</v>
      </c>
      <c r="B11" s="536" t="s">
        <v>920</v>
      </c>
      <c r="C11" s="535" t="s">
        <v>697</v>
      </c>
      <c r="D11" s="547">
        <f>'8b-ADIT Projection Proration'!D11</f>
        <v>2020</v>
      </c>
      <c r="E11" s="548">
        <f>307/365</f>
        <v>0.84109589041095889</v>
      </c>
      <c r="F11" s="549">
        <f>'8b-ADIT Projection Proration'!G11</f>
        <v>0</v>
      </c>
      <c r="G11" s="322">
        <f t="shared" si="1"/>
        <v>0</v>
      </c>
      <c r="H11" s="322">
        <f t="shared" si="2"/>
        <v>0</v>
      </c>
      <c r="I11" s="551">
        <v>0</v>
      </c>
      <c r="J11" s="322">
        <f t="shared" si="3"/>
        <v>0</v>
      </c>
      <c r="K11" s="322">
        <f t="shared" si="4"/>
        <v>0</v>
      </c>
      <c r="L11" s="322">
        <f t="shared" si="5"/>
        <v>0</v>
      </c>
      <c r="M11" s="322">
        <f t="shared" si="6"/>
        <v>0</v>
      </c>
      <c r="N11" s="550">
        <f t="shared" si="7"/>
        <v>0</v>
      </c>
      <c r="O11" s="549">
        <f>'8b-ADIT Projection Proration'!I11</f>
        <v>0</v>
      </c>
      <c r="P11" s="322">
        <f t="shared" si="8"/>
        <v>0</v>
      </c>
      <c r="Q11" s="322">
        <f t="shared" si="9"/>
        <v>0</v>
      </c>
      <c r="R11" s="551">
        <v>0</v>
      </c>
      <c r="S11" s="322">
        <f t="shared" si="10"/>
        <v>0</v>
      </c>
      <c r="T11" s="322">
        <f t="shared" si="11"/>
        <v>0</v>
      </c>
      <c r="U11" s="322">
        <f t="shared" si="12"/>
        <v>0</v>
      </c>
      <c r="V11" s="322">
        <f t="shared" si="13"/>
        <v>0</v>
      </c>
      <c r="W11" s="550">
        <f t="shared" si="14"/>
        <v>0</v>
      </c>
      <c r="X11" s="549">
        <f>'8b-ADIT Projection Proration'!K11</f>
        <v>0</v>
      </c>
      <c r="Y11" s="322">
        <f t="shared" si="15"/>
        <v>0</v>
      </c>
      <c r="Z11" s="322">
        <f t="shared" si="16"/>
        <v>0</v>
      </c>
      <c r="AA11" s="551">
        <v>0</v>
      </c>
      <c r="AB11" s="322">
        <f t="shared" si="17"/>
        <v>0</v>
      </c>
      <c r="AC11" s="322">
        <f t="shared" si="18"/>
        <v>0</v>
      </c>
      <c r="AD11" s="322">
        <f t="shared" si="19"/>
        <v>0</v>
      </c>
      <c r="AE11" s="322">
        <f t="shared" si="20"/>
        <v>0</v>
      </c>
      <c r="AF11" s="550">
        <f t="shared" si="21"/>
        <v>0</v>
      </c>
    </row>
    <row r="12" spans="1:33">
      <c r="A12" s="546">
        <f t="shared" si="0"/>
        <v>4</v>
      </c>
      <c r="B12" s="536" t="s">
        <v>920</v>
      </c>
      <c r="C12" s="535" t="s">
        <v>768</v>
      </c>
      <c r="D12" s="547">
        <f>'8b-ADIT Projection Proration'!D12</f>
        <v>2020</v>
      </c>
      <c r="E12" s="548">
        <f>276/365</f>
        <v>0.75616438356164384</v>
      </c>
      <c r="F12" s="549">
        <f>'8b-ADIT Projection Proration'!G12</f>
        <v>0</v>
      </c>
      <c r="G12" s="322">
        <f t="shared" si="1"/>
        <v>0</v>
      </c>
      <c r="H12" s="322">
        <f t="shared" si="2"/>
        <v>0</v>
      </c>
      <c r="I12" s="551">
        <v>0</v>
      </c>
      <c r="J12" s="322">
        <f t="shared" si="3"/>
        <v>0</v>
      </c>
      <c r="K12" s="322">
        <f t="shared" si="4"/>
        <v>0</v>
      </c>
      <c r="L12" s="322">
        <f t="shared" si="5"/>
        <v>0</v>
      </c>
      <c r="M12" s="322">
        <f t="shared" si="6"/>
        <v>0</v>
      </c>
      <c r="N12" s="550">
        <f t="shared" si="7"/>
        <v>0</v>
      </c>
      <c r="O12" s="549">
        <f>'8b-ADIT Projection Proration'!I12</f>
        <v>0</v>
      </c>
      <c r="P12" s="322">
        <f t="shared" si="8"/>
        <v>0</v>
      </c>
      <c r="Q12" s="322">
        <f t="shared" si="9"/>
        <v>0</v>
      </c>
      <c r="R12" s="551">
        <v>0</v>
      </c>
      <c r="S12" s="322">
        <f t="shared" si="10"/>
        <v>0</v>
      </c>
      <c r="T12" s="322">
        <f t="shared" si="11"/>
        <v>0</v>
      </c>
      <c r="U12" s="322">
        <f t="shared" si="12"/>
        <v>0</v>
      </c>
      <c r="V12" s="322">
        <f t="shared" si="13"/>
        <v>0</v>
      </c>
      <c r="W12" s="550">
        <f t="shared" si="14"/>
        <v>0</v>
      </c>
      <c r="X12" s="549">
        <f>'8b-ADIT Projection Proration'!K12</f>
        <v>0</v>
      </c>
      <c r="Y12" s="322">
        <f t="shared" si="15"/>
        <v>0</v>
      </c>
      <c r="Z12" s="322">
        <f t="shared" si="16"/>
        <v>0</v>
      </c>
      <c r="AA12" s="551">
        <v>0</v>
      </c>
      <c r="AB12" s="322">
        <f t="shared" si="17"/>
        <v>0</v>
      </c>
      <c r="AC12" s="322">
        <f t="shared" si="18"/>
        <v>0</v>
      </c>
      <c r="AD12" s="322">
        <f t="shared" si="19"/>
        <v>0</v>
      </c>
      <c r="AE12" s="322">
        <f t="shared" si="20"/>
        <v>0</v>
      </c>
      <c r="AF12" s="550">
        <f t="shared" si="21"/>
        <v>0</v>
      </c>
    </row>
    <row r="13" spans="1:33">
      <c r="A13" s="546">
        <f t="shared" si="0"/>
        <v>5</v>
      </c>
      <c r="B13" s="536" t="s">
        <v>920</v>
      </c>
      <c r="C13" s="535" t="s">
        <v>699</v>
      </c>
      <c r="D13" s="547">
        <f>'8b-ADIT Projection Proration'!D13</f>
        <v>2020</v>
      </c>
      <c r="E13" s="548">
        <f>246/365</f>
        <v>0.67397260273972603</v>
      </c>
      <c r="F13" s="549">
        <f>'8b-ADIT Projection Proration'!G13</f>
        <v>0</v>
      </c>
      <c r="G13" s="322">
        <f t="shared" si="1"/>
        <v>0</v>
      </c>
      <c r="H13" s="322">
        <f t="shared" si="2"/>
        <v>0</v>
      </c>
      <c r="I13" s="551">
        <v>0</v>
      </c>
      <c r="J13" s="322">
        <f t="shared" si="3"/>
        <v>0</v>
      </c>
      <c r="K13" s="322">
        <f t="shared" si="4"/>
        <v>0</v>
      </c>
      <c r="L13" s="322">
        <f t="shared" si="5"/>
        <v>0</v>
      </c>
      <c r="M13" s="322">
        <f t="shared" si="6"/>
        <v>0</v>
      </c>
      <c r="N13" s="550">
        <f t="shared" si="7"/>
        <v>0</v>
      </c>
      <c r="O13" s="549">
        <f>'8b-ADIT Projection Proration'!I13</f>
        <v>0</v>
      </c>
      <c r="P13" s="322">
        <f t="shared" si="8"/>
        <v>0</v>
      </c>
      <c r="Q13" s="322">
        <f t="shared" si="9"/>
        <v>0</v>
      </c>
      <c r="R13" s="551">
        <v>0</v>
      </c>
      <c r="S13" s="322">
        <f t="shared" si="10"/>
        <v>0</v>
      </c>
      <c r="T13" s="322">
        <f t="shared" si="11"/>
        <v>0</v>
      </c>
      <c r="U13" s="322">
        <f t="shared" si="12"/>
        <v>0</v>
      </c>
      <c r="V13" s="322">
        <f t="shared" si="13"/>
        <v>0</v>
      </c>
      <c r="W13" s="550">
        <f t="shared" si="14"/>
        <v>0</v>
      </c>
      <c r="X13" s="549">
        <f>'8b-ADIT Projection Proration'!K13</f>
        <v>0</v>
      </c>
      <c r="Y13" s="322">
        <f t="shared" si="15"/>
        <v>0</v>
      </c>
      <c r="Z13" s="322">
        <f t="shared" si="16"/>
        <v>0</v>
      </c>
      <c r="AA13" s="551">
        <v>0</v>
      </c>
      <c r="AB13" s="322">
        <f t="shared" si="17"/>
        <v>0</v>
      </c>
      <c r="AC13" s="322">
        <f t="shared" si="18"/>
        <v>0</v>
      </c>
      <c r="AD13" s="322">
        <f t="shared" si="19"/>
        <v>0</v>
      </c>
      <c r="AE13" s="322">
        <f t="shared" si="20"/>
        <v>0</v>
      </c>
      <c r="AF13" s="550">
        <f t="shared" si="21"/>
        <v>0</v>
      </c>
    </row>
    <row r="14" spans="1:33">
      <c r="A14" s="546">
        <f t="shared" si="0"/>
        <v>6</v>
      </c>
      <c r="B14" s="536" t="s">
        <v>920</v>
      </c>
      <c r="C14" s="535" t="s">
        <v>700</v>
      </c>
      <c r="D14" s="547">
        <f>'8b-ADIT Projection Proration'!D14</f>
        <v>2020</v>
      </c>
      <c r="E14" s="548">
        <f>215/365</f>
        <v>0.58904109589041098</v>
      </c>
      <c r="F14" s="549">
        <f>'8b-ADIT Projection Proration'!G14</f>
        <v>0</v>
      </c>
      <c r="G14" s="322">
        <f t="shared" si="1"/>
        <v>0</v>
      </c>
      <c r="H14" s="322">
        <f t="shared" si="2"/>
        <v>0</v>
      </c>
      <c r="I14" s="551">
        <v>0</v>
      </c>
      <c r="J14" s="322">
        <f t="shared" si="3"/>
        <v>0</v>
      </c>
      <c r="K14" s="322">
        <f t="shared" si="4"/>
        <v>0</v>
      </c>
      <c r="L14" s="322">
        <f t="shared" si="5"/>
        <v>0</v>
      </c>
      <c r="M14" s="322">
        <f t="shared" si="6"/>
        <v>0</v>
      </c>
      <c r="N14" s="550">
        <f t="shared" si="7"/>
        <v>0</v>
      </c>
      <c r="O14" s="549">
        <f>'8b-ADIT Projection Proration'!I14</f>
        <v>0</v>
      </c>
      <c r="P14" s="322">
        <f t="shared" si="8"/>
        <v>0</v>
      </c>
      <c r="Q14" s="322">
        <f t="shared" si="9"/>
        <v>0</v>
      </c>
      <c r="R14" s="551">
        <v>0</v>
      </c>
      <c r="S14" s="322">
        <f t="shared" si="10"/>
        <v>0</v>
      </c>
      <c r="T14" s="322">
        <f t="shared" si="11"/>
        <v>0</v>
      </c>
      <c r="U14" s="322">
        <f t="shared" si="12"/>
        <v>0</v>
      </c>
      <c r="V14" s="322">
        <f t="shared" si="13"/>
        <v>0</v>
      </c>
      <c r="W14" s="550">
        <f t="shared" si="14"/>
        <v>0</v>
      </c>
      <c r="X14" s="549">
        <f>'8b-ADIT Projection Proration'!K14</f>
        <v>0</v>
      </c>
      <c r="Y14" s="322">
        <f t="shared" si="15"/>
        <v>0</v>
      </c>
      <c r="Z14" s="322">
        <f t="shared" si="16"/>
        <v>0</v>
      </c>
      <c r="AA14" s="551">
        <v>0</v>
      </c>
      <c r="AB14" s="322">
        <f t="shared" si="17"/>
        <v>0</v>
      </c>
      <c r="AC14" s="322">
        <f t="shared" si="18"/>
        <v>0</v>
      </c>
      <c r="AD14" s="322">
        <f t="shared" si="19"/>
        <v>0</v>
      </c>
      <c r="AE14" s="322">
        <f t="shared" si="20"/>
        <v>0</v>
      </c>
      <c r="AF14" s="550">
        <f t="shared" si="21"/>
        <v>0</v>
      </c>
    </row>
    <row r="15" spans="1:33">
      <c r="A15" s="546">
        <f t="shared" si="0"/>
        <v>7</v>
      </c>
      <c r="B15" s="536" t="s">
        <v>920</v>
      </c>
      <c r="C15" s="535" t="s">
        <v>701</v>
      </c>
      <c r="D15" s="547">
        <f>'8b-ADIT Projection Proration'!D15</f>
        <v>2020</v>
      </c>
      <c r="E15" s="548">
        <f>185/365</f>
        <v>0.50684931506849318</v>
      </c>
      <c r="F15" s="549">
        <f>'8b-ADIT Projection Proration'!G15</f>
        <v>0</v>
      </c>
      <c r="G15" s="322">
        <f t="shared" si="1"/>
        <v>0</v>
      </c>
      <c r="H15" s="322">
        <f t="shared" si="2"/>
        <v>0</v>
      </c>
      <c r="I15" s="551">
        <v>0</v>
      </c>
      <c r="J15" s="322">
        <f t="shared" si="3"/>
        <v>0</v>
      </c>
      <c r="K15" s="322">
        <f t="shared" si="4"/>
        <v>0</v>
      </c>
      <c r="L15" s="322">
        <f t="shared" si="5"/>
        <v>0</v>
      </c>
      <c r="M15" s="322">
        <f t="shared" si="6"/>
        <v>0</v>
      </c>
      <c r="N15" s="550">
        <f t="shared" si="7"/>
        <v>0</v>
      </c>
      <c r="O15" s="549">
        <f>'8b-ADIT Projection Proration'!I15</f>
        <v>0</v>
      </c>
      <c r="P15" s="322">
        <f t="shared" si="8"/>
        <v>0</v>
      </c>
      <c r="Q15" s="322">
        <f t="shared" si="9"/>
        <v>0</v>
      </c>
      <c r="R15" s="551">
        <v>0</v>
      </c>
      <c r="S15" s="322">
        <f t="shared" si="10"/>
        <v>0</v>
      </c>
      <c r="T15" s="322">
        <f t="shared" si="11"/>
        <v>0</v>
      </c>
      <c r="U15" s="322">
        <f t="shared" si="12"/>
        <v>0</v>
      </c>
      <c r="V15" s="322">
        <f t="shared" si="13"/>
        <v>0</v>
      </c>
      <c r="W15" s="550">
        <f t="shared" si="14"/>
        <v>0</v>
      </c>
      <c r="X15" s="549">
        <f>'8b-ADIT Projection Proration'!K15</f>
        <v>0</v>
      </c>
      <c r="Y15" s="322">
        <f t="shared" si="15"/>
        <v>0</v>
      </c>
      <c r="Z15" s="322">
        <f t="shared" si="16"/>
        <v>0</v>
      </c>
      <c r="AA15" s="551">
        <v>0</v>
      </c>
      <c r="AB15" s="322">
        <f t="shared" si="17"/>
        <v>0</v>
      </c>
      <c r="AC15" s="322">
        <f t="shared" si="18"/>
        <v>0</v>
      </c>
      <c r="AD15" s="322">
        <f t="shared" si="19"/>
        <v>0</v>
      </c>
      <c r="AE15" s="322">
        <f t="shared" si="20"/>
        <v>0</v>
      </c>
      <c r="AF15" s="550">
        <f t="shared" si="21"/>
        <v>0</v>
      </c>
    </row>
    <row r="16" spans="1:33">
      <c r="A16" s="546">
        <f t="shared" si="0"/>
        <v>8</v>
      </c>
      <c r="B16" s="536" t="s">
        <v>920</v>
      </c>
      <c r="C16" s="535" t="s">
        <v>702</v>
      </c>
      <c r="D16" s="547">
        <f>'8b-ADIT Projection Proration'!D16</f>
        <v>2020</v>
      </c>
      <c r="E16" s="548">
        <f>154/365</f>
        <v>0.42191780821917807</v>
      </c>
      <c r="F16" s="549">
        <f>'8b-ADIT Projection Proration'!G16</f>
        <v>0</v>
      </c>
      <c r="G16" s="322">
        <f t="shared" si="1"/>
        <v>0</v>
      </c>
      <c r="H16" s="322">
        <f t="shared" si="2"/>
        <v>0</v>
      </c>
      <c r="I16" s="551">
        <v>0</v>
      </c>
      <c r="J16" s="322">
        <f t="shared" si="3"/>
        <v>0</v>
      </c>
      <c r="K16" s="322">
        <f t="shared" si="4"/>
        <v>0</v>
      </c>
      <c r="L16" s="322">
        <f t="shared" si="5"/>
        <v>0</v>
      </c>
      <c r="M16" s="322">
        <f t="shared" si="6"/>
        <v>0</v>
      </c>
      <c r="N16" s="550">
        <f t="shared" si="7"/>
        <v>0</v>
      </c>
      <c r="O16" s="549">
        <f>'8b-ADIT Projection Proration'!I16</f>
        <v>0</v>
      </c>
      <c r="P16" s="322">
        <f t="shared" si="8"/>
        <v>0</v>
      </c>
      <c r="Q16" s="322">
        <f t="shared" si="9"/>
        <v>0</v>
      </c>
      <c r="R16" s="551">
        <v>0</v>
      </c>
      <c r="S16" s="322">
        <f t="shared" si="10"/>
        <v>0</v>
      </c>
      <c r="T16" s="322">
        <f t="shared" si="11"/>
        <v>0</v>
      </c>
      <c r="U16" s="322">
        <f t="shared" si="12"/>
        <v>0</v>
      </c>
      <c r="V16" s="322">
        <f t="shared" si="13"/>
        <v>0</v>
      </c>
      <c r="W16" s="550">
        <f t="shared" si="14"/>
        <v>0</v>
      </c>
      <c r="X16" s="549">
        <f>'8b-ADIT Projection Proration'!K16</f>
        <v>0</v>
      </c>
      <c r="Y16" s="322">
        <f t="shared" si="15"/>
        <v>0</v>
      </c>
      <c r="Z16" s="322">
        <f t="shared" si="16"/>
        <v>0</v>
      </c>
      <c r="AA16" s="551">
        <v>0</v>
      </c>
      <c r="AB16" s="322">
        <f t="shared" si="17"/>
        <v>0</v>
      </c>
      <c r="AC16" s="322">
        <f t="shared" si="18"/>
        <v>0</v>
      </c>
      <c r="AD16" s="322">
        <f t="shared" si="19"/>
        <v>0</v>
      </c>
      <c r="AE16" s="322">
        <f t="shared" si="20"/>
        <v>0</v>
      </c>
      <c r="AF16" s="550">
        <f t="shared" si="21"/>
        <v>0</v>
      </c>
    </row>
    <row r="17" spans="1:33">
      <c r="A17" s="546">
        <f t="shared" si="0"/>
        <v>9</v>
      </c>
      <c r="B17" s="536" t="s">
        <v>920</v>
      </c>
      <c r="C17" s="535" t="s">
        <v>770</v>
      </c>
      <c r="D17" s="547">
        <f>'8b-ADIT Projection Proration'!D17</f>
        <v>2020</v>
      </c>
      <c r="E17" s="548">
        <f>123/365</f>
        <v>0.33698630136986302</v>
      </c>
      <c r="F17" s="549">
        <f>'8b-ADIT Projection Proration'!G17</f>
        <v>0</v>
      </c>
      <c r="G17" s="322">
        <f t="shared" si="1"/>
        <v>0</v>
      </c>
      <c r="H17" s="322">
        <f t="shared" si="2"/>
        <v>0</v>
      </c>
      <c r="I17" s="551">
        <v>0</v>
      </c>
      <c r="J17" s="322">
        <f t="shared" si="3"/>
        <v>0</v>
      </c>
      <c r="K17" s="322">
        <f t="shared" si="4"/>
        <v>0</v>
      </c>
      <c r="L17" s="322">
        <f t="shared" si="5"/>
        <v>0</v>
      </c>
      <c r="M17" s="322">
        <f t="shared" si="6"/>
        <v>0</v>
      </c>
      <c r="N17" s="550">
        <f t="shared" si="7"/>
        <v>0</v>
      </c>
      <c r="O17" s="549">
        <f>'8b-ADIT Projection Proration'!I17</f>
        <v>0</v>
      </c>
      <c r="P17" s="322">
        <f t="shared" si="8"/>
        <v>0</v>
      </c>
      <c r="Q17" s="322">
        <f t="shared" si="9"/>
        <v>0</v>
      </c>
      <c r="R17" s="551">
        <v>0</v>
      </c>
      <c r="S17" s="322">
        <f t="shared" si="10"/>
        <v>0</v>
      </c>
      <c r="T17" s="322">
        <f t="shared" si="11"/>
        <v>0</v>
      </c>
      <c r="U17" s="322">
        <f t="shared" si="12"/>
        <v>0</v>
      </c>
      <c r="V17" s="322">
        <f t="shared" si="13"/>
        <v>0</v>
      </c>
      <c r="W17" s="550">
        <f t="shared" si="14"/>
        <v>0</v>
      </c>
      <c r="X17" s="549">
        <f>'8b-ADIT Projection Proration'!K17</f>
        <v>0</v>
      </c>
      <c r="Y17" s="322">
        <f t="shared" si="15"/>
        <v>0</v>
      </c>
      <c r="Z17" s="322">
        <f t="shared" si="16"/>
        <v>0</v>
      </c>
      <c r="AA17" s="551">
        <v>0</v>
      </c>
      <c r="AB17" s="322">
        <f t="shared" si="17"/>
        <v>0</v>
      </c>
      <c r="AC17" s="322">
        <f t="shared" si="18"/>
        <v>0</v>
      </c>
      <c r="AD17" s="322">
        <f t="shared" si="19"/>
        <v>0</v>
      </c>
      <c r="AE17" s="322">
        <f t="shared" si="20"/>
        <v>0</v>
      </c>
      <c r="AF17" s="550">
        <f t="shared" si="21"/>
        <v>0</v>
      </c>
    </row>
    <row r="18" spans="1:33">
      <c r="A18" s="546">
        <f t="shared" si="0"/>
        <v>10</v>
      </c>
      <c r="B18" s="536" t="s">
        <v>920</v>
      </c>
      <c r="C18" s="535" t="s">
        <v>704</v>
      </c>
      <c r="D18" s="547">
        <f>'8b-ADIT Projection Proration'!D18</f>
        <v>2020</v>
      </c>
      <c r="E18" s="548">
        <f>93/365</f>
        <v>0.25479452054794521</v>
      </c>
      <c r="F18" s="549">
        <f>'8b-ADIT Projection Proration'!G18</f>
        <v>-59615.25</v>
      </c>
      <c r="G18" s="322">
        <f t="shared" si="1"/>
        <v>-15189.63904109589</v>
      </c>
      <c r="H18" s="322">
        <f t="shared" si="2"/>
        <v>-15189.63904109589</v>
      </c>
      <c r="I18" s="551">
        <v>0</v>
      </c>
      <c r="J18" s="322">
        <f t="shared" si="3"/>
        <v>59615.25</v>
      </c>
      <c r="K18" s="322">
        <f t="shared" si="4"/>
        <v>59615.25</v>
      </c>
      <c r="L18" s="322">
        <f t="shared" si="5"/>
        <v>0</v>
      </c>
      <c r="M18" s="322">
        <f t="shared" si="6"/>
        <v>0</v>
      </c>
      <c r="N18" s="550">
        <f t="shared" si="7"/>
        <v>44425.610958904108</v>
      </c>
      <c r="O18" s="549">
        <f>'8b-ADIT Projection Proration'!I18</f>
        <v>0</v>
      </c>
      <c r="P18" s="322">
        <f t="shared" si="8"/>
        <v>0</v>
      </c>
      <c r="Q18" s="322">
        <f t="shared" si="9"/>
        <v>0</v>
      </c>
      <c r="R18" s="551">
        <v>0</v>
      </c>
      <c r="S18" s="322">
        <f t="shared" si="10"/>
        <v>0</v>
      </c>
      <c r="T18" s="322">
        <f t="shared" si="11"/>
        <v>0</v>
      </c>
      <c r="U18" s="322">
        <f t="shared" si="12"/>
        <v>0</v>
      </c>
      <c r="V18" s="322">
        <f t="shared" si="13"/>
        <v>0</v>
      </c>
      <c r="W18" s="550">
        <f t="shared" si="14"/>
        <v>0</v>
      </c>
      <c r="X18" s="549">
        <f>'8b-ADIT Projection Proration'!K18</f>
        <v>0</v>
      </c>
      <c r="Y18" s="322">
        <f t="shared" si="15"/>
        <v>0</v>
      </c>
      <c r="Z18" s="322">
        <f t="shared" si="16"/>
        <v>0</v>
      </c>
      <c r="AA18" s="551">
        <v>0</v>
      </c>
      <c r="AB18" s="322">
        <f t="shared" si="17"/>
        <v>0</v>
      </c>
      <c r="AC18" s="322">
        <f t="shared" si="18"/>
        <v>0</v>
      </c>
      <c r="AD18" s="322">
        <f t="shared" si="19"/>
        <v>0</v>
      </c>
      <c r="AE18" s="322">
        <f t="shared" si="20"/>
        <v>0</v>
      </c>
      <c r="AF18" s="550">
        <f t="shared" si="21"/>
        <v>0</v>
      </c>
    </row>
    <row r="19" spans="1:33">
      <c r="A19" s="546">
        <f t="shared" si="0"/>
        <v>11</v>
      </c>
      <c r="B19" s="536" t="s">
        <v>920</v>
      </c>
      <c r="C19" s="535" t="s">
        <v>705</v>
      </c>
      <c r="D19" s="547">
        <f>'8b-ADIT Projection Proration'!D19</f>
        <v>2020</v>
      </c>
      <c r="E19" s="548">
        <f>62/365</f>
        <v>0.16986301369863013</v>
      </c>
      <c r="F19" s="549">
        <f>'8b-ADIT Projection Proration'!G19</f>
        <v>-59615.25</v>
      </c>
      <c r="G19" s="322">
        <f t="shared" si="1"/>
        <v>-10126.42602739726</v>
      </c>
      <c r="H19" s="322">
        <f t="shared" si="2"/>
        <v>-25316.06506849315</v>
      </c>
      <c r="I19" s="551">
        <v>0</v>
      </c>
      <c r="J19" s="322">
        <f t="shared" si="3"/>
        <v>59615.25</v>
      </c>
      <c r="K19" s="322">
        <f t="shared" si="4"/>
        <v>59615.25</v>
      </c>
      <c r="L19" s="322">
        <f t="shared" si="5"/>
        <v>0</v>
      </c>
      <c r="M19" s="322">
        <f t="shared" si="6"/>
        <v>0</v>
      </c>
      <c r="N19" s="550">
        <f t="shared" si="7"/>
        <v>93914.434931506839</v>
      </c>
      <c r="O19" s="549">
        <f>'8b-ADIT Projection Proration'!I19</f>
        <v>0</v>
      </c>
      <c r="P19" s="322">
        <f t="shared" si="8"/>
        <v>0</v>
      </c>
      <c r="Q19" s="322">
        <f t="shared" si="9"/>
        <v>0</v>
      </c>
      <c r="R19" s="551">
        <v>0</v>
      </c>
      <c r="S19" s="322">
        <f t="shared" si="10"/>
        <v>0</v>
      </c>
      <c r="T19" s="322">
        <f t="shared" si="11"/>
        <v>0</v>
      </c>
      <c r="U19" s="322">
        <f t="shared" si="12"/>
        <v>0</v>
      </c>
      <c r="V19" s="322">
        <f t="shared" si="13"/>
        <v>0</v>
      </c>
      <c r="W19" s="550">
        <f t="shared" si="14"/>
        <v>0</v>
      </c>
      <c r="X19" s="549">
        <f>'8b-ADIT Projection Proration'!K19</f>
        <v>0</v>
      </c>
      <c r="Y19" s="322">
        <f t="shared" si="15"/>
        <v>0</v>
      </c>
      <c r="Z19" s="322">
        <f t="shared" si="16"/>
        <v>0</v>
      </c>
      <c r="AA19" s="551">
        <v>0</v>
      </c>
      <c r="AB19" s="322">
        <f t="shared" si="17"/>
        <v>0</v>
      </c>
      <c r="AC19" s="322">
        <f t="shared" si="18"/>
        <v>0</v>
      </c>
      <c r="AD19" s="322">
        <f t="shared" si="19"/>
        <v>0</v>
      </c>
      <c r="AE19" s="322">
        <f t="shared" si="20"/>
        <v>0</v>
      </c>
      <c r="AF19" s="550">
        <f t="shared" si="21"/>
        <v>0</v>
      </c>
    </row>
    <row r="20" spans="1:33">
      <c r="A20" s="546">
        <f t="shared" si="0"/>
        <v>12</v>
      </c>
      <c r="B20" s="536" t="s">
        <v>920</v>
      </c>
      <c r="C20" s="535" t="s">
        <v>706</v>
      </c>
      <c r="D20" s="547">
        <f>'8b-ADIT Projection Proration'!D20</f>
        <v>2020</v>
      </c>
      <c r="E20" s="548">
        <f>32/365</f>
        <v>8.7671232876712329E-2</v>
      </c>
      <c r="F20" s="549">
        <f>'8b-ADIT Projection Proration'!G20</f>
        <v>-59615.25</v>
      </c>
      <c r="G20" s="322">
        <f t="shared" si="1"/>
        <v>-5226.5424657534249</v>
      </c>
      <c r="H20" s="322">
        <f t="shared" si="2"/>
        <v>-30542.607534246574</v>
      </c>
      <c r="I20" s="551">
        <v>0</v>
      </c>
      <c r="J20" s="322">
        <f t="shared" si="3"/>
        <v>59615.25</v>
      </c>
      <c r="K20" s="322">
        <f t="shared" si="4"/>
        <v>59615.25</v>
      </c>
      <c r="L20" s="322">
        <f t="shared" si="5"/>
        <v>0</v>
      </c>
      <c r="M20" s="322">
        <f t="shared" si="6"/>
        <v>0</v>
      </c>
      <c r="N20" s="550">
        <f t="shared" si="7"/>
        <v>148303.14246575342</v>
      </c>
      <c r="O20" s="549">
        <f>'8b-ADIT Projection Proration'!I20</f>
        <v>0</v>
      </c>
      <c r="P20" s="322">
        <f t="shared" si="8"/>
        <v>0</v>
      </c>
      <c r="Q20" s="322">
        <f t="shared" si="9"/>
        <v>0</v>
      </c>
      <c r="R20" s="551">
        <v>0</v>
      </c>
      <c r="S20" s="322">
        <f t="shared" si="10"/>
        <v>0</v>
      </c>
      <c r="T20" s="322">
        <f t="shared" si="11"/>
        <v>0</v>
      </c>
      <c r="U20" s="322">
        <f t="shared" si="12"/>
        <v>0</v>
      </c>
      <c r="V20" s="322">
        <f t="shared" si="13"/>
        <v>0</v>
      </c>
      <c r="W20" s="550">
        <f t="shared" si="14"/>
        <v>0</v>
      </c>
      <c r="X20" s="549">
        <f>'8b-ADIT Projection Proration'!K20</f>
        <v>0</v>
      </c>
      <c r="Y20" s="322">
        <f t="shared" si="15"/>
        <v>0</v>
      </c>
      <c r="Z20" s="322">
        <f t="shared" si="16"/>
        <v>0</v>
      </c>
      <c r="AA20" s="551">
        <v>0</v>
      </c>
      <c r="AB20" s="322">
        <f t="shared" si="17"/>
        <v>0</v>
      </c>
      <c r="AC20" s="322">
        <f t="shared" si="18"/>
        <v>0</v>
      </c>
      <c r="AD20" s="322">
        <f t="shared" si="19"/>
        <v>0</v>
      </c>
      <c r="AE20" s="322">
        <f t="shared" si="20"/>
        <v>0</v>
      </c>
      <c r="AF20" s="550">
        <f t="shared" si="21"/>
        <v>0</v>
      </c>
    </row>
    <row r="21" spans="1:33">
      <c r="A21" s="546">
        <f t="shared" si="0"/>
        <v>13</v>
      </c>
      <c r="B21" s="536" t="s">
        <v>920</v>
      </c>
      <c r="C21" s="535" t="s">
        <v>771</v>
      </c>
      <c r="D21" s="547">
        <f>'8b-ADIT Projection Proration'!D21</f>
        <v>2020</v>
      </c>
      <c r="E21" s="548">
        <f>1/365</f>
        <v>2.7397260273972603E-3</v>
      </c>
      <c r="F21" s="552">
        <f>'8b-ADIT Projection Proration'!G21</f>
        <v>-59615.25</v>
      </c>
      <c r="G21" s="553">
        <f t="shared" si="1"/>
        <v>-163.32945205479453</v>
      </c>
      <c r="H21" s="553">
        <f t="shared" si="2"/>
        <v>-30705.936986301367</v>
      </c>
      <c r="I21" s="554">
        <v>0</v>
      </c>
      <c r="J21" s="553">
        <f t="shared" si="3"/>
        <v>59615.25</v>
      </c>
      <c r="K21" s="553">
        <f t="shared" si="4"/>
        <v>59615.25</v>
      </c>
      <c r="L21" s="553">
        <f t="shared" si="5"/>
        <v>0</v>
      </c>
      <c r="M21" s="553">
        <f t="shared" si="6"/>
        <v>0</v>
      </c>
      <c r="N21" s="555">
        <f t="shared" si="7"/>
        <v>207755.06301369861</v>
      </c>
      <c r="O21" s="552">
        <f>'8b-ADIT Projection Proration'!I21</f>
        <v>0</v>
      </c>
      <c r="P21" s="553">
        <f t="shared" si="8"/>
        <v>0</v>
      </c>
      <c r="Q21" s="553">
        <f t="shared" si="9"/>
        <v>0</v>
      </c>
      <c r="R21" s="554">
        <v>0</v>
      </c>
      <c r="S21" s="553">
        <f t="shared" si="10"/>
        <v>0</v>
      </c>
      <c r="T21" s="553">
        <f t="shared" si="11"/>
        <v>0</v>
      </c>
      <c r="U21" s="553">
        <f t="shared" si="12"/>
        <v>0</v>
      </c>
      <c r="V21" s="553">
        <f t="shared" si="13"/>
        <v>0</v>
      </c>
      <c r="W21" s="555">
        <f t="shared" si="14"/>
        <v>0</v>
      </c>
      <c r="X21" s="552">
        <f>'8b-ADIT Projection Proration'!K21</f>
        <v>0</v>
      </c>
      <c r="Y21" s="553">
        <f t="shared" si="15"/>
        <v>0</v>
      </c>
      <c r="Z21" s="553">
        <f t="shared" si="16"/>
        <v>0</v>
      </c>
      <c r="AA21" s="554">
        <v>0</v>
      </c>
      <c r="AB21" s="553">
        <f t="shared" si="17"/>
        <v>0</v>
      </c>
      <c r="AC21" s="553">
        <f t="shared" si="18"/>
        <v>0</v>
      </c>
      <c r="AD21" s="553">
        <f t="shared" si="19"/>
        <v>0</v>
      </c>
      <c r="AE21" s="553">
        <f t="shared" si="20"/>
        <v>0</v>
      </c>
      <c r="AF21" s="555">
        <f t="shared" si="21"/>
        <v>0</v>
      </c>
    </row>
    <row r="22" spans="1:33">
      <c r="A22" s="546">
        <f t="shared" si="0"/>
        <v>14</v>
      </c>
      <c r="B22" s="536" t="s">
        <v>921</v>
      </c>
      <c r="D22" s="322"/>
      <c r="F22" s="549">
        <f>SUM(F9:F21)</f>
        <v>-238461</v>
      </c>
      <c r="G22" s="322">
        <f>SUM(G9:G21)</f>
        <v>-30705.936986301367</v>
      </c>
      <c r="H22" s="322"/>
      <c r="I22" s="322">
        <f>SUM(I9:I21)</f>
        <v>0</v>
      </c>
      <c r="J22" s="322">
        <f>SUM(J9:J21)</f>
        <v>238461</v>
      </c>
      <c r="K22" s="322">
        <f>SUM(K9:K21)</f>
        <v>238461</v>
      </c>
      <c r="L22" s="322">
        <f>SUM(L9:L21)</f>
        <v>0</v>
      </c>
      <c r="M22" s="322">
        <f>SUM(M9:M21)</f>
        <v>0</v>
      </c>
      <c r="N22" s="550"/>
      <c r="O22" s="549">
        <f>SUM(O9:O21)</f>
        <v>0</v>
      </c>
      <c r="P22" s="322">
        <f>SUM(P9:P21)</f>
        <v>0</v>
      </c>
      <c r="Q22" s="322"/>
      <c r="R22" s="322">
        <f>SUM(R9:R21)</f>
        <v>0</v>
      </c>
      <c r="S22" s="322">
        <f>SUM(S9:S21)</f>
        <v>0</v>
      </c>
      <c r="T22" s="322">
        <f>SUM(T9:T21)</f>
        <v>0</v>
      </c>
      <c r="U22" s="322">
        <f>SUM(U9:U21)</f>
        <v>0</v>
      </c>
      <c r="V22" s="322">
        <f>SUM(V9:V21)</f>
        <v>0</v>
      </c>
      <c r="W22" s="550"/>
      <c r="X22" s="549">
        <f>SUM(X9:X21)</f>
        <v>0</v>
      </c>
      <c r="Y22" s="322">
        <f>SUM(Y9:Y21)</f>
        <v>0</v>
      </c>
      <c r="Z22" s="322"/>
      <c r="AA22" s="322">
        <f>SUM(AA9:AA21)</f>
        <v>0</v>
      </c>
      <c r="AB22" s="322">
        <f>SUM(AB9:AB21)</f>
        <v>0</v>
      </c>
      <c r="AC22" s="322">
        <f>SUM(AC9:AC21)</f>
        <v>0</v>
      </c>
      <c r="AD22" s="322">
        <f>SUM(AD9:AD21)</f>
        <v>0</v>
      </c>
      <c r="AE22" s="322">
        <f>SUM(AE9:AE21)</f>
        <v>0</v>
      </c>
      <c r="AF22" s="550"/>
    </row>
    <row r="23" spans="1:33">
      <c r="A23" s="546"/>
      <c r="F23" s="549"/>
      <c r="G23" s="322"/>
      <c r="H23" s="322"/>
      <c r="I23" s="322"/>
      <c r="J23" s="322"/>
      <c r="K23" s="322"/>
      <c r="L23" s="322"/>
      <c r="M23" s="322"/>
      <c r="N23" s="550"/>
      <c r="O23" s="549"/>
      <c r="P23" s="322"/>
      <c r="Q23" s="322"/>
      <c r="R23" s="322"/>
      <c r="S23" s="322"/>
      <c r="T23" s="322"/>
      <c r="U23" s="322"/>
      <c r="V23" s="322"/>
      <c r="W23" s="550"/>
      <c r="X23" s="549"/>
      <c r="Y23" s="322"/>
      <c r="Z23" s="322"/>
      <c r="AA23" s="322"/>
      <c r="AB23" s="322"/>
      <c r="AC23" s="322"/>
      <c r="AD23" s="322"/>
      <c r="AE23" s="322"/>
      <c r="AF23" s="550"/>
    </row>
    <row r="24" spans="1:33">
      <c r="A24" s="535" t="s">
        <v>991</v>
      </c>
      <c r="D24" s="537"/>
      <c r="E24" s="537"/>
      <c r="F24" s="549"/>
      <c r="G24" s="322"/>
      <c r="H24" s="322"/>
      <c r="I24" s="322"/>
      <c r="J24" s="322"/>
      <c r="K24" s="322"/>
      <c r="L24" s="322"/>
      <c r="M24" s="322"/>
      <c r="N24" s="550"/>
      <c r="O24" s="549"/>
      <c r="P24" s="322"/>
      <c r="Q24" s="322"/>
      <c r="R24" s="322"/>
      <c r="S24" s="322"/>
      <c r="T24" s="322"/>
      <c r="U24" s="322"/>
      <c r="V24" s="322"/>
      <c r="W24" s="550"/>
      <c r="X24" s="549"/>
      <c r="Y24" s="322"/>
      <c r="Z24" s="322"/>
      <c r="AA24" s="322"/>
      <c r="AB24" s="322"/>
      <c r="AC24" s="322"/>
      <c r="AD24" s="322"/>
      <c r="AE24" s="322"/>
      <c r="AF24" s="550"/>
      <c r="AG24" s="537"/>
    </row>
    <row r="25" spans="1:33">
      <c r="A25" s="546">
        <f>A22+1</f>
        <v>15</v>
      </c>
      <c r="B25" s="536" t="s">
        <v>922</v>
      </c>
      <c r="C25" s="535" t="s">
        <v>771</v>
      </c>
      <c r="D25" s="547">
        <f>D9</f>
        <v>2019</v>
      </c>
      <c r="E25" s="548">
        <f>365/365</f>
        <v>1</v>
      </c>
      <c r="F25" s="549"/>
      <c r="G25" s="322"/>
      <c r="H25" s="322">
        <f>'8c- ADIT BOY'!E73</f>
        <v>0</v>
      </c>
      <c r="I25" s="322"/>
      <c r="J25" s="322"/>
      <c r="K25" s="322"/>
      <c r="L25" s="322"/>
      <c r="M25" s="322"/>
      <c r="N25" s="550"/>
      <c r="O25" s="549"/>
      <c r="P25" s="322"/>
      <c r="Q25" s="322">
        <f>'8c- ADIT BOY'!F73</f>
        <v>0</v>
      </c>
      <c r="R25" s="322"/>
      <c r="S25" s="322"/>
      <c r="T25" s="322"/>
      <c r="U25" s="322"/>
      <c r="V25" s="322"/>
      <c r="W25" s="550"/>
      <c r="X25" s="549"/>
      <c r="Y25" s="322"/>
      <c r="Z25" s="322">
        <f>'8c- ADIT BOY'!G73</f>
        <v>0</v>
      </c>
      <c r="AA25" s="322"/>
      <c r="AB25" s="322"/>
      <c r="AC25" s="322"/>
      <c r="AD25" s="322"/>
      <c r="AE25" s="322"/>
      <c r="AF25" s="550"/>
    </row>
    <row r="26" spans="1:33">
      <c r="A26" s="546">
        <f t="shared" ref="A26:A38" si="22">+A25+1</f>
        <v>16</v>
      </c>
      <c r="B26" s="536" t="s">
        <v>920</v>
      </c>
      <c r="C26" s="535" t="s">
        <v>696</v>
      </c>
      <c r="D26" s="547">
        <f t="shared" ref="D26:D37" si="23">D10</f>
        <v>2020</v>
      </c>
      <c r="E26" s="548">
        <f>335/365</f>
        <v>0.9178082191780822</v>
      </c>
      <c r="F26" s="549">
        <f>'8b-ADIT Projection Proration'!G26</f>
        <v>0</v>
      </c>
      <c r="G26" s="322">
        <f t="shared" ref="G26:G37" si="24">$E26*F26</f>
        <v>0</v>
      </c>
      <c r="H26" s="322">
        <f t="shared" ref="H26:H37" si="25">+G26+H25</f>
        <v>0</v>
      </c>
      <c r="I26" s="551">
        <v>0</v>
      </c>
      <c r="J26" s="322">
        <f t="shared" ref="J26:J37" si="26">I26-F26</f>
        <v>0</v>
      </c>
      <c r="K26" s="322">
        <f t="shared" ref="K26:K37" si="27">IF(J26&gt;=0,+J26,0)</f>
        <v>0</v>
      </c>
      <c r="L26" s="322">
        <f t="shared" ref="L26:L37" si="28">IF(K26&gt;0,0,IF(I26&lt;0,0,(-(J26)*($E26))))</f>
        <v>0</v>
      </c>
      <c r="M26" s="322">
        <f t="shared" ref="M26:M37" si="29">IF(K26&gt;0,0,IF(I26&gt;0,0,(-(J26)*($E26))))</f>
        <v>0</v>
      </c>
      <c r="N26" s="550">
        <f t="shared" ref="N26:N37" si="30">IF(I26&lt;0,N25+M26,N25+$G26+K26-L26)</f>
        <v>0</v>
      </c>
      <c r="O26" s="549">
        <f>'8b-ADIT Projection Proration'!I26</f>
        <v>0</v>
      </c>
      <c r="P26" s="322">
        <f t="shared" ref="P26:P37" si="31">$E26*O26</f>
        <v>0</v>
      </c>
      <c r="Q26" s="322">
        <f t="shared" ref="Q26:Q37" si="32">+P26+Q25</f>
        <v>0</v>
      </c>
      <c r="R26" s="551">
        <v>0</v>
      </c>
      <c r="S26" s="322">
        <f t="shared" ref="S26:S37" si="33">R26-O26</f>
        <v>0</v>
      </c>
      <c r="T26" s="322">
        <f t="shared" ref="T26:T37" si="34">IF(S26&gt;=0,+S26,0)</f>
        <v>0</v>
      </c>
      <c r="U26" s="322">
        <f t="shared" ref="U26:U37" si="35">IF(T26&gt;0,0,IF(R26&lt;0,0,(-(S26)*($E26))))</f>
        <v>0</v>
      </c>
      <c r="V26" s="322">
        <f t="shared" ref="V26:V37" si="36">IF(T26&gt;0,0,IF(R26&gt;0,0,(-(S26)*($E26))))</f>
        <v>0</v>
      </c>
      <c r="W26" s="550">
        <f t="shared" ref="W26:W37" si="37">IF(R26&lt;0,W25+V26,W25+P26+T26-U26)</f>
        <v>0</v>
      </c>
      <c r="X26" s="549">
        <f>'8b-ADIT Projection Proration'!K26</f>
        <v>0</v>
      </c>
      <c r="Y26" s="322">
        <f t="shared" ref="Y26:Y37" si="38">$E26*X26</f>
        <v>0</v>
      </c>
      <c r="Z26" s="322">
        <f t="shared" ref="Z26:Z37" si="39">+Y26+Z25</f>
        <v>0</v>
      </c>
      <c r="AA26" s="551">
        <v>0</v>
      </c>
      <c r="AB26" s="322">
        <f t="shared" ref="AB26:AB37" si="40">AA26-X26</f>
        <v>0</v>
      </c>
      <c r="AC26" s="322">
        <f t="shared" ref="AC26:AC37" si="41">IF(AB26&gt;=0,+AB26,0)</f>
        <v>0</v>
      </c>
      <c r="AD26" s="322">
        <f t="shared" ref="AD26:AD37" si="42">IF(AC26&gt;0,0,IF(AA26&lt;0,0,(-(AB26)*($E26))))</f>
        <v>0</v>
      </c>
      <c r="AE26" s="322">
        <f t="shared" ref="AE26:AE37" si="43">IF(AC26&gt;0,0,IF(AA26&gt;0,0,(-(AB26)*($E26))))</f>
        <v>0</v>
      </c>
      <c r="AF26" s="550">
        <f t="shared" ref="AF26:AF37" si="44">IF(AA26&lt;0,AF25+AE26,AF25+Y26+AC26-AD26)</f>
        <v>0</v>
      </c>
    </row>
    <row r="27" spans="1:33">
      <c r="A27" s="546">
        <f t="shared" si="22"/>
        <v>17</v>
      </c>
      <c r="B27" s="536" t="s">
        <v>920</v>
      </c>
      <c r="C27" s="535" t="s">
        <v>697</v>
      </c>
      <c r="D27" s="547">
        <f t="shared" si="23"/>
        <v>2020</v>
      </c>
      <c r="E27" s="548">
        <f>307/365</f>
        <v>0.84109589041095889</v>
      </c>
      <c r="F27" s="549">
        <f>'8b-ADIT Projection Proration'!G27</f>
        <v>0</v>
      </c>
      <c r="G27" s="322">
        <f t="shared" si="24"/>
        <v>0</v>
      </c>
      <c r="H27" s="322">
        <f t="shared" si="25"/>
        <v>0</v>
      </c>
      <c r="I27" s="551">
        <v>0</v>
      </c>
      <c r="J27" s="322">
        <f t="shared" si="26"/>
        <v>0</v>
      </c>
      <c r="K27" s="322">
        <f t="shared" si="27"/>
        <v>0</v>
      </c>
      <c r="L27" s="322">
        <f t="shared" si="28"/>
        <v>0</v>
      </c>
      <c r="M27" s="322">
        <f t="shared" si="29"/>
        <v>0</v>
      </c>
      <c r="N27" s="550">
        <f t="shared" si="30"/>
        <v>0</v>
      </c>
      <c r="O27" s="549">
        <f>'8b-ADIT Projection Proration'!I27</f>
        <v>0</v>
      </c>
      <c r="P27" s="322">
        <f t="shared" si="31"/>
        <v>0</v>
      </c>
      <c r="Q27" s="322">
        <f t="shared" si="32"/>
        <v>0</v>
      </c>
      <c r="R27" s="551">
        <v>0</v>
      </c>
      <c r="S27" s="322">
        <f t="shared" si="33"/>
        <v>0</v>
      </c>
      <c r="T27" s="322">
        <f t="shared" si="34"/>
        <v>0</v>
      </c>
      <c r="U27" s="322">
        <f t="shared" si="35"/>
        <v>0</v>
      </c>
      <c r="V27" s="322">
        <f t="shared" si="36"/>
        <v>0</v>
      </c>
      <c r="W27" s="550">
        <f t="shared" si="37"/>
        <v>0</v>
      </c>
      <c r="X27" s="549">
        <f>'8b-ADIT Projection Proration'!K27</f>
        <v>0</v>
      </c>
      <c r="Y27" s="322">
        <f t="shared" si="38"/>
        <v>0</v>
      </c>
      <c r="Z27" s="322">
        <f t="shared" si="39"/>
        <v>0</v>
      </c>
      <c r="AA27" s="551">
        <v>0</v>
      </c>
      <c r="AB27" s="322">
        <f t="shared" si="40"/>
        <v>0</v>
      </c>
      <c r="AC27" s="322">
        <f t="shared" si="41"/>
        <v>0</v>
      </c>
      <c r="AD27" s="322">
        <f t="shared" si="42"/>
        <v>0</v>
      </c>
      <c r="AE27" s="322">
        <f t="shared" si="43"/>
        <v>0</v>
      </c>
      <c r="AF27" s="550">
        <f t="shared" si="44"/>
        <v>0</v>
      </c>
    </row>
    <row r="28" spans="1:33">
      <c r="A28" s="546">
        <f t="shared" si="22"/>
        <v>18</v>
      </c>
      <c r="B28" s="536" t="s">
        <v>920</v>
      </c>
      <c r="C28" s="535" t="s">
        <v>768</v>
      </c>
      <c r="D28" s="547">
        <f t="shared" si="23"/>
        <v>2020</v>
      </c>
      <c r="E28" s="548">
        <f>276/365</f>
        <v>0.75616438356164384</v>
      </c>
      <c r="F28" s="549">
        <f>'8b-ADIT Projection Proration'!G28</f>
        <v>0</v>
      </c>
      <c r="G28" s="322">
        <f t="shared" si="24"/>
        <v>0</v>
      </c>
      <c r="H28" s="322">
        <f t="shared" si="25"/>
        <v>0</v>
      </c>
      <c r="I28" s="551">
        <v>0</v>
      </c>
      <c r="J28" s="322">
        <f t="shared" si="26"/>
        <v>0</v>
      </c>
      <c r="K28" s="322">
        <f t="shared" si="27"/>
        <v>0</v>
      </c>
      <c r="L28" s="322">
        <f t="shared" si="28"/>
        <v>0</v>
      </c>
      <c r="M28" s="322">
        <f t="shared" si="29"/>
        <v>0</v>
      </c>
      <c r="N28" s="550">
        <f t="shared" si="30"/>
        <v>0</v>
      </c>
      <c r="O28" s="549">
        <f>'8b-ADIT Projection Proration'!I28</f>
        <v>0</v>
      </c>
      <c r="P28" s="322">
        <f t="shared" si="31"/>
        <v>0</v>
      </c>
      <c r="Q28" s="322">
        <f t="shared" si="32"/>
        <v>0</v>
      </c>
      <c r="R28" s="551">
        <v>0</v>
      </c>
      <c r="S28" s="322">
        <f t="shared" si="33"/>
        <v>0</v>
      </c>
      <c r="T28" s="322">
        <f t="shared" si="34"/>
        <v>0</v>
      </c>
      <c r="U28" s="322">
        <f t="shared" si="35"/>
        <v>0</v>
      </c>
      <c r="V28" s="322">
        <f t="shared" si="36"/>
        <v>0</v>
      </c>
      <c r="W28" s="550">
        <f t="shared" si="37"/>
        <v>0</v>
      </c>
      <c r="X28" s="549">
        <f>'8b-ADIT Projection Proration'!K28</f>
        <v>0</v>
      </c>
      <c r="Y28" s="322">
        <f t="shared" si="38"/>
        <v>0</v>
      </c>
      <c r="Z28" s="322">
        <f t="shared" si="39"/>
        <v>0</v>
      </c>
      <c r="AA28" s="551">
        <v>0</v>
      </c>
      <c r="AB28" s="322">
        <f t="shared" si="40"/>
        <v>0</v>
      </c>
      <c r="AC28" s="322">
        <f t="shared" si="41"/>
        <v>0</v>
      </c>
      <c r="AD28" s="322">
        <f t="shared" si="42"/>
        <v>0</v>
      </c>
      <c r="AE28" s="322">
        <f t="shared" si="43"/>
        <v>0</v>
      </c>
      <c r="AF28" s="550">
        <f t="shared" si="44"/>
        <v>0</v>
      </c>
    </row>
    <row r="29" spans="1:33">
      <c r="A29" s="546">
        <f t="shared" si="22"/>
        <v>19</v>
      </c>
      <c r="B29" s="536" t="s">
        <v>920</v>
      </c>
      <c r="C29" s="535" t="s">
        <v>699</v>
      </c>
      <c r="D29" s="547">
        <f t="shared" si="23"/>
        <v>2020</v>
      </c>
      <c r="E29" s="548">
        <f>246/365</f>
        <v>0.67397260273972603</v>
      </c>
      <c r="F29" s="549">
        <f>'8b-ADIT Projection Proration'!G29</f>
        <v>0</v>
      </c>
      <c r="G29" s="322">
        <f t="shared" si="24"/>
        <v>0</v>
      </c>
      <c r="H29" s="322">
        <f t="shared" si="25"/>
        <v>0</v>
      </c>
      <c r="I29" s="551">
        <v>0</v>
      </c>
      <c r="J29" s="322">
        <f t="shared" si="26"/>
        <v>0</v>
      </c>
      <c r="K29" s="322">
        <f t="shared" si="27"/>
        <v>0</v>
      </c>
      <c r="L29" s="322">
        <f t="shared" si="28"/>
        <v>0</v>
      </c>
      <c r="M29" s="322">
        <f t="shared" si="29"/>
        <v>0</v>
      </c>
      <c r="N29" s="550">
        <f t="shared" si="30"/>
        <v>0</v>
      </c>
      <c r="O29" s="549">
        <f>'8b-ADIT Projection Proration'!I29</f>
        <v>0</v>
      </c>
      <c r="P29" s="322">
        <f t="shared" si="31"/>
        <v>0</v>
      </c>
      <c r="Q29" s="322">
        <f t="shared" si="32"/>
        <v>0</v>
      </c>
      <c r="R29" s="551">
        <v>0</v>
      </c>
      <c r="S29" s="322">
        <f t="shared" si="33"/>
        <v>0</v>
      </c>
      <c r="T29" s="322">
        <f t="shared" si="34"/>
        <v>0</v>
      </c>
      <c r="U29" s="322">
        <f t="shared" si="35"/>
        <v>0</v>
      </c>
      <c r="V29" s="322">
        <f t="shared" si="36"/>
        <v>0</v>
      </c>
      <c r="W29" s="550">
        <f t="shared" si="37"/>
        <v>0</v>
      </c>
      <c r="X29" s="549">
        <f>'8b-ADIT Projection Proration'!K29</f>
        <v>0</v>
      </c>
      <c r="Y29" s="322">
        <f t="shared" si="38"/>
        <v>0</v>
      </c>
      <c r="Z29" s="322">
        <f t="shared" si="39"/>
        <v>0</v>
      </c>
      <c r="AA29" s="551">
        <v>0</v>
      </c>
      <c r="AB29" s="322">
        <f t="shared" si="40"/>
        <v>0</v>
      </c>
      <c r="AC29" s="322">
        <f t="shared" si="41"/>
        <v>0</v>
      </c>
      <c r="AD29" s="322">
        <f t="shared" si="42"/>
        <v>0</v>
      </c>
      <c r="AE29" s="322">
        <f t="shared" si="43"/>
        <v>0</v>
      </c>
      <c r="AF29" s="550">
        <f t="shared" si="44"/>
        <v>0</v>
      </c>
    </row>
    <row r="30" spans="1:33">
      <c r="A30" s="546">
        <f t="shared" si="22"/>
        <v>20</v>
      </c>
      <c r="B30" s="536" t="s">
        <v>920</v>
      </c>
      <c r="C30" s="535" t="s">
        <v>700</v>
      </c>
      <c r="D30" s="547">
        <f t="shared" si="23"/>
        <v>2020</v>
      </c>
      <c r="E30" s="548">
        <f>215/365</f>
        <v>0.58904109589041098</v>
      </c>
      <c r="F30" s="549">
        <f>'8b-ADIT Projection Proration'!G30</f>
        <v>0</v>
      </c>
      <c r="G30" s="322">
        <f t="shared" si="24"/>
        <v>0</v>
      </c>
      <c r="H30" s="322">
        <f t="shared" si="25"/>
        <v>0</v>
      </c>
      <c r="I30" s="551">
        <v>0</v>
      </c>
      <c r="J30" s="322">
        <f t="shared" si="26"/>
        <v>0</v>
      </c>
      <c r="K30" s="322">
        <f t="shared" si="27"/>
        <v>0</v>
      </c>
      <c r="L30" s="322">
        <f t="shared" si="28"/>
        <v>0</v>
      </c>
      <c r="M30" s="322">
        <f t="shared" si="29"/>
        <v>0</v>
      </c>
      <c r="N30" s="550">
        <f t="shared" si="30"/>
        <v>0</v>
      </c>
      <c r="O30" s="549">
        <f>'8b-ADIT Projection Proration'!I30</f>
        <v>0</v>
      </c>
      <c r="P30" s="322">
        <f t="shared" si="31"/>
        <v>0</v>
      </c>
      <c r="Q30" s="322">
        <f t="shared" si="32"/>
        <v>0</v>
      </c>
      <c r="R30" s="551">
        <v>0</v>
      </c>
      <c r="S30" s="322">
        <f t="shared" si="33"/>
        <v>0</v>
      </c>
      <c r="T30" s="322">
        <f t="shared" si="34"/>
        <v>0</v>
      </c>
      <c r="U30" s="322">
        <f t="shared" si="35"/>
        <v>0</v>
      </c>
      <c r="V30" s="322">
        <f t="shared" si="36"/>
        <v>0</v>
      </c>
      <c r="W30" s="550">
        <f t="shared" si="37"/>
        <v>0</v>
      </c>
      <c r="X30" s="549">
        <f>'8b-ADIT Projection Proration'!K30</f>
        <v>0</v>
      </c>
      <c r="Y30" s="322">
        <f t="shared" si="38"/>
        <v>0</v>
      </c>
      <c r="Z30" s="322">
        <f t="shared" si="39"/>
        <v>0</v>
      </c>
      <c r="AA30" s="551">
        <v>0</v>
      </c>
      <c r="AB30" s="322">
        <f t="shared" si="40"/>
        <v>0</v>
      </c>
      <c r="AC30" s="322">
        <f t="shared" si="41"/>
        <v>0</v>
      </c>
      <c r="AD30" s="322">
        <f t="shared" si="42"/>
        <v>0</v>
      </c>
      <c r="AE30" s="322">
        <f t="shared" si="43"/>
        <v>0</v>
      </c>
      <c r="AF30" s="550">
        <f t="shared" si="44"/>
        <v>0</v>
      </c>
    </row>
    <row r="31" spans="1:33">
      <c r="A31" s="546">
        <f t="shared" si="22"/>
        <v>21</v>
      </c>
      <c r="B31" s="536" t="s">
        <v>920</v>
      </c>
      <c r="C31" s="535" t="s">
        <v>701</v>
      </c>
      <c r="D31" s="547">
        <f t="shared" si="23"/>
        <v>2020</v>
      </c>
      <c r="E31" s="548">
        <f>185/365</f>
        <v>0.50684931506849318</v>
      </c>
      <c r="F31" s="549">
        <f>'8b-ADIT Projection Proration'!G31</f>
        <v>0</v>
      </c>
      <c r="G31" s="322">
        <f t="shared" si="24"/>
        <v>0</v>
      </c>
      <c r="H31" s="322">
        <f t="shared" si="25"/>
        <v>0</v>
      </c>
      <c r="I31" s="551">
        <v>0</v>
      </c>
      <c r="J31" s="322">
        <f t="shared" si="26"/>
        <v>0</v>
      </c>
      <c r="K31" s="322">
        <f t="shared" si="27"/>
        <v>0</v>
      </c>
      <c r="L31" s="322">
        <f t="shared" si="28"/>
        <v>0</v>
      </c>
      <c r="M31" s="322">
        <f t="shared" si="29"/>
        <v>0</v>
      </c>
      <c r="N31" s="550">
        <f t="shared" si="30"/>
        <v>0</v>
      </c>
      <c r="O31" s="549">
        <f>'8b-ADIT Projection Proration'!I31</f>
        <v>0</v>
      </c>
      <c r="P31" s="322">
        <f t="shared" si="31"/>
        <v>0</v>
      </c>
      <c r="Q31" s="322">
        <f t="shared" si="32"/>
        <v>0</v>
      </c>
      <c r="R31" s="551">
        <v>0</v>
      </c>
      <c r="S31" s="322">
        <f t="shared" si="33"/>
        <v>0</v>
      </c>
      <c r="T31" s="322">
        <f t="shared" si="34"/>
        <v>0</v>
      </c>
      <c r="U31" s="322">
        <f t="shared" si="35"/>
        <v>0</v>
      </c>
      <c r="V31" s="322">
        <f t="shared" si="36"/>
        <v>0</v>
      </c>
      <c r="W31" s="550">
        <f t="shared" si="37"/>
        <v>0</v>
      </c>
      <c r="X31" s="549">
        <f>'8b-ADIT Projection Proration'!K31</f>
        <v>0</v>
      </c>
      <c r="Y31" s="322">
        <f t="shared" si="38"/>
        <v>0</v>
      </c>
      <c r="Z31" s="322">
        <f t="shared" si="39"/>
        <v>0</v>
      </c>
      <c r="AA31" s="551">
        <v>0</v>
      </c>
      <c r="AB31" s="322">
        <f t="shared" si="40"/>
        <v>0</v>
      </c>
      <c r="AC31" s="322">
        <f t="shared" si="41"/>
        <v>0</v>
      </c>
      <c r="AD31" s="322">
        <f t="shared" si="42"/>
        <v>0</v>
      </c>
      <c r="AE31" s="322">
        <f t="shared" si="43"/>
        <v>0</v>
      </c>
      <c r="AF31" s="550">
        <f t="shared" si="44"/>
        <v>0</v>
      </c>
    </row>
    <row r="32" spans="1:33">
      <c r="A32" s="546">
        <f t="shared" si="22"/>
        <v>22</v>
      </c>
      <c r="B32" s="536" t="s">
        <v>920</v>
      </c>
      <c r="C32" s="535" t="s">
        <v>702</v>
      </c>
      <c r="D32" s="547">
        <f t="shared" si="23"/>
        <v>2020</v>
      </c>
      <c r="E32" s="548">
        <f>154/365</f>
        <v>0.42191780821917807</v>
      </c>
      <c r="F32" s="549">
        <f>'8b-ADIT Projection Proration'!G32</f>
        <v>0</v>
      </c>
      <c r="G32" s="322">
        <f t="shared" si="24"/>
        <v>0</v>
      </c>
      <c r="H32" s="322">
        <f t="shared" si="25"/>
        <v>0</v>
      </c>
      <c r="I32" s="551">
        <v>0</v>
      </c>
      <c r="J32" s="322">
        <f t="shared" si="26"/>
        <v>0</v>
      </c>
      <c r="K32" s="322">
        <f t="shared" si="27"/>
        <v>0</v>
      </c>
      <c r="L32" s="322">
        <f t="shared" si="28"/>
        <v>0</v>
      </c>
      <c r="M32" s="322">
        <f t="shared" si="29"/>
        <v>0</v>
      </c>
      <c r="N32" s="550">
        <f t="shared" si="30"/>
        <v>0</v>
      </c>
      <c r="O32" s="549">
        <f>'8b-ADIT Projection Proration'!I32</f>
        <v>0</v>
      </c>
      <c r="P32" s="322">
        <f t="shared" si="31"/>
        <v>0</v>
      </c>
      <c r="Q32" s="322">
        <f t="shared" si="32"/>
        <v>0</v>
      </c>
      <c r="R32" s="551">
        <v>0</v>
      </c>
      <c r="S32" s="322">
        <f t="shared" si="33"/>
        <v>0</v>
      </c>
      <c r="T32" s="322">
        <f t="shared" si="34"/>
        <v>0</v>
      </c>
      <c r="U32" s="322">
        <f t="shared" si="35"/>
        <v>0</v>
      </c>
      <c r="V32" s="322">
        <f t="shared" si="36"/>
        <v>0</v>
      </c>
      <c r="W32" s="550">
        <f t="shared" si="37"/>
        <v>0</v>
      </c>
      <c r="X32" s="549">
        <f>'8b-ADIT Projection Proration'!K32</f>
        <v>0</v>
      </c>
      <c r="Y32" s="322">
        <f t="shared" si="38"/>
        <v>0</v>
      </c>
      <c r="Z32" s="322">
        <f t="shared" si="39"/>
        <v>0</v>
      </c>
      <c r="AA32" s="551">
        <v>0</v>
      </c>
      <c r="AB32" s="322">
        <f t="shared" si="40"/>
        <v>0</v>
      </c>
      <c r="AC32" s="322">
        <f t="shared" si="41"/>
        <v>0</v>
      </c>
      <c r="AD32" s="322">
        <f t="shared" si="42"/>
        <v>0</v>
      </c>
      <c r="AE32" s="322">
        <f t="shared" si="43"/>
        <v>0</v>
      </c>
      <c r="AF32" s="550">
        <f t="shared" si="44"/>
        <v>0</v>
      </c>
    </row>
    <row r="33" spans="1:33">
      <c r="A33" s="546">
        <f t="shared" si="22"/>
        <v>23</v>
      </c>
      <c r="B33" s="536" t="s">
        <v>920</v>
      </c>
      <c r="C33" s="535" t="s">
        <v>770</v>
      </c>
      <c r="D33" s="547">
        <f t="shared" si="23"/>
        <v>2020</v>
      </c>
      <c r="E33" s="548">
        <f>123/365</f>
        <v>0.33698630136986302</v>
      </c>
      <c r="F33" s="549">
        <f>'8b-ADIT Projection Proration'!G33</f>
        <v>0</v>
      </c>
      <c r="G33" s="322">
        <f t="shared" si="24"/>
        <v>0</v>
      </c>
      <c r="H33" s="322">
        <f t="shared" si="25"/>
        <v>0</v>
      </c>
      <c r="I33" s="551">
        <v>0</v>
      </c>
      <c r="J33" s="322">
        <f t="shared" si="26"/>
        <v>0</v>
      </c>
      <c r="K33" s="322">
        <f t="shared" si="27"/>
        <v>0</v>
      </c>
      <c r="L33" s="322">
        <f t="shared" si="28"/>
        <v>0</v>
      </c>
      <c r="M33" s="322">
        <f t="shared" si="29"/>
        <v>0</v>
      </c>
      <c r="N33" s="550">
        <f t="shared" si="30"/>
        <v>0</v>
      </c>
      <c r="O33" s="549">
        <f>'8b-ADIT Projection Proration'!I33</f>
        <v>0</v>
      </c>
      <c r="P33" s="322">
        <f t="shared" si="31"/>
        <v>0</v>
      </c>
      <c r="Q33" s="322">
        <f t="shared" si="32"/>
        <v>0</v>
      </c>
      <c r="R33" s="551">
        <v>0</v>
      </c>
      <c r="S33" s="322">
        <f t="shared" si="33"/>
        <v>0</v>
      </c>
      <c r="T33" s="322">
        <f t="shared" si="34"/>
        <v>0</v>
      </c>
      <c r="U33" s="322">
        <f t="shared" si="35"/>
        <v>0</v>
      </c>
      <c r="V33" s="322">
        <f t="shared" si="36"/>
        <v>0</v>
      </c>
      <c r="W33" s="550">
        <f t="shared" si="37"/>
        <v>0</v>
      </c>
      <c r="X33" s="549">
        <f>'8b-ADIT Projection Proration'!K33</f>
        <v>0</v>
      </c>
      <c r="Y33" s="322">
        <f t="shared" si="38"/>
        <v>0</v>
      </c>
      <c r="Z33" s="322">
        <f t="shared" si="39"/>
        <v>0</v>
      </c>
      <c r="AA33" s="551">
        <v>0</v>
      </c>
      <c r="AB33" s="322">
        <f t="shared" si="40"/>
        <v>0</v>
      </c>
      <c r="AC33" s="322">
        <f t="shared" si="41"/>
        <v>0</v>
      </c>
      <c r="AD33" s="322">
        <f t="shared" si="42"/>
        <v>0</v>
      </c>
      <c r="AE33" s="322">
        <f t="shared" si="43"/>
        <v>0</v>
      </c>
      <c r="AF33" s="550">
        <f t="shared" si="44"/>
        <v>0</v>
      </c>
    </row>
    <row r="34" spans="1:33">
      <c r="A34" s="546">
        <f t="shared" si="22"/>
        <v>24</v>
      </c>
      <c r="B34" s="536" t="s">
        <v>920</v>
      </c>
      <c r="C34" s="535" t="s">
        <v>704</v>
      </c>
      <c r="D34" s="547">
        <f t="shared" si="23"/>
        <v>2020</v>
      </c>
      <c r="E34" s="548">
        <f>93/365</f>
        <v>0.25479452054794521</v>
      </c>
      <c r="F34" s="549">
        <f>'8b-ADIT Projection Proration'!G34</f>
        <v>0</v>
      </c>
      <c r="G34" s="322">
        <f t="shared" si="24"/>
        <v>0</v>
      </c>
      <c r="H34" s="322">
        <f t="shared" si="25"/>
        <v>0</v>
      </c>
      <c r="I34" s="551">
        <v>0</v>
      </c>
      <c r="J34" s="322">
        <f t="shared" si="26"/>
        <v>0</v>
      </c>
      <c r="K34" s="322">
        <f t="shared" si="27"/>
        <v>0</v>
      </c>
      <c r="L34" s="322">
        <f t="shared" si="28"/>
        <v>0</v>
      </c>
      <c r="M34" s="322">
        <f t="shared" si="29"/>
        <v>0</v>
      </c>
      <c r="N34" s="550">
        <f t="shared" si="30"/>
        <v>0</v>
      </c>
      <c r="O34" s="549">
        <f>'8b-ADIT Projection Proration'!I34</f>
        <v>0</v>
      </c>
      <c r="P34" s="322">
        <f t="shared" si="31"/>
        <v>0</v>
      </c>
      <c r="Q34" s="322">
        <f t="shared" si="32"/>
        <v>0</v>
      </c>
      <c r="R34" s="551">
        <v>0</v>
      </c>
      <c r="S34" s="322">
        <f t="shared" si="33"/>
        <v>0</v>
      </c>
      <c r="T34" s="322">
        <f t="shared" si="34"/>
        <v>0</v>
      </c>
      <c r="U34" s="322">
        <f t="shared" si="35"/>
        <v>0</v>
      </c>
      <c r="V34" s="322">
        <f t="shared" si="36"/>
        <v>0</v>
      </c>
      <c r="W34" s="550">
        <f t="shared" si="37"/>
        <v>0</v>
      </c>
      <c r="X34" s="549">
        <f>'8b-ADIT Projection Proration'!K34</f>
        <v>0</v>
      </c>
      <c r="Y34" s="322">
        <f t="shared" si="38"/>
        <v>0</v>
      </c>
      <c r="Z34" s="322">
        <f t="shared" si="39"/>
        <v>0</v>
      </c>
      <c r="AA34" s="551">
        <v>0</v>
      </c>
      <c r="AB34" s="322">
        <f t="shared" si="40"/>
        <v>0</v>
      </c>
      <c r="AC34" s="322">
        <f t="shared" si="41"/>
        <v>0</v>
      </c>
      <c r="AD34" s="322">
        <f t="shared" si="42"/>
        <v>0</v>
      </c>
      <c r="AE34" s="322">
        <f t="shared" si="43"/>
        <v>0</v>
      </c>
      <c r="AF34" s="550">
        <f t="shared" si="44"/>
        <v>0</v>
      </c>
    </row>
    <row r="35" spans="1:33">
      <c r="A35" s="546">
        <f t="shared" si="22"/>
        <v>25</v>
      </c>
      <c r="B35" s="536" t="s">
        <v>920</v>
      </c>
      <c r="C35" s="535" t="s">
        <v>705</v>
      </c>
      <c r="D35" s="547">
        <f t="shared" si="23"/>
        <v>2020</v>
      </c>
      <c r="E35" s="548">
        <f>62/365</f>
        <v>0.16986301369863013</v>
      </c>
      <c r="F35" s="549">
        <f>'8b-ADIT Projection Proration'!G35</f>
        <v>0</v>
      </c>
      <c r="G35" s="322">
        <f t="shared" si="24"/>
        <v>0</v>
      </c>
      <c r="H35" s="322">
        <f t="shared" si="25"/>
        <v>0</v>
      </c>
      <c r="I35" s="551">
        <v>0</v>
      </c>
      <c r="J35" s="322">
        <f t="shared" si="26"/>
        <v>0</v>
      </c>
      <c r="K35" s="322">
        <f t="shared" si="27"/>
        <v>0</v>
      </c>
      <c r="L35" s="322">
        <f t="shared" si="28"/>
        <v>0</v>
      </c>
      <c r="M35" s="322">
        <f t="shared" si="29"/>
        <v>0</v>
      </c>
      <c r="N35" s="550">
        <f t="shared" si="30"/>
        <v>0</v>
      </c>
      <c r="O35" s="549">
        <f>'8b-ADIT Projection Proration'!I35</f>
        <v>0</v>
      </c>
      <c r="P35" s="322">
        <f t="shared" si="31"/>
        <v>0</v>
      </c>
      <c r="Q35" s="322">
        <f t="shared" si="32"/>
        <v>0</v>
      </c>
      <c r="R35" s="551">
        <v>0</v>
      </c>
      <c r="S35" s="322">
        <f t="shared" si="33"/>
        <v>0</v>
      </c>
      <c r="T35" s="322">
        <f t="shared" si="34"/>
        <v>0</v>
      </c>
      <c r="U35" s="322">
        <f t="shared" si="35"/>
        <v>0</v>
      </c>
      <c r="V35" s="322">
        <f t="shared" si="36"/>
        <v>0</v>
      </c>
      <c r="W35" s="550">
        <f t="shared" si="37"/>
        <v>0</v>
      </c>
      <c r="X35" s="549">
        <f>'8b-ADIT Projection Proration'!K35</f>
        <v>0</v>
      </c>
      <c r="Y35" s="322">
        <f t="shared" si="38"/>
        <v>0</v>
      </c>
      <c r="Z35" s="322">
        <f t="shared" si="39"/>
        <v>0</v>
      </c>
      <c r="AA35" s="551">
        <v>0</v>
      </c>
      <c r="AB35" s="322">
        <f t="shared" si="40"/>
        <v>0</v>
      </c>
      <c r="AC35" s="322">
        <f t="shared" si="41"/>
        <v>0</v>
      </c>
      <c r="AD35" s="322">
        <f t="shared" si="42"/>
        <v>0</v>
      </c>
      <c r="AE35" s="322">
        <f t="shared" si="43"/>
        <v>0</v>
      </c>
      <c r="AF35" s="550">
        <f t="shared" si="44"/>
        <v>0</v>
      </c>
    </row>
    <row r="36" spans="1:33">
      <c r="A36" s="546">
        <f t="shared" si="22"/>
        <v>26</v>
      </c>
      <c r="B36" s="536" t="s">
        <v>920</v>
      </c>
      <c r="C36" s="535" t="s">
        <v>706</v>
      </c>
      <c r="D36" s="547">
        <f t="shared" si="23"/>
        <v>2020</v>
      </c>
      <c r="E36" s="548">
        <f>32/365</f>
        <v>8.7671232876712329E-2</v>
      </c>
      <c r="F36" s="549">
        <f>'8b-ADIT Projection Proration'!G36</f>
        <v>0</v>
      </c>
      <c r="G36" s="322">
        <f t="shared" si="24"/>
        <v>0</v>
      </c>
      <c r="H36" s="322">
        <f t="shared" si="25"/>
        <v>0</v>
      </c>
      <c r="I36" s="551">
        <v>0</v>
      </c>
      <c r="J36" s="322">
        <f t="shared" si="26"/>
        <v>0</v>
      </c>
      <c r="K36" s="322">
        <f t="shared" si="27"/>
        <v>0</v>
      </c>
      <c r="L36" s="322">
        <f t="shared" si="28"/>
        <v>0</v>
      </c>
      <c r="M36" s="322">
        <f t="shared" si="29"/>
        <v>0</v>
      </c>
      <c r="N36" s="550">
        <f t="shared" si="30"/>
        <v>0</v>
      </c>
      <c r="O36" s="549">
        <f>'8b-ADIT Projection Proration'!I36</f>
        <v>0</v>
      </c>
      <c r="P36" s="322">
        <f t="shared" si="31"/>
        <v>0</v>
      </c>
      <c r="Q36" s="322">
        <f t="shared" si="32"/>
        <v>0</v>
      </c>
      <c r="R36" s="551">
        <v>0</v>
      </c>
      <c r="S36" s="322">
        <f t="shared" si="33"/>
        <v>0</v>
      </c>
      <c r="T36" s="322">
        <f t="shared" si="34"/>
        <v>0</v>
      </c>
      <c r="U36" s="322">
        <f t="shared" si="35"/>
        <v>0</v>
      </c>
      <c r="V36" s="322">
        <f t="shared" si="36"/>
        <v>0</v>
      </c>
      <c r="W36" s="550">
        <f t="shared" si="37"/>
        <v>0</v>
      </c>
      <c r="X36" s="549">
        <f>'8b-ADIT Projection Proration'!K36</f>
        <v>0</v>
      </c>
      <c r="Y36" s="322">
        <f t="shared" si="38"/>
        <v>0</v>
      </c>
      <c r="Z36" s="322">
        <f t="shared" si="39"/>
        <v>0</v>
      </c>
      <c r="AA36" s="551">
        <v>0</v>
      </c>
      <c r="AB36" s="322">
        <f t="shared" si="40"/>
        <v>0</v>
      </c>
      <c r="AC36" s="322">
        <f t="shared" si="41"/>
        <v>0</v>
      </c>
      <c r="AD36" s="322">
        <f t="shared" si="42"/>
        <v>0</v>
      </c>
      <c r="AE36" s="322">
        <f t="shared" si="43"/>
        <v>0</v>
      </c>
      <c r="AF36" s="550">
        <f t="shared" si="44"/>
        <v>0</v>
      </c>
    </row>
    <row r="37" spans="1:33">
      <c r="A37" s="546">
        <f t="shared" si="22"/>
        <v>27</v>
      </c>
      <c r="B37" s="536" t="s">
        <v>920</v>
      </c>
      <c r="C37" s="535" t="s">
        <v>771</v>
      </c>
      <c r="D37" s="547">
        <f t="shared" si="23"/>
        <v>2020</v>
      </c>
      <c r="E37" s="548">
        <f>1/365</f>
        <v>2.7397260273972603E-3</v>
      </c>
      <c r="F37" s="552">
        <f>'8b-ADIT Projection Proration'!G37</f>
        <v>0</v>
      </c>
      <c r="G37" s="553">
        <f t="shared" si="24"/>
        <v>0</v>
      </c>
      <c r="H37" s="553">
        <f t="shared" si="25"/>
        <v>0</v>
      </c>
      <c r="I37" s="554">
        <v>0</v>
      </c>
      <c r="J37" s="553">
        <f t="shared" si="26"/>
        <v>0</v>
      </c>
      <c r="K37" s="553">
        <f t="shared" si="27"/>
        <v>0</v>
      </c>
      <c r="L37" s="553">
        <f t="shared" si="28"/>
        <v>0</v>
      </c>
      <c r="M37" s="553">
        <f t="shared" si="29"/>
        <v>0</v>
      </c>
      <c r="N37" s="555">
        <f t="shared" si="30"/>
        <v>0</v>
      </c>
      <c r="O37" s="552">
        <f>'8b-ADIT Projection Proration'!I37</f>
        <v>0</v>
      </c>
      <c r="P37" s="553">
        <f t="shared" si="31"/>
        <v>0</v>
      </c>
      <c r="Q37" s="553">
        <f t="shared" si="32"/>
        <v>0</v>
      </c>
      <c r="R37" s="554">
        <v>0</v>
      </c>
      <c r="S37" s="553">
        <f t="shared" si="33"/>
        <v>0</v>
      </c>
      <c r="T37" s="553">
        <f t="shared" si="34"/>
        <v>0</v>
      </c>
      <c r="U37" s="553">
        <f t="shared" si="35"/>
        <v>0</v>
      </c>
      <c r="V37" s="553">
        <f t="shared" si="36"/>
        <v>0</v>
      </c>
      <c r="W37" s="555">
        <f t="shared" si="37"/>
        <v>0</v>
      </c>
      <c r="X37" s="552">
        <f>'8b-ADIT Projection Proration'!K37</f>
        <v>0</v>
      </c>
      <c r="Y37" s="553">
        <f t="shared" si="38"/>
        <v>0</v>
      </c>
      <c r="Z37" s="553">
        <f t="shared" si="39"/>
        <v>0</v>
      </c>
      <c r="AA37" s="554">
        <v>0</v>
      </c>
      <c r="AB37" s="553">
        <f t="shared" si="40"/>
        <v>0</v>
      </c>
      <c r="AC37" s="553">
        <f t="shared" si="41"/>
        <v>0</v>
      </c>
      <c r="AD37" s="553">
        <f t="shared" si="42"/>
        <v>0</v>
      </c>
      <c r="AE37" s="553">
        <f t="shared" si="43"/>
        <v>0</v>
      </c>
      <c r="AF37" s="555">
        <f t="shared" si="44"/>
        <v>0</v>
      </c>
    </row>
    <row r="38" spans="1:33">
      <c r="A38" s="546">
        <f t="shared" si="22"/>
        <v>28</v>
      </c>
      <c r="B38" s="536" t="s">
        <v>923</v>
      </c>
      <c r="F38" s="549">
        <f>SUM(F25:F37)</f>
        <v>0</v>
      </c>
      <c r="G38" s="556">
        <f>SUM(G25:G37)</f>
        <v>0</v>
      </c>
      <c r="H38" s="322"/>
      <c r="I38" s="322">
        <f>SUM(I25:I37)</f>
        <v>0</v>
      </c>
      <c r="J38" s="322">
        <f>SUM(J25:J37)</f>
        <v>0</v>
      </c>
      <c r="K38" s="322">
        <f>SUM(K25:K37)</f>
        <v>0</v>
      </c>
      <c r="L38" s="322">
        <f>SUM(L25:L37)</f>
        <v>0</v>
      </c>
      <c r="M38" s="322">
        <f>SUM(M25:M37)</f>
        <v>0</v>
      </c>
      <c r="N38" s="550"/>
      <c r="O38" s="549">
        <f>SUM(O25:O37)</f>
        <v>0</v>
      </c>
      <c r="P38" s="556">
        <f>SUM(P25:P37)</f>
        <v>0</v>
      </c>
      <c r="Q38" s="322"/>
      <c r="R38" s="322">
        <f>SUM(R25:R37)</f>
        <v>0</v>
      </c>
      <c r="S38" s="322">
        <f>SUM(S25:S37)</f>
        <v>0</v>
      </c>
      <c r="T38" s="322">
        <f>SUM(T25:T37)</f>
        <v>0</v>
      </c>
      <c r="U38" s="322">
        <f>SUM(U25:U37)</f>
        <v>0</v>
      </c>
      <c r="V38" s="322">
        <f>SUM(V25:V37)</f>
        <v>0</v>
      </c>
      <c r="W38" s="550"/>
      <c r="X38" s="549">
        <f>SUM(X25:X37)</f>
        <v>0</v>
      </c>
      <c r="Y38" s="556">
        <f>SUM(Y25:Y37)</f>
        <v>0</v>
      </c>
      <c r="Z38" s="322"/>
      <c r="AA38" s="322">
        <f>SUM(AA25:AA37)</f>
        <v>0</v>
      </c>
      <c r="AB38" s="322">
        <f>SUM(AB25:AB37)</f>
        <v>0</v>
      </c>
      <c r="AC38" s="322">
        <f>SUM(AC25:AC37)</f>
        <v>0</v>
      </c>
      <c r="AD38" s="322">
        <f>SUM(AD25:AD37)</f>
        <v>0</v>
      </c>
      <c r="AE38" s="322">
        <f>SUM(AE25:AE37)</f>
        <v>0</v>
      </c>
      <c r="AF38" s="550"/>
    </row>
    <row r="39" spans="1:33">
      <c r="A39" s="546"/>
      <c r="F39" s="549"/>
      <c r="G39" s="322"/>
      <c r="H39" s="322"/>
      <c r="I39" s="322"/>
      <c r="J39" s="322"/>
      <c r="K39" s="322"/>
      <c r="L39" s="322"/>
      <c r="M39" s="322"/>
      <c r="N39" s="550"/>
      <c r="O39" s="549"/>
      <c r="P39" s="322"/>
      <c r="Q39" s="322"/>
      <c r="R39" s="322"/>
      <c r="S39" s="322"/>
      <c r="T39" s="322"/>
      <c r="U39" s="322"/>
      <c r="V39" s="322"/>
      <c r="W39" s="550"/>
      <c r="X39" s="549"/>
      <c r="Y39" s="322"/>
      <c r="Z39" s="322"/>
      <c r="AA39" s="322"/>
      <c r="AB39" s="322"/>
      <c r="AC39" s="322"/>
      <c r="AD39" s="322"/>
      <c r="AE39" s="322"/>
      <c r="AF39" s="550"/>
    </row>
    <row r="40" spans="1:33">
      <c r="A40" s="535" t="s">
        <v>992</v>
      </c>
      <c r="D40" s="537"/>
      <c r="E40" s="537"/>
      <c r="F40" s="549"/>
      <c r="G40" s="322"/>
      <c r="H40" s="322"/>
      <c r="I40" s="322"/>
      <c r="J40" s="322"/>
      <c r="K40" s="322"/>
      <c r="L40" s="322"/>
      <c r="M40" s="322"/>
      <c r="N40" s="550"/>
      <c r="O40" s="549"/>
      <c r="P40" s="322"/>
      <c r="Q40" s="322"/>
      <c r="R40" s="322"/>
      <c r="S40" s="322"/>
      <c r="T40" s="322"/>
      <c r="U40" s="322"/>
      <c r="V40" s="322"/>
      <c r="W40" s="550"/>
      <c r="X40" s="549"/>
      <c r="Y40" s="322"/>
      <c r="Z40" s="322"/>
      <c r="AA40" s="322"/>
      <c r="AB40" s="322"/>
      <c r="AC40" s="322"/>
      <c r="AD40" s="322"/>
      <c r="AE40" s="322"/>
      <c r="AF40" s="550"/>
      <c r="AG40" s="537"/>
    </row>
    <row r="41" spans="1:33">
      <c r="A41" s="546">
        <f>A38+1</f>
        <v>29</v>
      </c>
      <c r="B41" s="536" t="s">
        <v>924</v>
      </c>
      <c r="C41" s="535" t="s">
        <v>771</v>
      </c>
      <c r="D41" s="547">
        <f>D25</f>
        <v>2019</v>
      </c>
      <c r="E41" s="548">
        <f>365/365</f>
        <v>1</v>
      </c>
      <c r="F41" s="549"/>
      <c r="G41" s="322"/>
      <c r="H41" s="322">
        <f>'8c- ADIT BOY'!E25</f>
        <v>0</v>
      </c>
      <c r="I41" s="322"/>
      <c r="J41" s="322"/>
      <c r="K41" s="322"/>
      <c r="L41" s="322"/>
      <c r="M41" s="322"/>
      <c r="N41" s="550"/>
      <c r="O41" s="549"/>
      <c r="P41" s="322"/>
      <c r="Q41" s="322">
        <f>'8c- ADIT BOY'!F25</f>
        <v>0</v>
      </c>
      <c r="R41" s="322"/>
      <c r="S41" s="322"/>
      <c r="T41" s="322"/>
      <c r="U41" s="322"/>
      <c r="V41" s="322"/>
      <c r="W41" s="550"/>
      <c r="X41" s="549"/>
      <c r="Y41" s="322"/>
      <c r="Z41" s="322">
        <f>'8c- ADIT BOY'!G25</f>
        <v>0</v>
      </c>
      <c r="AA41" s="322"/>
      <c r="AB41" s="322"/>
      <c r="AC41" s="322"/>
      <c r="AD41" s="322"/>
      <c r="AE41" s="322"/>
      <c r="AF41" s="550"/>
    </row>
    <row r="42" spans="1:33">
      <c r="A42" s="546">
        <f t="shared" ref="A42:A54" si="45">+A41+1</f>
        <v>30</v>
      </c>
      <c r="B42" s="536" t="s">
        <v>920</v>
      </c>
      <c r="C42" s="535" t="s">
        <v>696</v>
      </c>
      <c r="D42" s="547">
        <f t="shared" ref="D42:D53" si="46">D26</f>
        <v>2020</v>
      </c>
      <c r="E42" s="548">
        <f>335/365</f>
        <v>0.9178082191780822</v>
      </c>
      <c r="F42" s="549">
        <f>'8b-ADIT Projection Proration'!G42</f>
        <v>0</v>
      </c>
      <c r="G42" s="322">
        <f t="shared" ref="G42:G53" si="47">$E42*F42</f>
        <v>0</v>
      </c>
      <c r="H42" s="322">
        <f t="shared" ref="H42:H53" si="48">+G42+H41</f>
        <v>0</v>
      </c>
      <c r="I42" s="551">
        <v>0</v>
      </c>
      <c r="J42" s="322">
        <f t="shared" ref="J42:J53" si="49">I42-F42</f>
        <v>0</v>
      </c>
      <c r="K42" s="322">
        <f t="shared" ref="K42:K53" si="50">IF(J42&gt;=0,+J42,0)</f>
        <v>0</v>
      </c>
      <c r="L42" s="322">
        <f t="shared" ref="L42:L53" si="51">IF(K42&gt;0,0,IF(I42&lt;0,0,(-(J42)*($E42))))</f>
        <v>0</v>
      </c>
      <c r="M42" s="322">
        <f t="shared" ref="M42:M53" si="52">IF(K42&gt;0,0,IF(I42&gt;0,0,(-(J42)*($E42))))</f>
        <v>0</v>
      </c>
      <c r="N42" s="550">
        <f t="shared" ref="N42:N53" si="53">IF(I42&lt;0,N41+M42,N41+$G42+K42-L42)</f>
        <v>0</v>
      </c>
      <c r="O42" s="549">
        <f>'8b-ADIT Projection Proration'!I42</f>
        <v>0</v>
      </c>
      <c r="P42" s="322">
        <f t="shared" ref="P42:P53" si="54">$E42*O42</f>
        <v>0</v>
      </c>
      <c r="Q42" s="322">
        <f t="shared" ref="Q42:Q53" si="55">+P42+Q41</f>
        <v>0</v>
      </c>
      <c r="R42" s="551">
        <v>0</v>
      </c>
      <c r="S42" s="322">
        <f t="shared" ref="S42:S53" si="56">R42-O42</f>
        <v>0</v>
      </c>
      <c r="T42" s="322">
        <f t="shared" ref="T42:T53" si="57">IF(S42&gt;=0,+S42,0)</f>
        <v>0</v>
      </c>
      <c r="U42" s="322">
        <f t="shared" ref="U42:U53" si="58">IF(T42&gt;0,0,IF(R42&lt;0,0,(-(S42)*($E42))))</f>
        <v>0</v>
      </c>
      <c r="V42" s="322">
        <f t="shared" ref="V42:V53" si="59">IF(T42&gt;0,0,IF(R42&gt;0,0,(-(S42)*($E42))))</f>
        <v>0</v>
      </c>
      <c r="W42" s="550">
        <f t="shared" ref="W42:W53" si="60">IF(R42&lt;0,W41+V42,W41+P42+T42-U42)</f>
        <v>0</v>
      </c>
      <c r="X42" s="549">
        <f>'8b-ADIT Projection Proration'!K42</f>
        <v>0</v>
      </c>
      <c r="Y42" s="322">
        <f t="shared" ref="Y42:Y53" si="61">$E42*X42</f>
        <v>0</v>
      </c>
      <c r="Z42" s="322">
        <f t="shared" ref="Z42:Z53" si="62">+Y42+Z41</f>
        <v>0</v>
      </c>
      <c r="AA42" s="551">
        <v>0</v>
      </c>
      <c r="AB42" s="322">
        <f t="shared" ref="AB42:AB53" si="63">AA42-X42</f>
        <v>0</v>
      </c>
      <c r="AC42" s="322">
        <f t="shared" ref="AC42:AC53" si="64">IF(AB42&gt;=0,+AB42,0)</f>
        <v>0</v>
      </c>
      <c r="AD42" s="322">
        <f t="shared" ref="AD42:AD53" si="65">IF(AC42&gt;0,0,IF(AA42&lt;0,0,(-(AB42)*($E42))))</f>
        <v>0</v>
      </c>
      <c r="AE42" s="322">
        <f t="shared" ref="AE42:AE53" si="66">IF(AC42&gt;0,0,IF(AA42&gt;0,0,(-(AB42)*($E42))))</f>
        <v>0</v>
      </c>
      <c r="AF42" s="550">
        <f t="shared" ref="AF42:AF53" si="67">IF(AA42&lt;0,AF41+AE42,AF41+Y42+AC42-AD42)</f>
        <v>0</v>
      </c>
    </row>
    <row r="43" spans="1:33">
      <c r="A43" s="546">
        <f t="shared" si="45"/>
        <v>31</v>
      </c>
      <c r="B43" s="536" t="s">
        <v>920</v>
      </c>
      <c r="C43" s="535" t="s">
        <v>697</v>
      </c>
      <c r="D43" s="547">
        <f t="shared" si="46"/>
        <v>2020</v>
      </c>
      <c r="E43" s="548">
        <f>307/365</f>
        <v>0.84109589041095889</v>
      </c>
      <c r="F43" s="549">
        <f>'8b-ADIT Projection Proration'!G43</f>
        <v>0</v>
      </c>
      <c r="G43" s="322">
        <f t="shared" si="47"/>
        <v>0</v>
      </c>
      <c r="H43" s="322">
        <f t="shared" si="48"/>
        <v>0</v>
      </c>
      <c r="I43" s="551">
        <v>0</v>
      </c>
      <c r="J43" s="322">
        <f t="shared" si="49"/>
        <v>0</v>
      </c>
      <c r="K43" s="322">
        <f t="shared" si="50"/>
        <v>0</v>
      </c>
      <c r="L43" s="322">
        <f t="shared" si="51"/>
        <v>0</v>
      </c>
      <c r="M43" s="322">
        <f t="shared" si="52"/>
        <v>0</v>
      </c>
      <c r="N43" s="550">
        <f t="shared" si="53"/>
        <v>0</v>
      </c>
      <c r="O43" s="549">
        <f>'8b-ADIT Projection Proration'!I43</f>
        <v>0</v>
      </c>
      <c r="P43" s="322">
        <f t="shared" si="54"/>
        <v>0</v>
      </c>
      <c r="Q43" s="322">
        <f t="shared" si="55"/>
        <v>0</v>
      </c>
      <c r="R43" s="551">
        <v>0</v>
      </c>
      <c r="S43" s="322">
        <f t="shared" si="56"/>
        <v>0</v>
      </c>
      <c r="T43" s="322">
        <f t="shared" si="57"/>
        <v>0</v>
      </c>
      <c r="U43" s="322">
        <f t="shared" si="58"/>
        <v>0</v>
      </c>
      <c r="V43" s="322">
        <f t="shared" si="59"/>
        <v>0</v>
      </c>
      <c r="W43" s="550">
        <f t="shared" si="60"/>
        <v>0</v>
      </c>
      <c r="X43" s="549">
        <f>'8b-ADIT Projection Proration'!K43</f>
        <v>0</v>
      </c>
      <c r="Y43" s="322">
        <f t="shared" si="61"/>
        <v>0</v>
      </c>
      <c r="Z43" s="322">
        <f t="shared" si="62"/>
        <v>0</v>
      </c>
      <c r="AA43" s="551">
        <v>0</v>
      </c>
      <c r="AB43" s="322">
        <f t="shared" si="63"/>
        <v>0</v>
      </c>
      <c r="AC43" s="322">
        <f t="shared" si="64"/>
        <v>0</v>
      </c>
      <c r="AD43" s="322">
        <f t="shared" si="65"/>
        <v>0</v>
      </c>
      <c r="AE43" s="322">
        <f t="shared" si="66"/>
        <v>0</v>
      </c>
      <c r="AF43" s="550">
        <f t="shared" si="67"/>
        <v>0</v>
      </c>
    </row>
    <row r="44" spans="1:33">
      <c r="A44" s="546">
        <f t="shared" si="45"/>
        <v>32</v>
      </c>
      <c r="B44" s="536" t="s">
        <v>920</v>
      </c>
      <c r="C44" s="535" t="s">
        <v>768</v>
      </c>
      <c r="D44" s="547">
        <f t="shared" si="46"/>
        <v>2020</v>
      </c>
      <c r="E44" s="548">
        <f>276/365</f>
        <v>0.75616438356164384</v>
      </c>
      <c r="F44" s="549">
        <f>'8b-ADIT Projection Proration'!G44</f>
        <v>0</v>
      </c>
      <c r="G44" s="322">
        <f t="shared" si="47"/>
        <v>0</v>
      </c>
      <c r="H44" s="322">
        <f t="shared" si="48"/>
        <v>0</v>
      </c>
      <c r="I44" s="551">
        <v>0</v>
      </c>
      <c r="J44" s="322">
        <f t="shared" si="49"/>
        <v>0</v>
      </c>
      <c r="K44" s="322">
        <f t="shared" si="50"/>
        <v>0</v>
      </c>
      <c r="L44" s="322">
        <f t="shared" si="51"/>
        <v>0</v>
      </c>
      <c r="M44" s="322">
        <f t="shared" si="52"/>
        <v>0</v>
      </c>
      <c r="N44" s="550">
        <f t="shared" si="53"/>
        <v>0</v>
      </c>
      <c r="O44" s="549">
        <f>'8b-ADIT Projection Proration'!I44</f>
        <v>0</v>
      </c>
      <c r="P44" s="322">
        <f t="shared" si="54"/>
        <v>0</v>
      </c>
      <c r="Q44" s="322">
        <f t="shared" si="55"/>
        <v>0</v>
      </c>
      <c r="R44" s="551">
        <v>0</v>
      </c>
      <c r="S44" s="322">
        <f t="shared" si="56"/>
        <v>0</v>
      </c>
      <c r="T44" s="322">
        <f t="shared" si="57"/>
        <v>0</v>
      </c>
      <c r="U44" s="322">
        <f t="shared" si="58"/>
        <v>0</v>
      </c>
      <c r="V44" s="322">
        <f t="shared" si="59"/>
        <v>0</v>
      </c>
      <c r="W44" s="550">
        <f t="shared" si="60"/>
        <v>0</v>
      </c>
      <c r="X44" s="549">
        <f>'8b-ADIT Projection Proration'!K44</f>
        <v>0</v>
      </c>
      <c r="Y44" s="322">
        <f t="shared" si="61"/>
        <v>0</v>
      </c>
      <c r="Z44" s="322">
        <f t="shared" si="62"/>
        <v>0</v>
      </c>
      <c r="AA44" s="551">
        <v>0</v>
      </c>
      <c r="AB44" s="322">
        <f t="shared" si="63"/>
        <v>0</v>
      </c>
      <c r="AC44" s="322">
        <f t="shared" si="64"/>
        <v>0</v>
      </c>
      <c r="AD44" s="322">
        <f t="shared" si="65"/>
        <v>0</v>
      </c>
      <c r="AE44" s="322">
        <f t="shared" si="66"/>
        <v>0</v>
      </c>
      <c r="AF44" s="550">
        <f t="shared" si="67"/>
        <v>0</v>
      </c>
    </row>
    <row r="45" spans="1:33">
      <c r="A45" s="546">
        <f t="shared" si="45"/>
        <v>33</v>
      </c>
      <c r="B45" s="536" t="s">
        <v>920</v>
      </c>
      <c r="C45" s="535" t="s">
        <v>699</v>
      </c>
      <c r="D45" s="547">
        <f t="shared" si="46"/>
        <v>2020</v>
      </c>
      <c r="E45" s="548">
        <f>246/365</f>
        <v>0.67397260273972603</v>
      </c>
      <c r="F45" s="549">
        <f>'8b-ADIT Projection Proration'!G45</f>
        <v>0</v>
      </c>
      <c r="G45" s="322">
        <f t="shared" si="47"/>
        <v>0</v>
      </c>
      <c r="H45" s="322">
        <f t="shared" si="48"/>
        <v>0</v>
      </c>
      <c r="I45" s="551">
        <v>0</v>
      </c>
      <c r="J45" s="322">
        <f t="shared" si="49"/>
        <v>0</v>
      </c>
      <c r="K45" s="322">
        <f t="shared" si="50"/>
        <v>0</v>
      </c>
      <c r="L45" s="322">
        <f t="shared" si="51"/>
        <v>0</v>
      </c>
      <c r="M45" s="322">
        <f t="shared" si="52"/>
        <v>0</v>
      </c>
      <c r="N45" s="550">
        <f t="shared" si="53"/>
        <v>0</v>
      </c>
      <c r="O45" s="549">
        <f>'8b-ADIT Projection Proration'!I45</f>
        <v>0</v>
      </c>
      <c r="P45" s="322">
        <f t="shared" si="54"/>
        <v>0</v>
      </c>
      <c r="Q45" s="322">
        <f t="shared" si="55"/>
        <v>0</v>
      </c>
      <c r="R45" s="551">
        <v>0</v>
      </c>
      <c r="S45" s="322">
        <f t="shared" si="56"/>
        <v>0</v>
      </c>
      <c r="T45" s="322">
        <f t="shared" si="57"/>
        <v>0</v>
      </c>
      <c r="U45" s="322">
        <f t="shared" si="58"/>
        <v>0</v>
      </c>
      <c r="V45" s="322">
        <f t="shared" si="59"/>
        <v>0</v>
      </c>
      <c r="W45" s="550">
        <f t="shared" si="60"/>
        <v>0</v>
      </c>
      <c r="X45" s="549">
        <f>'8b-ADIT Projection Proration'!K45</f>
        <v>0</v>
      </c>
      <c r="Y45" s="322">
        <f t="shared" si="61"/>
        <v>0</v>
      </c>
      <c r="Z45" s="322">
        <f t="shared" si="62"/>
        <v>0</v>
      </c>
      <c r="AA45" s="551">
        <v>0</v>
      </c>
      <c r="AB45" s="322">
        <f t="shared" si="63"/>
        <v>0</v>
      </c>
      <c r="AC45" s="322">
        <f t="shared" si="64"/>
        <v>0</v>
      </c>
      <c r="AD45" s="322">
        <f t="shared" si="65"/>
        <v>0</v>
      </c>
      <c r="AE45" s="322">
        <f t="shared" si="66"/>
        <v>0</v>
      </c>
      <c r="AF45" s="550">
        <f t="shared" si="67"/>
        <v>0</v>
      </c>
    </row>
    <row r="46" spans="1:33">
      <c r="A46" s="546">
        <f t="shared" si="45"/>
        <v>34</v>
      </c>
      <c r="B46" s="536" t="s">
        <v>920</v>
      </c>
      <c r="C46" s="535" t="s">
        <v>700</v>
      </c>
      <c r="D46" s="547">
        <f t="shared" si="46"/>
        <v>2020</v>
      </c>
      <c r="E46" s="548">
        <f>215/365</f>
        <v>0.58904109589041098</v>
      </c>
      <c r="F46" s="549">
        <f>'8b-ADIT Projection Proration'!G46</f>
        <v>0</v>
      </c>
      <c r="G46" s="322">
        <f t="shared" si="47"/>
        <v>0</v>
      </c>
      <c r="H46" s="322">
        <f t="shared" si="48"/>
        <v>0</v>
      </c>
      <c r="I46" s="551">
        <v>0</v>
      </c>
      <c r="J46" s="322">
        <f t="shared" si="49"/>
        <v>0</v>
      </c>
      <c r="K46" s="322">
        <f t="shared" si="50"/>
        <v>0</v>
      </c>
      <c r="L46" s="322">
        <f t="shared" si="51"/>
        <v>0</v>
      </c>
      <c r="M46" s="322">
        <f t="shared" si="52"/>
        <v>0</v>
      </c>
      <c r="N46" s="550">
        <f t="shared" si="53"/>
        <v>0</v>
      </c>
      <c r="O46" s="549">
        <f>'8b-ADIT Projection Proration'!I46</f>
        <v>0</v>
      </c>
      <c r="P46" s="322">
        <f t="shared" si="54"/>
        <v>0</v>
      </c>
      <c r="Q46" s="322">
        <f t="shared" si="55"/>
        <v>0</v>
      </c>
      <c r="R46" s="551">
        <v>0</v>
      </c>
      <c r="S46" s="322">
        <f t="shared" si="56"/>
        <v>0</v>
      </c>
      <c r="T46" s="322">
        <f t="shared" si="57"/>
        <v>0</v>
      </c>
      <c r="U46" s="322">
        <f t="shared" si="58"/>
        <v>0</v>
      </c>
      <c r="V46" s="322">
        <f t="shared" si="59"/>
        <v>0</v>
      </c>
      <c r="W46" s="550">
        <f t="shared" si="60"/>
        <v>0</v>
      </c>
      <c r="X46" s="549">
        <f>'8b-ADIT Projection Proration'!K46</f>
        <v>0</v>
      </c>
      <c r="Y46" s="322">
        <f t="shared" si="61"/>
        <v>0</v>
      </c>
      <c r="Z46" s="322">
        <f t="shared" si="62"/>
        <v>0</v>
      </c>
      <c r="AA46" s="551">
        <v>0</v>
      </c>
      <c r="AB46" s="322">
        <f t="shared" si="63"/>
        <v>0</v>
      </c>
      <c r="AC46" s="322">
        <f t="shared" si="64"/>
        <v>0</v>
      </c>
      <c r="AD46" s="322">
        <f t="shared" si="65"/>
        <v>0</v>
      </c>
      <c r="AE46" s="322">
        <f t="shared" si="66"/>
        <v>0</v>
      </c>
      <c r="AF46" s="550">
        <f t="shared" si="67"/>
        <v>0</v>
      </c>
    </row>
    <row r="47" spans="1:33">
      <c r="A47" s="546">
        <f t="shared" si="45"/>
        <v>35</v>
      </c>
      <c r="B47" s="536" t="s">
        <v>920</v>
      </c>
      <c r="C47" s="535" t="s">
        <v>701</v>
      </c>
      <c r="D47" s="547">
        <f t="shared" si="46"/>
        <v>2020</v>
      </c>
      <c r="E47" s="548">
        <f>185/365</f>
        <v>0.50684931506849318</v>
      </c>
      <c r="F47" s="549">
        <f>'8b-ADIT Projection Proration'!G47</f>
        <v>0</v>
      </c>
      <c r="G47" s="322">
        <f t="shared" si="47"/>
        <v>0</v>
      </c>
      <c r="H47" s="322">
        <f t="shared" si="48"/>
        <v>0</v>
      </c>
      <c r="I47" s="551">
        <v>0</v>
      </c>
      <c r="J47" s="322">
        <f t="shared" si="49"/>
        <v>0</v>
      </c>
      <c r="K47" s="322">
        <f t="shared" si="50"/>
        <v>0</v>
      </c>
      <c r="L47" s="322">
        <f t="shared" si="51"/>
        <v>0</v>
      </c>
      <c r="M47" s="322">
        <f t="shared" si="52"/>
        <v>0</v>
      </c>
      <c r="N47" s="550">
        <f t="shared" si="53"/>
        <v>0</v>
      </c>
      <c r="O47" s="549">
        <f>'8b-ADIT Projection Proration'!I47</f>
        <v>0</v>
      </c>
      <c r="P47" s="322">
        <f t="shared" si="54"/>
        <v>0</v>
      </c>
      <c r="Q47" s="322">
        <f t="shared" si="55"/>
        <v>0</v>
      </c>
      <c r="R47" s="551">
        <v>0</v>
      </c>
      <c r="S47" s="322">
        <f t="shared" si="56"/>
        <v>0</v>
      </c>
      <c r="T47" s="322">
        <f t="shared" si="57"/>
        <v>0</v>
      </c>
      <c r="U47" s="322">
        <f t="shared" si="58"/>
        <v>0</v>
      </c>
      <c r="V47" s="322">
        <f t="shared" si="59"/>
        <v>0</v>
      </c>
      <c r="W47" s="550">
        <f t="shared" si="60"/>
        <v>0</v>
      </c>
      <c r="X47" s="549">
        <f>'8b-ADIT Projection Proration'!K47</f>
        <v>0</v>
      </c>
      <c r="Y47" s="322">
        <f t="shared" si="61"/>
        <v>0</v>
      </c>
      <c r="Z47" s="322">
        <f t="shared" si="62"/>
        <v>0</v>
      </c>
      <c r="AA47" s="551">
        <v>0</v>
      </c>
      <c r="AB47" s="322">
        <f t="shared" si="63"/>
        <v>0</v>
      </c>
      <c r="AC47" s="322">
        <f t="shared" si="64"/>
        <v>0</v>
      </c>
      <c r="AD47" s="322">
        <f t="shared" si="65"/>
        <v>0</v>
      </c>
      <c r="AE47" s="322">
        <f t="shared" si="66"/>
        <v>0</v>
      </c>
      <c r="AF47" s="550">
        <f t="shared" si="67"/>
        <v>0</v>
      </c>
    </row>
    <row r="48" spans="1:33">
      <c r="A48" s="546">
        <f t="shared" si="45"/>
        <v>36</v>
      </c>
      <c r="B48" s="536" t="s">
        <v>920</v>
      </c>
      <c r="C48" s="535" t="s">
        <v>702</v>
      </c>
      <c r="D48" s="547">
        <f t="shared" si="46"/>
        <v>2020</v>
      </c>
      <c r="E48" s="548">
        <f>154/365</f>
        <v>0.42191780821917807</v>
      </c>
      <c r="F48" s="549">
        <f>'8b-ADIT Projection Proration'!G48</f>
        <v>0</v>
      </c>
      <c r="G48" s="322">
        <f t="shared" si="47"/>
        <v>0</v>
      </c>
      <c r="H48" s="322">
        <f t="shared" si="48"/>
        <v>0</v>
      </c>
      <c r="I48" s="551">
        <v>0</v>
      </c>
      <c r="J48" s="322">
        <f t="shared" si="49"/>
        <v>0</v>
      </c>
      <c r="K48" s="322">
        <f t="shared" si="50"/>
        <v>0</v>
      </c>
      <c r="L48" s="322">
        <f t="shared" si="51"/>
        <v>0</v>
      </c>
      <c r="M48" s="322">
        <f t="shared" si="52"/>
        <v>0</v>
      </c>
      <c r="N48" s="550">
        <f t="shared" si="53"/>
        <v>0</v>
      </c>
      <c r="O48" s="549">
        <f>'8b-ADIT Projection Proration'!I48</f>
        <v>0</v>
      </c>
      <c r="P48" s="322">
        <f t="shared" si="54"/>
        <v>0</v>
      </c>
      <c r="Q48" s="322">
        <f t="shared" si="55"/>
        <v>0</v>
      </c>
      <c r="R48" s="551">
        <v>0</v>
      </c>
      <c r="S48" s="322">
        <f t="shared" si="56"/>
        <v>0</v>
      </c>
      <c r="T48" s="322">
        <f t="shared" si="57"/>
        <v>0</v>
      </c>
      <c r="U48" s="322">
        <f t="shared" si="58"/>
        <v>0</v>
      </c>
      <c r="V48" s="322">
        <f t="shared" si="59"/>
        <v>0</v>
      </c>
      <c r="W48" s="550">
        <f t="shared" si="60"/>
        <v>0</v>
      </c>
      <c r="X48" s="549">
        <f>'8b-ADIT Projection Proration'!K48</f>
        <v>0</v>
      </c>
      <c r="Y48" s="322">
        <f t="shared" si="61"/>
        <v>0</v>
      </c>
      <c r="Z48" s="322">
        <f t="shared" si="62"/>
        <v>0</v>
      </c>
      <c r="AA48" s="551">
        <v>0</v>
      </c>
      <c r="AB48" s="322">
        <f t="shared" si="63"/>
        <v>0</v>
      </c>
      <c r="AC48" s="322">
        <f t="shared" si="64"/>
        <v>0</v>
      </c>
      <c r="AD48" s="322">
        <f t="shared" si="65"/>
        <v>0</v>
      </c>
      <c r="AE48" s="322">
        <f t="shared" si="66"/>
        <v>0</v>
      </c>
      <c r="AF48" s="550">
        <f t="shared" si="67"/>
        <v>0</v>
      </c>
    </row>
    <row r="49" spans="1:32">
      <c r="A49" s="546">
        <f t="shared" si="45"/>
        <v>37</v>
      </c>
      <c r="B49" s="536" t="s">
        <v>920</v>
      </c>
      <c r="C49" s="535" t="s">
        <v>770</v>
      </c>
      <c r="D49" s="547">
        <f t="shared" si="46"/>
        <v>2020</v>
      </c>
      <c r="E49" s="548">
        <f>123/365</f>
        <v>0.33698630136986302</v>
      </c>
      <c r="F49" s="549">
        <f>'8b-ADIT Projection Proration'!G49</f>
        <v>0</v>
      </c>
      <c r="G49" s="322">
        <f t="shared" si="47"/>
        <v>0</v>
      </c>
      <c r="H49" s="322">
        <f t="shared" si="48"/>
        <v>0</v>
      </c>
      <c r="I49" s="551">
        <v>0</v>
      </c>
      <c r="J49" s="322">
        <f t="shared" si="49"/>
        <v>0</v>
      </c>
      <c r="K49" s="322">
        <f t="shared" si="50"/>
        <v>0</v>
      </c>
      <c r="L49" s="322">
        <f t="shared" si="51"/>
        <v>0</v>
      </c>
      <c r="M49" s="322">
        <f t="shared" si="52"/>
        <v>0</v>
      </c>
      <c r="N49" s="550">
        <f t="shared" si="53"/>
        <v>0</v>
      </c>
      <c r="O49" s="549">
        <f>'8b-ADIT Projection Proration'!I49</f>
        <v>0</v>
      </c>
      <c r="P49" s="322">
        <f t="shared" si="54"/>
        <v>0</v>
      </c>
      <c r="Q49" s="322">
        <f t="shared" si="55"/>
        <v>0</v>
      </c>
      <c r="R49" s="551">
        <v>0</v>
      </c>
      <c r="S49" s="322">
        <f t="shared" si="56"/>
        <v>0</v>
      </c>
      <c r="T49" s="322">
        <f t="shared" si="57"/>
        <v>0</v>
      </c>
      <c r="U49" s="322">
        <f t="shared" si="58"/>
        <v>0</v>
      </c>
      <c r="V49" s="322">
        <f t="shared" si="59"/>
        <v>0</v>
      </c>
      <c r="W49" s="550">
        <f t="shared" si="60"/>
        <v>0</v>
      </c>
      <c r="X49" s="549">
        <f>'8b-ADIT Projection Proration'!K49</f>
        <v>0</v>
      </c>
      <c r="Y49" s="322">
        <f t="shared" si="61"/>
        <v>0</v>
      </c>
      <c r="Z49" s="322">
        <f t="shared" si="62"/>
        <v>0</v>
      </c>
      <c r="AA49" s="551">
        <v>0</v>
      </c>
      <c r="AB49" s="322">
        <f t="shared" si="63"/>
        <v>0</v>
      </c>
      <c r="AC49" s="322">
        <f t="shared" si="64"/>
        <v>0</v>
      </c>
      <c r="AD49" s="322">
        <f t="shared" si="65"/>
        <v>0</v>
      </c>
      <c r="AE49" s="322">
        <f t="shared" si="66"/>
        <v>0</v>
      </c>
      <c r="AF49" s="550">
        <f t="shared" si="67"/>
        <v>0</v>
      </c>
    </row>
    <row r="50" spans="1:32">
      <c r="A50" s="546">
        <f t="shared" si="45"/>
        <v>38</v>
      </c>
      <c r="B50" s="536" t="s">
        <v>920</v>
      </c>
      <c r="C50" s="535" t="s">
        <v>704</v>
      </c>
      <c r="D50" s="547">
        <f t="shared" si="46"/>
        <v>2020</v>
      </c>
      <c r="E50" s="548">
        <f>93/365</f>
        <v>0.25479452054794521</v>
      </c>
      <c r="F50" s="549">
        <f>'8b-ADIT Projection Proration'!G50</f>
        <v>0</v>
      </c>
      <c r="G50" s="322">
        <f t="shared" si="47"/>
        <v>0</v>
      </c>
      <c r="H50" s="322">
        <f t="shared" si="48"/>
        <v>0</v>
      </c>
      <c r="I50" s="551">
        <v>0</v>
      </c>
      <c r="J50" s="322">
        <f t="shared" si="49"/>
        <v>0</v>
      </c>
      <c r="K50" s="322">
        <f t="shared" si="50"/>
        <v>0</v>
      </c>
      <c r="L50" s="322">
        <f t="shared" si="51"/>
        <v>0</v>
      </c>
      <c r="M50" s="322">
        <f t="shared" si="52"/>
        <v>0</v>
      </c>
      <c r="N50" s="550">
        <f t="shared" si="53"/>
        <v>0</v>
      </c>
      <c r="O50" s="549">
        <f>'8b-ADIT Projection Proration'!I50</f>
        <v>0</v>
      </c>
      <c r="P50" s="322">
        <f t="shared" si="54"/>
        <v>0</v>
      </c>
      <c r="Q50" s="322">
        <f t="shared" si="55"/>
        <v>0</v>
      </c>
      <c r="R50" s="551">
        <v>0</v>
      </c>
      <c r="S50" s="322">
        <f t="shared" si="56"/>
        <v>0</v>
      </c>
      <c r="T50" s="322">
        <f t="shared" si="57"/>
        <v>0</v>
      </c>
      <c r="U50" s="322">
        <f t="shared" si="58"/>
        <v>0</v>
      </c>
      <c r="V50" s="322">
        <f t="shared" si="59"/>
        <v>0</v>
      </c>
      <c r="W50" s="550">
        <f t="shared" si="60"/>
        <v>0</v>
      </c>
      <c r="X50" s="549">
        <f>'8b-ADIT Projection Proration'!K50</f>
        <v>0</v>
      </c>
      <c r="Y50" s="322">
        <f t="shared" si="61"/>
        <v>0</v>
      </c>
      <c r="Z50" s="322">
        <f t="shared" si="62"/>
        <v>0</v>
      </c>
      <c r="AA50" s="551">
        <v>0</v>
      </c>
      <c r="AB50" s="322">
        <f t="shared" si="63"/>
        <v>0</v>
      </c>
      <c r="AC50" s="322">
        <f t="shared" si="64"/>
        <v>0</v>
      </c>
      <c r="AD50" s="322">
        <f t="shared" si="65"/>
        <v>0</v>
      </c>
      <c r="AE50" s="322">
        <f t="shared" si="66"/>
        <v>0</v>
      </c>
      <c r="AF50" s="550">
        <f t="shared" si="67"/>
        <v>0</v>
      </c>
    </row>
    <row r="51" spans="1:32">
      <c r="A51" s="546">
        <f t="shared" si="45"/>
        <v>39</v>
      </c>
      <c r="B51" s="536" t="s">
        <v>920</v>
      </c>
      <c r="C51" s="535" t="s">
        <v>705</v>
      </c>
      <c r="D51" s="547">
        <f t="shared" si="46"/>
        <v>2020</v>
      </c>
      <c r="E51" s="548">
        <f>62/365</f>
        <v>0.16986301369863013</v>
      </c>
      <c r="F51" s="549">
        <f>'8b-ADIT Projection Proration'!G51</f>
        <v>0</v>
      </c>
      <c r="G51" s="322">
        <f t="shared" si="47"/>
        <v>0</v>
      </c>
      <c r="H51" s="322">
        <f t="shared" si="48"/>
        <v>0</v>
      </c>
      <c r="I51" s="551">
        <v>0</v>
      </c>
      <c r="J51" s="322">
        <f t="shared" si="49"/>
        <v>0</v>
      </c>
      <c r="K51" s="322">
        <f t="shared" si="50"/>
        <v>0</v>
      </c>
      <c r="L51" s="322">
        <f t="shared" si="51"/>
        <v>0</v>
      </c>
      <c r="M51" s="322">
        <f t="shared" si="52"/>
        <v>0</v>
      </c>
      <c r="N51" s="550">
        <f t="shared" si="53"/>
        <v>0</v>
      </c>
      <c r="O51" s="549">
        <f>'8b-ADIT Projection Proration'!I51</f>
        <v>0</v>
      </c>
      <c r="P51" s="322">
        <f t="shared" si="54"/>
        <v>0</v>
      </c>
      <c r="Q51" s="322">
        <f t="shared" si="55"/>
        <v>0</v>
      </c>
      <c r="R51" s="551">
        <v>0</v>
      </c>
      <c r="S51" s="322">
        <f t="shared" si="56"/>
        <v>0</v>
      </c>
      <c r="T51" s="322">
        <f t="shared" si="57"/>
        <v>0</v>
      </c>
      <c r="U51" s="322">
        <f t="shared" si="58"/>
        <v>0</v>
      </c>
      <c r="V51" s="322">
        <f t="shared" si="59"/>
        <v>0</v>
      </c>
      <c r="W51" s="550">
        <f t="shared" si="60"/>
        <v>0</v>
      </c>
      <c r="X51" s="549">
        <f>'8b-ADIT Projection Proration'!K51</f>
        <v>0</v>
      </c>
      <c r="Y51" s="322">
        <f t="shared" si="61"/>
        <v>0</v>
      </c>
      <c r="Z51" s="322">
        <f t="shared" si="62"/>
        <v>0</v>
      </c>
      <c r="AA51" s="551">
        <v>0</v>
      </c>
      <c r="AB51" s="322">
        <f t="shared" si="63"/>
        <v>0</v>
      </c>
      <c r="AC51" s="322">
        <f t="shared" si="64"/>
        <v>0</v>
      </c>
      <c r="AD51" s="322">
        <f t="shared" si="65"/>
        <v>0</v>
      </c>
      <c r="AE51" s="322">
        <f t="shared" si="66"/>
        <v>0</v>
      </c>
      <c r="AF51" s="550">
        <f t="shared" si="67"/>
        <v>0</v>
      </c>
    </row>
    <row r="52" spans="1:32">
      <c r="A52" s="546">
        <f t="shared" si="45"/>
        <v>40</v>
      </c>
      <c r="B52" s="536" t="s">
        <v>920</v>
      </c>
      <c r="C52" s="535" t="s">
        <v>706</v>
      </c>
      <c r="D52" s="547">
        <f t="shared" si="46"/>
        <v>2020</v>
      </c>
      <c r="E52" s="548">
        <f>32/365</f>
        <v>8.7671232876712329E-2</v>
      </c>
      <c r="F52" s="549">
        <f>'8b-ADIT Projection Proration'!G52</f>
        <v>0</v>
      </c>
      <c r="G52" s="322">
        <f t="shared" si="47"/>
        <v>0</v>
      </c>
      <c r="H52" s="322">
        <f t="shared" si="48"/>
        <v>0</v>
      </c>
      <c r="I52" s="551">
        <v>0</v>
      </c>
      <c r="J52" s="322">
        <f t="shared" si="49"/>
        <v>0</v>
      </c>
      <c r="K52" s="322">
        <f t="shared" si="50"/>
        <v>0</v>
      </c>
      <c r="L52" s="322">
        <f t="shared" si="51"/>
        <v>0</v>
      </c>
      <c r="M52" s="322">
        <f t="shared" si="52"/>
        <v>0</v>
      </c>
      <c r="N52" s="550">
        <f t="shared" si="53"/>
        <v>0</v>
      </c>
      <c r="O52" s="549">
        <f>'8b-ADIT Projection Proration'!I52</f>
        <v>0</v>
      </c>
      <c r="P52" s="322">
        <f t="shared" si="54"/>
        <v>0</v>
      </c>
      <c r="Q52" s="322">
        <f t="shared" si="55"/>
        <v>0</v>
      </c>
      <c r="R52" s="551">
        <v>0</v>
      </c>
      <c r="S52" s="322">
        <f t="shared" si="56"/>
        <v>0</v>
      </c>
      <c r="T52" s="322">
        <f t="shared" si="57"/>
        <v>0</v>
      </c>
      <c r="U52" s="322">
        <f t="shared" si="58"/>
        <v>0</v>
      </c>
      <c r="V52" s="322">
        <f t="shared" si="59"/>
        <v>0</v>
      </c>
      <c r="W52" s="550">
        <f t="shared" si="60"/>
        <v>0</v>
      </c>
      <c r="X52" s="549">
        <f>'8b-ADIT Projection Proration'!K52</f>
        <v>0</v>
      </c>
      <c r="Y52" s="322">
        <f t="shared" si="61"/>
        <v>0</v>
      </c>
      <c r="Z52" s="322">
        <f t="shared" si="62"/>
        <v>0</v>
      </c>
      <c r="AA52" s="551">
        <v>0</v>
      </c>
      <c r="AB52" s="322">
        <f t="shared" si="63"/>
        <v>0</v>
      </c>
      <c r="AC52" s="322">
        <f t="shared" si="64"/>
        <v>0</v>
      </c>
      <c r="AD52" s="322">
        <f t="shared" si="65"/>
        <v>0</v>
      </c>
      <c r="AE52" s="322">
        <f t="shared" si="66"/>
        <v>0</v>
      </c>
      <c r="AF52" s="550">
        <f t="shared" si="67"/>
        <v>0</v>
      </c>
    </row>
    <row r="53" spans="1:32">
      <c r="A53" s="546">
        <f t="shared" si="45"/>
        <v>41</v>
      </c>
      <c r="B53" s="536" t="s">
        <v>920</v>
      </c>
      <c r="C53" s="535" t="s">
        <v>771</v>
      </c>
      <c r="D53" s="547">
        <f t="shared" si="46"/>
        <v>2020</v>
      </c>
      <c r="E53" s="548">
        <f>1/365</f>
        <v>2.7397260273972603E-3</v>
      </c>
      <c r="F53" s="552">
        <f>'8b-ADIT Projection Proration'!G53</f>
        <v>0</v>
      </c>
      <c r="G53" s="553">
        <f t="shared" si="47"/>
        <v>0</v>
      </c>
      <c r="H53" s="553">
        <f t="shared" si="48"/>
        <v>0</v>
      </c>
      <c r="I53" s="554">
        <v>0</v>
      </c>
      <c r="J53" s="553">
        <f t="shared" si="49"/>
        <v>0</v>
      </c>
      <c r="K53" s="553">
        <f t="shared" si="50"/>
        <v>0</v>
      </c>
      <c r="L53" s="553">
        <f t="shared" si="51"/>
        <v>0</v>
      </c>
      <c r="M53" s="553">
        <f t="shared" si="52"/>
        <v>0</v>
      </c>
      <c r="N53" s="555">
        <f t="shared" si="53"/>
        <v>0</v>
      </c>
      <c r="O53" s="552">
        <f>'8b-ADIT Projection Proration'!I53</f>
        <v>0</v>
      </c>
      <c r="P53" s="553">
        <f t="shared" si="54"/>
        <v>0</v>
      </c>
      <c r="Q53" s="553">
        <f t="shared" si="55"/>
        <v>0</v>
      </c>
      <c r="R53" s="554">
        <v>0</v>
      </c>
      <c r="S53" s="553">
        <f t="shared" si="56"/>
        <v>0</v>
      </c>
      <c r="T53" s="553">
        <f t="shared" si="57"/>
        <v>0</v>
      </c>
      <c r="U53" s="553">
        <f t="shared" si="58"/>
        <v>0</v>
      </c>
      <c r="V53" s="553">
        <f t="shared" si="59"/>
        <v>0</v>
      </c>
      <c r="W53" s="555">
        <f t="shared" si="60"/>
        <v>0</v>
      </c>
      <c r="X53" s="552">
        <f>'8b-ADIT Projection Proration'!K53</f>
        <v>0</v>
      </c>
      <c r="Y53" s="553">
        <f t="shared" si="61"/>
        <v>0</v>
      </c>
      <c r="Z53" s="553">
        <f t="shared" si="62"/>
        <v>0</v>
      </c>
      <c r="AA53" s="554">
        <v>0</v>
      </c>
      <c r="AB53" s="553">
        <f t="shared" si="63"/>
        <v>0</v>
      </c>
      <c r="AC53" s="553">
        <f t="shared" si="64"/>
        <v>0</v>
      </c>
      <c r="AD53" s="553">
        <f t="shared" si="65"/>
        <v>0</v>
      </c>
      <c r="AE53" s="553">
        <f t="shared" si="66"/>
        <v>0</v>
      </c>
      <c r="AF53" s="555">
        <f t="shared" si="67"/>
        <v>0</v>
      </c>
    </row>
    <row r="54" spans="1:32" ht="13.5" thickBot="1">
      <c r="A54" s="546">
        <f t="shared" si="45"/>
        <v>42</v>
      </c>
      <c r="B54" s="536" t="s">
        <v>925</v>
      </c>
      <c r="F54" s="557">
        <f>SUM(F41:F53)</f>
        <v>0</v>
      </c>
      <c r="G54" s="558">
        <f>SUM(G41:G53)</f>
        <v>0</v>
      </c>
      <c r="H54" s="558"/>
      <c r="I54" s="558">
        <f>SUM(I41:I53)</f>
        <v>0</v>
      </c>
      <c r="J54" s="558">
        <f>SUM(J41:J53)</f>
        <v>0</v>
      </c>
      <c r="K54" s="558">
        <f>SUM(K41:K53)</f>
        <v>0</v>
      </c>
      <c r="L54" s="558">
        <f>SUM(L41:L53)</f>
        <v>0</v>
      </c>
      <c r="M54" s="558">
        <f>SUM(M41:M53)</f>
        <v>0</v>
      </c>
      <c r="N54" s="559"/>
      <c r="O54" s="557">
        <f>SUM(O41:O53)</f>
        <v>0</v>
      </c>
      <c r="P54" s="558">
        <f>SUM(P41:P53)</f>
        <v>0</v>
      </c>
      <c r="Q54" s="558"/>
      <c r="R54" s="558">
        <f>SUM(R41:R53)</f>
        <v>0</v>
      </c>
      <c r="S54" s="558">
        <f>SUM(S41:S53)</f>
        <v>0</v>
      </c>
      <c r="T54" s="558">
        <f>SUM(T41:T53)</f>
        <v>0</v>
      </c>
      <c r="U54" s="558">
        <f>SUM(U41:U53)</f>
        <v>0</v>
      </c>
      <c r="V54" s="558">
        <f>SUM(V41:V53)</f>
        <v>0</v>
      </c>
      <c r="W54" s="559"/>
      <c r="X54" s="557">
        <f>SUM(X41:X53)</f>
        <v>0</v>
      </c>
      <c r="Y54" s="558">
        <f>SUM(Y41:Y53)</f>
        <v>0</v>
      </c>
      <c r="Z54" s="558"/>
      <c r="AA54" s="558">
        <f>SUM(AA41:AA53)</f>
        <v>0</v>
      </c>
      <c r="AB54" s="558">
        <f>SUM(AB41:AB53)</f>
        <v>0</v>
      </c>
      <c r="AC54" s="558">
        <f>SUM(AC41:AC53)</f>
        <v>0</v>
      </c>
      <c r="AD54" s="558">
        <f>SUM(AD41:AD53)</f>
        <v>0</v>
      </c>
      <c r="AE54" s="558">
        <f>SUM(AE41:AE53)</f>
        <v>0</v>
      </c>
      <c r="AF54" s="559"/>
    </row>
    <row r="55" spans="1:32">
      <c r="B55" s="535"/>
      <c r="F55" s="322"/>
      <c r="G55" s="322"/>
      <c r="H55" s="322"/>
      <c r="I55" s="322"/>
      <c r="J55" s="322"/>
      <c r="K55" s="322"/>
      <c r="L55" s="322"/>
      <c r="M55" s="322"/>
      <c r="N55" s="322"/>
      <c r="O55" s="322"/>
      <c r="P55" s="322"/>
      <c r="Q55" s="322"/>
      <c r="R55" s="322"/>
      <c r="S55" s="322"/>
      <c r="T55" s="322"/>
      <c r="U55" s="322"/>
      <c r="V55" s="322"/>
      <c r="W55" s="322"/>
      <c r="X55" s="322"/>
      <c r="Y55" s="322"/>
    </row>
    <row r="56" spans="1:32">
      <c r="B56" s="535"/>
    </row>
    <row r="57" spans="1:32">
      <c r="A57" s="564" t="s">
        <v>926</v>
      </c>
      <c r="B57" s="535" t="s">
        <v>927</v>
      </c>
    </row>
    <row r="58" spans="1:32">
      <c r="A58" s="564" t="s">
        <v>928</v>
      </c>
      <c r="B58" s="535" t="s">
        <v>998</v>
      </c>
      <c r="D58" s="560"/>
      <c r="E58" s="560"/>
      <c r="F58" s="560"/>
      <c r="G58" s="560"/>
      <c r="H58" s="560"/>
      <c r="I58" s="560"/>
      <c r="J58" s="560"/>
      <c r="K58" s="560"/>
      <c r="L58" s="560"/>
      <c r="M58" s="560"/>
      <c r="N58" s="560"/>
    </row>
    <row r="59" spans="1:32">
      <c r="A59" s="565" t="s">
        <v>350</v>
      </c>
      <c r="B59" s="535" t="s">
        <v>929</v>
      </c>
      <c r="D59" s="560"/>
      <c r="E59" s="560"/>
      <c r="F59" s="560"/>
      <c r="G59" s="560"/>
      <c r="H59" s="560"/>
      <c r="I59" s="560"/>
      <c r="J59" s="560"/>
      <c r="K59" s="560"/>
      <c r="L59" s="560"/>
      <c r="M59" s="560"/>
      <c r="N59" s="560"/>
    </row>
    <row r="60" spans="1:32">
      <c r="A60" s="565" t="s">
        <v>352</v>
      </c>
      <c r="B60" s="535" t="s">
        <v>930</v>
      </c>
      <c r="D60" s="560"/>
      <c r="E60" s="560"/>
      <c r="F60" s="560"/>
      <c r="G60" s="560"/>
      <c r="H60" s="560"/>
      <c r="I60" s="560"/>
      <c r="J60" s="560"/>
      <c r="K60" s="560"/>
      <c r="L60" s="560"/>
      <c r="M60" s="560"/>
      <c r="N60" s="560"/>
    </row>
    <row r="61" spans="1:32">
      <c r="A61" s="565" t="s">
        <v>354</v>
      </c>
      <c r="B61" s="536" t="s">
        <v>999</v>
      </c>
      <c r="D61" s="537"/>
      <c r="E61" s="537"/>
    </row>
    <row r="62" spans="1:32">
      <c r="D62" s="322"/>
      <c r="E62" s="322"/>
    </row>
    <row r="63" spans="1:32">
      <c r="D63" s="322"/>
      <c r="E63" s="322"/>
    </row>
    <row r="64" spans="1:32">
      <c r="D64" s="322"/>
      <c r="E64" s="322"/>
    </row>
    <row r="65" spans="2:24">
      <c r="D65" s="322"/>
      <c r="E65" s="322"/>
    </row>
    <row r="66" spans="2:24">
      <c r="D66" s="322"/>
      <c r="E66" s="322"/>
      <c r="O66" s="322"/>
      <c r="P66" s="322"/>
      <c r="Q66" s="322"/>
      <c r="R66" s="322"/>
      <c r="S66" s="322"/>
      <c r="T66" s="322"/>
      <c r="U66" s="322"/>
      <c r="V66" s="322"/>
      <c r="W66" s="322"/>
      <c r="X66" s="322"/>
    </row>
    <row r="67" spans="2:24">
      <c r="D67" s="322"/>
      <c r="E67" s="322"/>
    </row>
    <row r="68" spans="2:24">
      <c r="D68" s="322"/>
      <c r="E68" s="322"/>
    </row>
    <row r="69" spans="2:24">
      <c r="D69" s="322"/>
      <c r="E69" s="322"/>
    </row>
    <row r="70" spans="2:24">
      <c r="D70" s="322"/>
      <c r="E70" s="322"/>
    </row>
    <row r="71" spans="2:24">
      <c r="D71" s="322"/>
      <c r="E71" s="322"/>
    </row>
    <row r="72" spans="2:24">
      <c r="B72" s="535"/>
      <c r="D72" s="322"/>
      <c r="E72" s="322"/>
    </row>
    <row r="73" spans="2:24">
      <c r="D73" s="322"/>
      <c r="E73" s="322"/>
    </row>
    <row r="74" spans="2:24">
      <c r="B74" s="535"/>
      <c r="D74" s="322"/>
      <c r="E74" s="322"/>
    </row>
  </sheetData>
  <mergeCells count="13">
    <mergeCell ref="A1:I1"/>
    <mergeCell ref="J1:N1"/>
    <mergeCell ref="O1:U1"/>
    <mergeCell ref="X1:AD1"/>
    <mergeCell ref="O2:W2"/>
    <mergeCell ref="X2:AF2"/>
    <mergeCell ref="X5:AF5"/>
    <mergeCell ref="A2:N2"/>
    <mergeCell ref="A3:N3"/>
    <mergeCell ref="F5:N5"/>
    <mergeCell ref="O5:W5"/>
    <mergeCell ref="O3:W3"/>
    <mergeCell ref="X3:AF3"/>
  </mergeCells>
  <printOptions horizontalCentered="1"/>
  <pageMargins left="0.25" right="0.25" top="0.5" bottom="0.5" header="0.3" footer="0.3"/>
  <pageSetup scale="65" fitToWidth="2" fitToHeight="0" orientation="landscape" cellComments="asDisplayed" r:id="rId1"/>
  <headerFooter alignWithMargins="0"/>
  <colBreaks count="2" manualBreakCount="2">
    <brk id="14" max="60" man="1"/>
    <brk id="23" max="6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D8F0-CCF5-45DA-B1F9-F4C7F0610984}">
  <sheetPr>
    <pageSetUpPr fitToPage="1"/>
  </sheetPr>
  <dimension ref="A2:R92"/>
  <sheetViews>
    <sheetView view="pageBreakPreview" zoomScaleNormal="85" zoomScaleSheetLayoutView="100" workbookViewId="0"/>
  </sheetViews>
  <sheetFormatPr defaultColWidth="8.77734375" defaultRowHeight="15"/>
  <cols>
    <col min="1" max="1" width="5.88671875" style="618" bestFit="1" customWidth="1"/>
    <col min="2" max="2" width="47.77734375" style="618" customWidth="1"/>
    <col min="3" max="3" width="5.109375" style="618" bestFit="1" customWidth="1"/>
    <col min="4" max="4" width="17.6640625" style="618" bestFit="1" customWidth="1"/>
    <col min="5" max="13" width="10.44140625" style="618" customWidth="1"/>
    <col min="14" max="14" width="10.33203125" style="618" bestFit="1" customWidth="1"/>
    <col min="15" max="15" width="19.6640625" style="618" bestFit="1" customWidth="1"/>
    <col min="16" max="16" width="9.21875" style="618" bestFit="1" customWidth="1"/>
    <col min="17" max="17" width="8.77734375" style="618"/>
    <col min="18" max="18" width="9.21875" style="618" bestFit="1" customWidth="1"/>
    <col min="19" max="16384" width="8.77734375" style="618"/>
  </cols>
  <sheetData>
    <row r="2" spans="1:17">
      <c r="M2" s="619" t="s">
        <v>1093</v>
      </c>
    </row>
    <row r="3" spans="1:17">
      <c r="G3" s="620" t="s">
        <v>1173</v>
      </c>
    </row>
    <row r="4" spans="1:17">
      <c r="G4" s="621" t="s">
        <v>1094</v>
      </c>
    </row>
    <row r="5" spans="1:17">
      <c r="G5" s="622" t="s">
        <v>5</v>
      </c>
    </row>
    <row r="6" spans="1:17">
      <c r="G6" s="623" t="s">
        <v>1095</v>
      </c>
    </row>
    <row r="7" spans="1:17">
      <c r="G7" s="624"/>
    </row>
    <row r="8" spans="1:17">
      <c r="B8" s="625" t="s">
        <v>6</v>
      </c>
      <c r="C8" s="625" t="s">
        <v>7</v>
      </c>
      <c r="D8" s="625" t="s">
        <v>8</v>
      </c>
      <c r="E8" s="625" t="s">
        <v>10</v>
      </c>
      <c r="F8" s="625" t="s">
        <v>11</v>
      </c>
      <c r="G8" s="625">
        <v>-6</v>
      </c>
      <c r="H8" s="625" t="s">
        <v>1096</v>
      </c>
      <c r="I8" s="625" t="s">
        <v>1097</v>
      </c>
      <c r="J8" s="625" t="s">
        <v>1098</v>
      </c>
      <c r="K8" s="625" t="s">
        <v>1099</v>
      </c>
      <c r="L8" s="625" t="s">
        <v>1100</v>
      </c>
      <c r="M8" s="625" t="s">
        <v>1101</v>
      </c>
      <c r="N8" s="625" t="s">
        <v>1102</v>
      </c>
    </row>
    <row r="9" spans="1:17" ht="63.75">
      <c r="A9" s="626" t="s">
        <v>506</v>
      </c>
      <c r="B9" s="627" t="s">
        <v>1103</v>
      </c>
      <c r="C9" s="626" t="s">
        <v>348</v>
      </c>
      <c r="D9" s="626" t="s">
        <v>15</v>
      </c>
      <c r="E9" s="627"/>
      <c r="F9" s="628" t="s">
        <v>1104</v>
      </c>
      <c r="G9" s="628" t="s">
        <v>1105</v>
      </c>
      <c r="H9" s="628" t="s">
        <v>1106</v>
      </c>
      <c r="I9" s="626" t="s">
        <v>1107</v>
      </c>
      <c r="J9" s="626" t="s">
        <v>1108</v>
      </c>
      <c r="K9" s="628" t="s">
        <v>1109</v>
      </c>
      <c r="L9" s="628" t="s">
        <v>1110</v>
      </c>
      <c r="M9" s="628" t="s">
        <v>1111</v>
      </c>
      <c r="N9" s="628" t="s">
        <v>1112</v>
      </c>
    </row>
    <row r="10" spans="1:17">
      <c r="A10" s="629"/>
      <c r="B10" s="630" t="s">
        <v>336</v>
      </c>
      <c r="C10" s="630"/>
      <c r="D10" s="630"/>
      <c r="E10" s="630"/>
      <c r="F10" s="631" t="s">
        <v>337</v>
      </c>
      <c r="G10" s="631"/>
      <c r="H10" s="629" t="s">
        <v>338</v>
      </c>
      <c r="I10" s="631" t="s">
        <v>339</v>
      </c>
      <c r="J10" s="629" t="s">
        <v>671</v>
      </c>
      <c r="K10" s="629" t="s">
        <v>672</v>
      </c>
      <c r="L10" s="629" t="s">
        <v>674</v>
      </c>
      <c r="M10" s="629" t="s">
        <v>675</v>
      </c>
      <c r="N10" s="629"/>
    </row>
    <row r="11" spans="1:17">
      <c r="A11" s="632"/>
      <c r="B11" s="630"/>
      <c r="C11" s="630"/>
      <c r="D11" s="629"/>
      <c r="E11" s="630"/>
      <c r="F11" s="632"/>
      <c r="G11" s="632"/>
      <c r="H11" s="632"/>
      <c r="I11" s="632"/>
      <c r="J11" s="632"/>
      <c r="K11" s="632"/>
      <c r="L11" s="632"/>
      <c r="M11" s="632"/>
      <c r="N11" s="632"/>
    </row>
    <row r="12" spans="1:17">
      <c r="A12" s="629">
        <v>1</v>
      </c>
      <c r="B12" s="630" t="s">
        <v>1113</v>
      </c>
      <c r="C12" s="629" t="s">
        <v>810</v>
      </c>
      <c r="D12" s="631"/>
      <c r="E12" s="630"/>
      <c r="F12" s="633">
        <v>0.21</v>
      </c>
      <c r="G12" s="633">
        <v>0.21</v>
      </c>
      <c r="H12" s="633">
        <v>0.29599999999999999</v>
      </c>
      <c r="I12" s="633">
        <v>0.15</v>
      </c>
      <c r="J12" s="633">
        <v>0.21</v>
      </c>
      <c r="K12" s="633">
        <v>0.21</v>
      </c>
      <c r="L12" s="634">
        <v>0</v>
      </c>
      <c r="M12" s="629"/>
      <c r="N12" s="629"/>
    </row>
    <row r="13" spans="1:17">
      <c r="A13" s="629">
        <f>+A12+1</f>
        <v>2</v>
      </c>
      <c r="B13" s="630" t="s">
        <v>1114</v>
      </c>
      <c r="C13" s="631" t="s">
        <v>1115</v>
      </c>
      <c r="D13" s="631" t="s">
        <v>1116</v>
      </c>
      <c r="E13" s="630"/>
      <c r="F13" s="635">
        <f>+N45</f>
        <v>0.492091</v>
      </c>
      <c r="G13" s="635">
        <f>+N46</f>
        <v>0.13670680000000002</v>
      </c>
      <c r="H13" s="636">
        <f>+N47</f>
        <v>2.4800000000000001E-4</v>
      </c>
      <c r="I13" s="636">
        <f>+N48</f>
        <v>0</v>
      </c>
      <c r="J13" s="636">
        <f>+N49</f>
        <v>7.2159652E-4</v>
      </c>
      <c r="K13" s="636">
        <f>+N50</f>
        <v>9.1318395999999996E-2</v>
      </c>
      <c r="L13" s="636">
        <f>+N51</f>
        <v>0.27889132000000005</v>
      </c>
      <c r="M13" s="637"/>
      <c r="N13" s="637"/>
    </row>
    <row r="14" spans="1:17">
      <c r="A14" s="629">
        <f>+A13+1</f>
        <v>3</v>
      </c>
      <c r="B14" s="630" t="s">
        <v>1117</v>
      </c>
      <c r="C14" s="630"/>
      <c r="D14" s="631" t="str">
        <f>"(Line "&amp;A12&amp;" * Line "&amp;A13&amp;")"</f>
        <v>(Line 1 * Line 2)</v>
      </c>
      <c r="E14" s="630"/>
      <c r="F14" s="638">
        <f t="shared" ref="F14:L14" si="0">F12*F13</f>
        <v>0.10333911</v>
      </c>
      <c r="G14" s="638">
        <f t="shared" si="0"/>
        <v>2.8708428000000001E-2</v>
      </c>
      <c r="H14" s="638">
        <f t="shared" si="0"/>
        <v>7.3407999999999999E-5</v>
      </c>
      <c r="I14" s="638">
        <f t="shared" si="0"/>
        <v>0</v>
      </c>
      <c r="J14" s="638">
        <f t="shared" si="0"/>
        <v>1.515352692E-4</v>
      </c>
      <c r="K14" s="638">
        <f t="shared" si="0"/>
        <v>1.9176863159999998E-2</v>
      </c>
      <c r="L14" s="638">
        <f t="shared" si="0"/>
        <v>0</v>
      </c>
      <c r="M14" s="639">
        <f>SUM(F14:L14)</f>
        <v>0.15144934442919999</v>
      </c>
      <c r="N14" s="639"/>
      <c r="Q14" s="640"/>
    </row>
    <row r="15" spans="1:17">
      <c r="A15" s="629"/>
      <c r="B15" s="630"/>
      <c r="C15" s="630"/>
      <c r="D15" s="631"/>
      <c r="E15" s="630"/>
      <c r="F15" s="638"/>
      <c r="G15" s="638"/>
      <c r="H15" s="638"/>
      <c r="I15" s="638"/>
      <c r="J15" s="638"/>
      <c r="K15" s="638"/>
      <c r="L15" s="638"/>
      <c r="M15" s="629"/>
      <c r="N15" s="629"/>
    </row>
    <row r="16" spans="1:17">
      <c r="A16" s="629">
        <f>+A14+1</f>
        <v>4</v>
      </c>
      <c r="B16" s="630" t="s">
        <v>1118</v>
      </c>
      <c r="C16" s="629" t="s">
        <v>810</v>
      </c>
      <c r="D16" s="631" t="str">
        <f>"(Page 2, Col. "&amp;J84&amp;", Line "&amp;$A$91&amp;")"</f>
        <v>(Page 2, Col. (5), Line 6)</v>
      </c>
      <c r="E16" s="630"/>
      <c r="F16" s="638">
        <f>J91</f>
        <v>8.2875000000000004E-2</v>
      </c>
      <c r="G16" s="638">
        <f>J91</f>
        <v>8.2875000000000004E-2</v>
      </c>
      <c r="H16" s="634">
        <f>J91</f>
        <v>8.2875000000000004E-2</v>
      </c>
      <c r="I16" s="634">
        <f>J91</f>
        <v>8.2875000000000004E-2</v>
      </c>
      <c r="J16" s="638">
        <f>J91</f>
        <v>8.2875000000000004E-2</v>
      </c>
      <c r="K16" s="638">
        <f>J91</f>
        <v>8.2875000000000004E-2</v>
      </c>
      <c r="L16" s="638">
        <v>0</v>
      </c>
      <c r="M16" s="629"/>
      <c r="N16" s="629"/>
    </row>
    <row r="17" spans="1:17">
      <c r="A17" s="629">
        <f>+A16+1</f>
        <v>5</v>
      </c>
      <c r="B17" s="630" t="s">
        <v>1114</v>
      </c>
      <c r="C17" s="631" t="s">
        <v>1115</v>
      </c>
      <c r="D17" s="631" t="s">
        <v>1116</v>
      </c>
      <c r="E17" s="630"/>
      <c r="F17" s="636">
        <f>+N45</f>
        <v>0.492091</v>
      </c>
      <c r="G17" s="636">
        <f>N46</f>
        <v>0.13670680000000002</v>
      </c>
      <c r="H17" s="636">
        <f>+N47</f>
        <v>2.4800000000000001E-4</v>
      </c>
      <c r="I17" s="636">
        <f>+N48</f>
        <v>0</v>
      </c>
      <c r="J17" s="636">
        <f>+N49</f>
        <v>7.2159652E-4</v>
      </c>
      <c r="K17" s="636">
        <f>+N50</f>
        <v>9.1318395999999996E-2</v>
      </c>
      <c r="L17" s="636">
        <f>+N51</f>
        <v>0.27889132000000005</v>
      </c>
      <c r="M17" s="637"/>
      <c r="N17" s="637"/>
    </row>
    <row r="18" spans="1:17">
      <c r="A18" s="629">
        <f>+A17+1</f>
        <v>6</v>
      </c>
      <c r="B18" s="630" t="s">
        <v>1119</v>
      </c>
      <c r="C18" s="630"/>
      <c r="D18" s="631" t="str">
        <f>"(Line "&amp;A16&amp;" * Line "&amp;A17&amp;")"</f>
        <v>(Line 4 * Line 5)</v>
      </c>
      <c r="E18" s="630"/>
      <c r="F18" s="638">
        <f t="shared" ref="F18:L18" si="1">F16*F17</f>
        <v>4.0782041625000001E-2</v>
      </c>
      <c r="G18" s="638">
        <f t="shared" si="1"/>
        <v>1.1329576050000002E-2</v>
      </c>
      <c r="H18" s="638">
        <f t="shared" si="1"/>
        <v>2.0553000000000001E-5</v>
      </c>
      <c r="I18" s="638">
        <f t="shared" si="1"/>
        <v>0</v>
      </c>
      <c r="J18" s="638">
        <f t="shared" si="1"/>
        <v>5.9802311595000007E-5</v>
      </c>
      <c r="K18" s="638">
        <f t="shared" si="1"/>
        <v>7.5680120684999998E-3</v>
      </c>
      <c r="L18" s="638">
        <f t="shared" si="1"/>
        <v>0</v>
      </c>
      <c r="M18" s="639">
        <f>SUM(F18:L18)</f>
        <v>5.9759985055095E-2</v>
      </c>
      <c r="N18" s="639"/>
      <c r="Q18" s="640"/>
    </row>
    <row r="19" spans="1:17">
      <c r="A19" s="629"/>
      <c r="B19" s="630"/>
      <c r="C19" s="630"/>
      <c r="D19" s="631"/>
      <c r="E19" s="630"/>
      <c r="F19" s="638"/>
      <c r="G19" s="638"/>
      <c r="H19" s="638"/>
      <c r="I19" s="638"/>
      <c r="J19" s="638"/>
      <c r="K19" s="638"/>
      <c r="L19" s="638"/>
      <c r="M19" s="629"/>
      <c r="N19" s="629"/>
    </row>
    <row r="20" spans="1:17">
      <c r="A20" s="629">
        <f>+A18+1</f>
        <v>7</v>
      </c>
      <c r="B20" s="630" t="s">
        <v>1120</v>
      </c>
      <c r="C20" s="629" t="s">
        <v>812</v>
      </c>
      <c r="D20" s="631" t="s">
        <v>1121</v>
      </c>
      <c r="E20" s="630"/>
      <c r="F20" s="638">
        <f>$L$91</f>
        <v>0</v>
      </c>
      <c r="G20" s="638">
        <f t="shared" ref="G20:K20" si="2">$L$91</f>
        <v>0</v>
      </c>
      <c r="H20" s="638">
        <f t="shared" si="2"/>
        <v>0</v>
      </c>
      <c r="I20" s="638">
        <f t="shared" si="2"/>
        <v>0</v>
      </c>
      <c r="J20" s="638">
        <f t="shared" si="2"/>
        <v>0</v>
      </c>
      <c r="K20" s="638">
        <f t="shared" si="2"/>
        <v>0</v>
      </c>
      <c r="L20" s="638">
        <v>0</v>
      </c>
      <c r="M20" s="629"/>
      <c r="N20" s="629"/>
    </row>
    <row r="21" spans="1:17">
      <c r="A21" s="629">
        <f>+A20+1</f>
        <v>8</v>
      </c>
      <c r="B21" s="630" t="s">
        <v>1114</v>
      </c>
      <c r="C21" s="631" t="s">
        <v>1115</v>
      </c>
      <c r="D21" s="631" t="s">
        <v>1116</v>
      </c>
      <c r="E21" s="630"/>
      <c r="F21" s="636">
        <f>+N45</f>
        <v>0.492091</v>
      </c>
      <c r="G21" s="636">
        <f>+N46</f>
        <v>0.13670680000000002</v>
      </c>
      <c r="H21" s="636">
        <f>+N47</f>
        <v>2.4800000000000001E-4</v>
      </c>
      <c r="I21" s="636">
        <f>+N48</f>
        <v>0</v>
      </c>
      <c r="J21" s="636">
        <f>+N49</f>
        <v>7.2159652E-4</v>
      </c>
      <c r="K21" s="636">
        <f>+N50</f>
        <v>9.1318395999999996E-2</v>
      </c>
      <c r="L21" s="636">
        <f>+N51</f>
        <v>0.27889132000000005</v>
      </c>
      <c r="M21" s="637"/>
      <c r="N21" s="637"/>
    </row>
    <row r="22" spans="1:17">
      <c r="A22" s="629">
        <f>+A21+1</f>
        <v>9</v>
      </c>
      <c r="B22" s="630" t="s">
        <v>1122</v>
      </c>
      <c r="C22" s="630"/>
      <c r="D22" s="631" t="str">
        <f>"(Line "&amp;A20&amp;" * Line "&amp;A21&amp;")"</f>
        <v>(Line 7 * Line 8)</v>
      </c>
      <c r="E22" s="630"/>
      <c r="F22" s="638">
        <f t="shared" ref="F22:L22" si="3">F20*F21</f>
        <v>0</v>
      </c>
      <c r="G22" s="638">
        <f t="shared" si="3"/>
        <v>0</v>
      </c>
      <c r="H22" s="638">
        <f t="shared" si="3"/>
        <v>0</v>
      </c>
      <c r="I22" s="638">
        <f t="shared" si="3"/>
        <v>0</v>
      </c>
      <c r="J22" s="638">
        <f t="shared" si="3"/>
        <v>0</v>
      </c>
      <c r="K22" s="638">
        <f t="shared" si="3"/>
        <v>0</v>
      </c>
      <c r="L22" s="638">
        <f t="shared" si="3"/>
        <v>0</v>
      </c>
      <c r="M22" s="639">
        <f>SUM(F22:L22)</f>
        <v>0</v>
      </c>
      <c r="N22" s="639"/>
    </row>
    <row r="23" spans="1:17">
      <c r="A23" s="629"/>
      <c r="B23" s="630"/>
      <c r="C23" s="630"/>
      <c r="D23" s="631"/>
      <c r="E23" s="630"/>
      <c r="F23" s="632"/>
      <c r="G23" s="632"/>
      <c r="H23" s="632"/>
      <c r="I23" s="632"/>
      <c r="J23" s="632"/>
      <c r="K23" s="632"/>
      <c r="L23" s="632"/>
      <c r="N23" s="632"/>
    </row>
    <row r="24" spans="1:17">
      <c r="A24" s="629">
        <f>+A22+1</f>
        <v>10</v>
      </c>
      <c r="B24" s="630" t="s">
        <v>1123</v>
      </c>
      <c r="C24" s="629" t="s">
        <v>1115</v>
      </c>
      <c r="D24" s="631" t="s">
        <v>1124</v>
      </c>
      <c r="E24" s="630"/>
      <c r="F24" s="638">
        <f>K57</f>
        <v>0.49175686385782946</v>
      </c>
      <c r="G24" s="638">
        <f>K58</f>
        <v>0.13661397431783864</v>
      </c>
      <c r="H24" s="638">
        <f>K59</f>
        <v>9.2684451535845244E-4</v>
      </c>
      <c r="I24" s="638">
        <f>K60</f>
        <v>0</v>
      </c>
      <c r="J24" s="638">
        <f>K61</f>
        <v>7.2110654664670469E-4</v>
      </c>
      <c r="K24" s="638">
        <f>K62</f>
        <v>9.1256389630144347E-2</v>
      </c>
      <c r="L24" s="638">
        <f>K63</f>
        <v>0.27870194919307684</v>
      </c>
      <c r="N24" s="639">
        <f>+SUM(F24:L24)</f>
        <v>0.99997712806089445</v>
      </c>
    </row>
    <row r="25" spans="1:17">
      <c r="A25" s="629"/>
      <c r="B25" s="630"/>
      <c r="C25" s="630"/>
      <c r="D25" s="631"/>
      <c r="E25" s="630"/>
      <c r="F25" s="638"/>
      <c r="G25" s="638"/>
      <c r="H25" s="638"/>
      <c r="I25" s="638"/>
      <c r="J25" s="638"/>
      <c r="K25" s="638"/>
      <c r="L25" s="641"/>
      <c r="M25" s="639"/>
      <c r="N25" s="639"/>
    </row>
    <row r="26" spans="1:17">
      <c r="A26" s="629">
        <f>+A24+1</f>
        <v>11</v>
      </c>
      <c r="B26" s="630" t="s">
        <v>1125</v>
      </c>
      <c r="C26" s="629" t="s">
        <v>1126</v>
      </c>
      <c r="D26" s="631" t="str">
        <f>"(Line "&amp;A24&amp;", Col. "&amp;N8&amp;" - Col. "&amp;L8&amp;")"</f>
        <v>(Line 10, Col. (13) - Col. (11))</v>
      </c>
      <c r="E26" s="630"/>
      <c r="F26" s="638"/>
      <c r="G26" s="638"/>
      <c r="H26" s="638"/>
      <c r="I26" s="638"/>
      <c r="J26" s="638"/>
      <c r="K26" s="638"/>
      <c r="L26" s="641"/>
      <c r="M26" s="639"/>
      <c r="N26" s="642">
        <f>N24-L24</f>
        <v>0.72127517886781756</v>
      </c>
    </row>
    <row r="27" spans="1:17">
      <c r="A27" s="629"/>
      <c r="B27" s="630"/>
      <c r="C27" s="630"/>
      <c r="D27" s="631"/>
      <c r="E27" s="630"/>
      <c r="F27" s="638"/>
      <c r="G27" s="638"/>
      <c r="H27" s="638"/>
      <c r="I27" s="638"/>
      <c r="J27" s="638"/>
      <c r="K27" s="638"/>
      <c r="L27" s="638"/>
      <c r="M27" s="632"/>
      <c r="N27" s="632"/>
    </row>
    <row r="28" spans="1:17">
      <c r="A28" s="629">
        <f>+A26+1</f>
        <v>12</v>
      </c>
      <c r="B28" s="630" t="s">
        <v>1127</v>
      </c>
      <c r="C28" s="630"/>
      <c r="D28" s="631" t="str">
        <f>"@ ITA = "&amp;MROUND(N26*100,0.01)&amp;"%"</f>
        <v>@ ITA = 72.13%</v>
      </c>
      <c r="E28" s="630"/>
      <c r="F28" s="638">
        <f>+F18*(1-F14)+F14-(F22*F14)</f>
        <v>0.13990677173948954</v>
      </c>
      <c r="G28" s="638">
        <f>+G18*(1-G14)+G14-(G22*G14)</f>
        <v>3.9712749731698055E-2</v>
      </c>
      <c r="H28" s="638">
        <f>+H18*(1-H14)+H14-(H22*H14)</f>
        <v>9.3959491245376001E-5</v>
      </c>
      <c r="I28" s="638">
        <f t="shared" ref="I28:L28" si="4">+I18*(1-I14)+I14-(I22*I14)</f>
        <v>0</v>
      </c>
      <c r="J28" s="638">
        <f t="shared" si="4"/>
        <v>2.1132851863561367E-4</v>
      </c>
      <c r="K28" s="638">
        <f t="shared" si="4"/>
        <v>2.6599744496669145E-2</v>
      </c>
      <c r="L28" s="638">
        <f t="shared" si="4"/>
        <v>0</v>
      </c>
      <c r="M28" s="643">
        <f>SUM(F28:L28)</f>
        <v>0.20652455397773772</v>
      </c>
      <c r="N28" s="643"/>
      <c r="O28" s="638"/>
      <c r="Q28" s="640"/>
    </row>
    <row r="29" spans="1:17">
      <c r="A29" s="629"/>
      <c r="B29" s="630"/>
      <c r="C29" s="630"/>
      <c r="D29" s="631"/>
      <c r="E29" s="630"/>
      <c r="F29" s="632"/>
      <c r="G29" s="632"/>
      <c r="H29" s="632"/>
      <c r="I29" s="632"/>
      <c r="J29" s="632"/>
      <c r="K29" s="632"/>
      <c r="L29" s="632"/>
      <c r="M29" s="632"/>
      <c r="P29" s="640"/>
    </row>
    <row r="30" spans="1:17">
      <c r="A30" s="632"/>
      <c r="B30" s="632"/>
      <c r="C30" s="632"/>
      <c r="D30" s="631"/>
      <c r="E30" s="632"/>
      <c r="F30" s="632"/>
      <c r="G30" s="632"/>
      <c r="H30" s="632"/>
      <c r="I30" s="632"/>
      <c r="J30" s="632"/>
      <c r="K30" s="632"/>
      <c r="L30" s="632"/>
      <c r="M30" s="632"/>
    </row>
    <row r="31" spans="1:17">
      <c r="A31" s="632"/>
      <c r="B31" s="632"/>
      <c r="C31" s="632"/>
      <c r="D31" s="631"/>
      <c r="E31" s="632"/>
      <c r="F31" s="632"/>
      <c r="G31" s="632"/>
      <c r="H31" s="632"/>
      <c r="I31" s="632"/>
      <c r="J31" s="632"/>
      <c r="K31" s="632"/>
      <c r="L31" s="632"/>
      <c r="M31" s="632"/>
    </row>
    <row r="32" spans="1:17">
      <c r="A32" s="629">
        <f>+A28+1</f>
        <v>13</v>
      </c>
      <c r="B32" s="632" t="s">
        <v>1128</v>
      </c>
      <c r="C32" s="632" t="s">
        <v>1129</v>
      </c>
      <c r="D32" s="631"/>
      <c r="E32" s="632"/>
      <c r="F32" s="635">
        <v>0.496</v>
      </c>
      <c r="G32" s="635">
        <v>0.46200000000000002</v>
      </c>
      <c r="H32" s="635">
        <v>4.0000000000000001E-3</v>
      </c>
      <c r="I32" s="635">
        <v>1.9E-2</v>
      </c>
      <c r="J32" s="635">
        <v>1.9E-2</v>
      </c>
      <c r="L32" s="632"/>
      <c r="M32" s="632"/>
      <c r="N32" s="639">
        <f>SUM(F32:J32)</f>
        <v>1</v>
      </c>
    </row>
    <row r="33" spans="1:18">
      <c r="A33" s="632"/>
      <c r="B33" s="632" t="s">
        <v>1130</v>
      </c>
      <c r="C33" s="632" t="s">
        <v>1129</v>
      </c>
      <c r="D33" s="631"/>
      <c r="E33" s="629"/>
      <c r="F33" s="644" t="s">
        <v>1131</v>
      </c>
      <c r="G33" s="644" t="s">
        <v>1132</v>
      </c>
      <c r="H33" s="644" t="s">
        <v>1133</v>
      </c>
      <c r="I33" s="644" t="s">
        <v>1134</v>
      </c>
      <c r="J33" s="644" t="s">
        <v>1135</v>
      </c>
      <c r="L33" s="632"/>
      <c r="M33" s="632"/>
      <c r="N33" s="632"/>
    </row>
    <row r="34" spans="1:18">
      <c r="A34" s="629">
        <f>+A32+1</f>
        <v>14</v>
      </c>
      <c r="B34" s="645" t="s">
        <v>1104</v>
      </c>
      <c r="C34" s="632" t="s">
        <v>1129</v>
      </c>
      <c r="D34" s="631"/>
      <c r="E34" s="632"/>
      <c r="F34" s="634">
        <v>0.50319999999999998</v>
      </c>
      <c r="G34" s="634">
        <v>0.52490000000000003</v>
      </c>
      <c r="H34" s="634">
        <v>0</v>
      </c>
      <c r="I34" s="634">
        <v>0</v>
      </c>
      <c r="J34" s="634">
        <v>0</v>
      </c>
      <c r="L34" s="632"/>
      <c r="M34" s="632"/>
      <c r="N34" s="639">
        <f t="shared" ref="N34:N40" si="5">SUM(F34:J34)/5</f>
        <v>0.20562</v>
      </c>
    </row>
    <row r="35" spans="1:18">
      <c r="A35" s="629">
        <f>+A34+1</f>
        <v>15</v>
      </c>
      <c r="B35" s="645" t="s">
        <v>1105</v>
      </c>
      <c r="C35" s="632" t="s">
        <v>1129</v>
      </c>
      <c r="D35" s="631"/>
      <c r="E35" s="632"/>
      <c r="F35" s="634">
        <v>9.9099999999999994E-2</v>
      </c>
      <c r="G35" s="634">
        <v>9.8599999999999993E-2</v>
      </c>
      <c r="H35" s="634">
        <v>1</v>
      </c>
      <c r="I35" s="634">
        <v>1</v>
      </c>
      <c r="J35" s="634">
        <v>1</v>
      </c>
      <c r="L35" s="632"/>
      <c r="M35" s="632"/>
      <c r="N35" s="639">
        <f t="shared" si="5"/>
        <v>0.63954</v>
      </c>
    </row>
    <row r="36" spans="1:18">
      <c r="A36" s="629">
        <f t="shared" ref="A36:A66" si="6">+A35+1</f>
        <v>16</v>
      </c>
      <c r="B36" s="645" t="s">
        <v>1106</v>
      </c>
      <c r="C36" s="632" t="s">
        <v>1129</v>
      </c>
      <c r="D36" s="631"/>
      <c r="E36" s="632"/>
      <c r="F36" s="634">
        <v>5.0000000000000001E-4</v>
      </c>
      <c r="G36" s="634">
        <v>0</v>
      </c>
      <c r="H36" s="634">
        <v>0</v>
      </c>
      <c r="I36" s="634">
        <v>0</v>
      </c>
      <c r="J36" s="634">
        <v>0</v>
      </c>
      <c r="L36" s="632"/>
      <c r="M36" s="632"/>
      <c r="N36" s="639">
        <f t="shared" si="5"/>
        <v>1E-4</v>
      </c>
    </row>
    <row r="37" spans="1:18">
      <c r="A37" s="629">
        <f t="shared" si="6"/>
        <v>17</v>
      </c>
      <c r="B37" s="645" t="s">
        <v>1107</v>
      </c>
      <c r="C37" s="632" t="s">
        <v>1129</v>
      </c>
      <c r="D37" s="631"/>
      <c r="E37" s="632"/>
      <c r="F37" s="634">
        <v>0</v>
      </c>
      <c r="G37" s="634">
        <v>0</v>
      </c>
      <c r="H37" s="634">
        <v>0</v>
      </c>
      <c r="I37" s="634">
        <v>0</v>
      </c>
      <c r="J37" s="634">
        <v>0</v>
      </c>
      <c r="L37" s="632"/>
      <c r="M37" s="632"/>
      <c r="N37" s="639">
        <f t="shared" si="5"/>
        <v>0</v>
      </c>
    </row>
    <row r="38" spans="1:18">
      <c r="A38" s="629">
        <f t="shared" si="6"/>
        <v>18</v>
      </c>
      <c r="B38" s="645" t="s">
        <v>1108</v>
      </c>
      <c r="C38" s="632" t="s">
        <v>1129</v>
      </c>
      <c r="D38" s="631"/>
      <c r="E38" s="632"/>
      <c r="F38" s="634">
        <v>4.0000000000000002E-4</v>
      </c>
      <c r="G38" s="634">
        <v>1.1324600000000001E-3</v>
      </c>
      <c r="H38" s="634">
        <v>0</v>
      </c>
      <c r="I38" s="634">
        <v>0</v>
      </c>
      <c r="J38" s="634">
        <v>0</v>
      </c>
      <c r="L38" s="632"/>
      <c r="M38" s="632"/>
      <c r="N38" s="639">
        <f t="shared" si="5"/>
        <v>3.0649200000000001E-4</v>
      </c>
    </row>
    <row r="39" spans="1:18">
      <c r="A39" s="629">
        <f t="shared" si="6"/>
        <v>19</v>
      </c>
      <c r="B39" s="645" t="s">
        <v>1109</v>
      </c>
      <c r="C39" s="632" t="s">
        <v>1129</v>
      </c>
      <c r="D39" s="631"/>
      <c r="E39" s="632"/>
      <c r="F39" s="634">
        <v>8.2900000000000001E-2</v>
      </c>
      <c r="G39" s="634">
        <v>0.108658</v>
      </c>
      <c r="H39" s="634">
        <v>0</v>
      </c>
      <c r="I39" s="634">
        <v>0</v>
      </c>
      <c r="J39" s="634">
        <v>0</v>
      </c>
      <c r="L39" s="632"/>
      <c r="M39" s="632"/>
      <c r="N39" s="639">
        <f t="shared" si="5"/>
        <v>3.8311600000000001E-2</v>
      </c>
      <c r="O39" s="646"/>
      <c r="Q39" s="640"/>
      <c r="R39" s="640"/>
    </row>
    <row r="40" spans="1:18">
      <c r="A40" s="629">
        <f t="shared" si="6"/>
        <v>20</v>
      </c>
      <c r="B40" s="645" t="s">
        <v>1110</v>
      </c>
      <c r="C40" s="632" t="s">
        <v>1129</v>
      </c>
      <c r="D40" s="631"/>
      <c r="E40" s="632"/>
      <c r="F40" s="635">
        <v>0.31390000000000001</v>
      </c>
      <c r="G40" s="635">
        <v>0.26666000000000001</v>
      </c>
      <c r="H40" s="635">
        <v>0</v>
      </c>
      <c r="I40" s="635">
        <v>0</v>
      </c>
      <c r="J40" s="635">
        <v>0</v>
      </c>
      <c r="K40" s="647"/>
      <c r="L40" s="648"/>
      <c r="M40" s="648"/>
      <c r="N40" s="649">
        <f t="shared" si="5"/>
        <v>0.11611199999999999</v>
      </c>
      <c r="O40" s="646"/>
    </row>
    <row r="41" spans="1:18">
      <c r="A41" s="629">
        <f t="shared" si="6"/>
        <v>21</v>
      </c>
      <c r="B41" s="632"/>
      <c r="C41" s="632"/>
      <c r="D41" s="631"/>
      <c r="E41" s="632"/>
      <c r="F41" s="638">
        <f t="shared" ref="F41:J41" si="7">SUM(F34:F40)</f>
        <v>0.99999999999999978</v>
      </c>
      <c r="G41" s="638">
        <f t="shared" si="7"/>
        <v>0.9999504600000001</v>
      </c>
      <c r="H41" s="638">
        <f t="shared" si="7"/>
        <v>1</v>
      </c>
      <c r="I41" s="638">
        <f t="shared" si="7"/>
        <v>1</v>
      </c>
      <c r="J41" s="638">
        <f t="shared" si="7"/>
        <v>1</v>
      </c>
      <c r="L41" s="632"/>
      <c r="M41" s="632"/>
      <c r="N41" s="638">
        <f>SUM(N34:N40)</f>
        <v>0.999990092</v>
      </c>
    </row>
    <row r="42" spans="1:18">
      <c r="A42" s="629">
        <f t="shared" si="6"/>
        <v>22</v>
      </c>
      <c r="B42" s="632"/>
      <c r="C42" s="632"/>
      <c r="D42" s="631"/>
      <c r="E42" s="632"/>
      <c r="F42" s="650"/>
      <c r="G42" s="650"/>
      <c r="H42" s="650"/>
      <c r="I42" s="650"/>
      <c r="J42" s="650"/>
      <c r="K42" s="650"/>
      <c r="L42" s="650"/>
      <c r="M42" s="650"/>
      <c r="N42" s="639"/>
    </row>
    <row r="43" spans="1:18">
      <c r="A43" s="629">
        <f t="shared" si="6"/>
        <v>23</v>
      </c>
      <c r="B43" s="632"/>
      <c r="C43" s="632"/>
      <c r="D43" s="631"/>
      <c r="E43" s="632"/>
      <c r="F43" s="792" t="s">
        <v>304</v>
      </c>
      <c r="G43" s="792"/>
      <c r="H43" s="792"/>
      <c r="I43" s="792"/>
      <c r="J43" s="792"/>
      <c r="K43" s="651"/>
      <c r="L43" s="651"/>
      <c r="M43" s="651"/>
      <c r="N43" s="643"/>
    </row>
    <row r="44" spans="1:18">
      <c r="A44" s="629">
        <f t="shared" si="6"/>
        <v>24</v>
      </c>
      <c r="B44" s="632" t="s">
        <v>1136</v>
      </c>
      <c r="C44" s="632"/>
      <c r="D44" s="631"/>
      <c r="E44" s="629"/>
      <c r="F44" s="643" t="s">
        <v>1131</v>
      </c>
      <c r="G44" s="644" t="s">
        <v>1132</v>
      </c>
      <c r="H44" s="643" t="s">
        <v>1133</v>
      </c>
      <c r="I44" s="643" t="s">
        <v>1134</v>
      </c>
      <c r="J44" s="643" t="s">
        <v>1135</v>
      </c>
      <c r="K44" s="650"/>
      <c r="L44" s="632"/>
      <c r="M44" s="632"/>
      <c r="N44" s="629"/>
      <c r="Q44" s="640"/>
      <c r="R44" s="652"/>
    </row>
    <row r="45" spans="1:18">
      <c r="A45" s="629">
        <f t="shared" si="6"/>
        <v>25</v>
      </c>
      <c r="B45" s="645" t="s">
        <v>1104</v>
      </c>
      <c r="C45" s="632"/>
      <c r="D45" s="631" t="str">
        <f t="shared" ref="D45:D51" si="8">"(Line "&amp;A$32&amp;" * Line "&amp;A34&amp;")"</f>
        <v>(Line 13 * Line 14)</v>
      </c>
      <c r="E45" s="632"/>
      <c r="F45" s="638">
        <f t="shared" ref="F45:J51" si="9">+F$32*F34</f>
        <v>0.24958719999999998</v>
      </c>
      <c r="G45" s="638">
        <f t="shared" si="9"/>
        <v>0.24250380000000002</v>
      </c>
      <c r="H45" s="638">
        <f t="shared" si="9"/>
        <v>0</v>
      </c>
      <c r="I45" s="638">
        <f t="shared" si="9"/>
        <v>0</v>
      </c>
      <c r="J45" s="638">
        <f t="shared" si="9"/>
        <v>0</v>
      </c>
      <c r="L45" s="632"/>
      <c r="M45" s="632"/>
      <c r="N45" s="639">
        <f t="shared" ref="N45:N51" si="10">SUM(F45:J45)</f>
        <v>0.492091</v>
      </c>
      <c r="O45" s="653"/>
    </row>
    <row r="46" spans="1:18">
      <c r="A46" s="629">
        <f t="shared" si="6"/>
        <v>26</v>
      </c>
      <c r="B46" s="645" t="s">
        <v>1105</v>
      </c>
      <c r="C46" s="632"/>
      <c r="D46" s="631" t="str">
        <f t="shared" si="8"/>
        <v>(Line 13 * Line 15)</v>
      </c>
      <c r="E46" s="632"/>
      <c r="F46" s="638">
        <f t="shared" si="9"/>
        <v>4.9153599999999999E-2</v>
      </c>
      <c r="G46" s="638">
        <f t="shared" si="9"/>
        <v>4.5553200000000002E-2</v>
      </c>
      <c r="H46" s="638">
        <f t="shared" si="9"/>
        <v>4.0000000000000001E-3</v>
      </c>
      <c r="I46" s="638">
        <f t="shared" si="9"/>
        <v>1.9E-2</v>
      </c>
      <c r="J46" s="638">
        <f t="shared" si="9"/>
        <v>1.9E-2</v>
      </c>
      <c r="L46" s="632"/>
      <c r="M46" s="632"/>
      <c r="N46" s="639">
        <f t="shared" si="10"/>
        <v>0.13670680000000002</v>
      </c>
      <c r="O46" s="653"/>
    </row>
    <row r="47" spans="1:18">
      <c r="A47" s="629">
        <f t="shared" si="6"/>
        <v>27</v>
      </c>
      <c r="B47" s="645" t="s">
        <v>1106</v>
      </c>
      <c r="C47" s="632"/>
      <c r="D47" s="631" t="str">
        <f t="shared" si="8"/>
        <v>(Line 13 * Line 16)</v>
      </c>
      <c r="E47" s="632"/>
      <c r="F47" s="638">
        <f t="shared" si="9"/>
        <v>2.4800000000000001E-4</v>
      </c>
      <c r="G47" s="638">
        <f t="shared" si="9"/>
        <v>0</v>
      </c>
      <c r="H47" s="638">
        <f t="shared" si="9"/>
        <v>0</v>
      </c>
      <c r="I47" s="638">
        <f t="shared" si="9"/>
        <v>0</v>
      </c>
      <c r="J47" s="638">
        <f t="shared" si="9"/>
        <v>0</v>
      </c>
      <c r="L47" s="632"/>
      <c r="M47" s="632"/>
      <c r="N47" s="639">
        <f t="shared" si="10"/>
        <v>2.4800000000000001E-4</v>
      </c>
    </row>
    <row r="48" spans="1:18">
      <c r="A48" s="629">
        <f t="shared" si="6"/>
        <v>28</v>
      </c>
      <c r="B48" s="645" t="s">
        <v>1107</v>
      </c>
      <c r="C48" s="632"/>
      <c r="D48" s="631" t="str">
        <f t="shared" si="8"/>
        <v>(Line 13 * Line 17)</v>
      </c>
      <c r="E48" s="632"/>
      <c r="F48" s="638">
        <f t="shared" si="9"/>
        <v>0</v>
      </c>
      <c r="G48" s="638">
        <f t="shared" si="9"/>
        <v>0</v>
      </c>
      <c r="H48" s="638">
        <f t="shared" si="9"/>
        <v>0</v>
      </c>
      <c r="I48" s="638">
        <f t="shared" si="9"/>
        <v>0</v>
      </c>
      <c r="J48" s="638">
        <f t="shared" si="9"/>
        <v>0</v>
      </c>
      <c r="L48" s="632"/>
      <c r="M48" s="632"/>
      <c r="N48" s="639">
        <f t="shared" si="10"/>
        <v>0</v>
      </c>
    </row>
    <row r="49" spans="1:18">
      <c r="A49" s="629">
        <f t="shared" si="6"/>
        <v>29</v>
      </c>
      <c r="B49" s="645" t="s">
        <v>1108</v>
      </c>
      <c r="C49" s="632"/>
      <c r="D49" s="631" t="str">
        <f t="shared" si="8"/>
        <v>(Line 13 * Line 18)</v>
      </c>
      <c r="E49" s="632"/>
      <c r="F49" s="638">
        <f t="shared" si="9"/>
        <v>1.984E-4</v>
      </c>
      <c r="G49" s="638">
        <f t="shared" si="9"/>
        <v>5.2319652000000006E-4</v>
      </c>
      <c r="H49" s="638">
        <f t="shared" si="9"/>
        <v>0</v>
      </c>
      <c r="I49" s="638">
        <f t="shared" si="9"/>
        <v>0</v>
      </c>
      <c r="J49" s="638">
        <f t="shared" si="9"/>
        <v>0</v>
      </c>
      <c r="L49" s="632"/>
      <c r="M49" s="632"/>
      <c r="N49" s="639">
        <f t="shared" si="10"/>
        <v>7.2159652E-4</v>
      </c>
    </row>
    <row r="50" spans="1:18">
      <c r="A50" s="629">
        <f t="shared" si="6"/>
        <v>30</v>
      </c>
      <c r="B50" s="645" t="s">
        <v>1109</v>
      </c>
      <c r="C50" s="632"/>
      <c r="D50" s="631" t="str">
        <f t="shared" si="8"/>
        <v>(Line 13 * Line 19)</v>
      </c>
      <c r="E50" s="632"/>
      <c r="F50" s="638">
        <f t="shared" si="9"/>
        <v>4.1118399999999999E-2</v>
      </c>
      <c r="G50" s="638">
        <f t="shared" si="9"/>
        <v>5.0199996000000004E-2</v>
      </c>
      <c r="H50" s="638">
        <f t="shared" si="9"/>
        <v>0</v>
      </c>
      <c r="I50" s="638">
        <f t="shared" si="9"/>
        <v>0</v>
      </c>
      <c r="J50" s="638">
        <f t="shared" si="9"/>
        <v>0</v>
      </c>
      <c r="L50" s="650"/>
      <c r="M50" s="650"/>
      <c r="N50" s="639">
        <f t="shared" si="10"/>
        <v>9.1318395999999996E-2</v>
      </c>
      <c r="O50" s="646"/>
      <c r="Q50" s="640"/>
      <c r="R50" s="654"/>
    </row>
    <row r="51" spans="1:18">
      <c r="A51" s="629">
        <f t="shared" si="6"/>
        <v>31</v>
      </c>
      <c r="B51" s="645" t="s">
        <v>1110</v>
      </c>
      <c r="C51" s="632"/>
      <c r="D51" s="631" t="str">
        <f t="shared" si="8"/>
        <v>(Line 13 * Line 20)</v>
      </c>
      <c r="E51" s="632"/>
      <c r="F51" s="636">
        <f t="shared" si="9"/>
        <v>0.15569440000000001</v>
      </c>
      <c r="G51" s="636">
        <f t="shared" si="9"/>
        <v>0.12319692000000002</v>
      </c>
      <c r="H51" s="636">
        <f t="shared" si="9"/>
        <v>0</v>
      </c>
      <c r="I51" s="636">
        <f t="shared" si="9"/>
        <v>0</v>
      </c>
      <c r="J51" s="636">
        <f t="shared" si="9"/>
        <v>0</v>
      </c>
      <c r="K51" s="647"/>
      <c r="L51" s="648"/>
      <c r="M51" s="648"/>
      <c r="N51" s="649">
        <f t="shared" si="10"/>
        <v>0.27889132000000005</v>
      </c>
      <c r="O51" s="655"/>
    </row>
    <row r="52" spans="1:18">
      <c r="A52" s="629">
        <f t="shared" si="6"/>
        <v>32</v>
      </c>
      <c r="B52" s="632"/>
      <c r="C52" s="632"/>
      <c r="D52" s="632"/>
      <c r="E52" s="632"/>
      <c r="F52" s="639">
        <f t="shared" ref="F52:J52" si="11">SUM(F45:F51)</f>
        <v>0.496</v>
      </c>
      <c r="G52" s="639">
        <f t="shared" si="11"/>
        <v>0.46197711252000007</v>
      </c>
      <c r="H52" s="639">
        <f t="shared" si="11"/>
        <v>4.0000000000000001E-3</v>
      </c>
      <c r="I52" s="639">
        <f t="shared" si="11"/>
        <v>1.9E-2</v>
      </c>
      <c r="J52" s="639">
        <f t="shared" si="11"/>
        <v>1.9E-2</v>
      </c>
      <c r="L52" s="632"/>
      <c r="M52" s="632"/>
      <c r="N52" s="639">
        <f>SUM(N45:N51)</f>
        <v>0.99997711252000021</v>
      </c>
      <c r="O52" s="653"/>
    </row>
    <row r="53" spans="1:18">
      <c r="A53" s="629">
        <f t="shared" si="6"/>
        <v>33</v>
      </c>
      <c r="B53" s="632"/>
      <c r="C53" s="632"/>
      <c r="D53" s="632"/>
      <c r="E53" s="632"/>
      <c r="F53" s="632"/>
      <c r="G53" s="632"/>
      <c r="H53" s="632"/>
      <c r="I53" s="632"/>
      <c r="J53" s="632"/>
      <c r="K53" s="632"/>
      <c r="L53" s="632"/>
      <c r="M53" s="632"/>
    </row>
    <row r="54" spans="1:18">
      <c r="A54" s="629">
        <f t="shared" si="6"/>
        <v>34</v>
      </c>
      <c r="B54" s="632"/>
      <c r="C54" s="632"/>
      <c r="D54" s="632"/>
      <c r="E54" s="632"/>
      <c r="F54" s="632"/>
      <c r="G54" s="632"/>
      <c r="H54" s="632"/>
      <c r="I54" s="632"/>
      <c r="J54" s="632"/>
      <c r="K54" s="632"/>
      <c r="L54" s="632"/>
      <c r="M54" s="632"/>
    </row>
    <row r="55" spans="1:18" ht="51">
      <c r="A55" s="629">
        <f t="shared" si="6"/>
        <v>35</v>
      </c>
      <c r="B55" s="632"/>
      <c r="C55" s="632"/>
      <c r="D55" s="632"/>
      <c r="E55" s="656"/>
      <c r="F55" s="656"/>
      <c r="G55" s="657" t="s">
        <v>1137</v>
      </c>
      <c r="H55" s="632"/>
      <c r="I55" s="658"/>
      <c r="J55" s="657" t="s">
        <v>1138</v>
      </c>
      <c r="K55" s="657" t="s">
        <v>1139</v>
      </c>
      <c r="L55" s="632"/>
      <c r="M55" s="632"/>
    </row>
    <row r="56" spans="1:18">
      <c r="A56" s="629">
        <f t="shared" si="6"/>
        <v>36</v>
      </c>
      <c r="B56" s="632"/>
      <c r="C56" s="632"/>
      <c r="D56" s="632"/>
      <c r="E56" s="632"/>
      <c r="F56" s="632"/>
      <c r="G56" s="632"/>
      <c r="H56" s="632"/>
      <c r="K56" s="632"/>
      <c r="L56" s="632"/>
      <c r="M56" s="632"/>
    </row>
    <row r="57" spans="1:18">
      <c r="A57" s="629">
        <f t="shared" si="6"/>
        <v>37</v>
      </c>
      <c r="B57" s="659"/>
      <c r="C57" s="632"/>
      <c r="D57" s="632"/>
      <c r="E57" s="632"/>
      <c r="F57" s="660" t="s">
        <v>1104</v>
      </c>
      <c r="G57" s="639">
        <f t="shared" ref="G57:G63" si="12">N45</f>
        <v>0.492091</v>
      </c>
      <c r="H57" s="632"/>
      <c r="I57" s="660" t="s">
        <v>1140</v>
      </c>
      <c r="J57" s="634">
        <f t="shared" ref="J57:J63" si="13">G57*$J$64</f>
        <v>0.49175686385782946</v>
      </c>
      <c r="K57" s="634">
        <f>+J57</f>
        <v>0.49175686385782946</v>
      </c>
      <c r="L57" s="629"/>
      <c r="M57" s="632"/>
      <c r="N57" s="654"/>
      <c r="O57" s="646"/>
    </row>
    <row r="58" spans="1:18">
      <c r="A58" s="629">
        <f t="shared" si="6"/>
        <v>38</v>
      </c>
      <c r="B58" s="659"/>
      <c r="C58" s="632"/>
      <c r="D58" s="632"/>
      <c r="E58" s="632"/>
      <c r="F58" s="660" t="s">
        <v>1105</v>
      </c>
      <c r="G58" s="639">
        <f t="shared" si="12"/>
        <v>0.13670680000000002</v>
      </c>
      <c r="H58" s="632"/>
      <c r="I58" s="660" t="s">
        <v>1105</v>
      </c>
      <c r="J58" s="634">
        <f t="shared" si="13"/>
        <v>0.13661397431783864</v>
      </c>
      <c r="K58" s="634">
        <f>+J58</f>
        <v>0.13661397431783864</v>
      </c>
      <c r="L58" s="629"/>
      <c r="M58" s="632"/>
      <c r="N58" s="654"/>
      <c r="O58" s="646"/>
    </row>
    <row r="59" spans="1:18">
      <c r="A59" s="629">
        <f t="shared" si="6"/>
        <v>39</v>
      </c>
      <c r="B59" s="632"/>
      <c r="C59" s="632"/>
      <c r="D59" s="632"/>
      <c r="E59" s="632"/>
      <c r="F59" s="660" t="s">
        <v>1106</v>
      </c>
      <c r="G59" s="639">
        <f t="shared" si="12"/>
        <v>2.4800000000000001E-4</v>
      </c>
      <c r="H59" s="632"/>
      <c r="I59" s="660" t="s">
        <v>1141</v>
      </c>
      <c r="J59" s="634">
        <f t="shared" si="13"/>
        <v>2.4783160479818105E-4</v>
      </c>
      <c r="K59" s="634">
        <f>+J59+J65</f>
        <v>9.2684451535845244E-4</v>
      </c>
      <c r="L59" s="629"/>
      <c r="M59" s="632"/>
    </row>
    <row r="60" spans="1:18">
      <c r="A60" s="629">
        <f t="shared" si="6"/>
        <v>40</v>
      </c>
      <c r="B60" s="632"/>
      <c r="C60" s="632"/>
      <c r="D60" s="632"/>
      <c r="E60" s="632"/>
      <c r="F60" s="660" t="s">
        <v>1107</v>
      </c>
      <c r="G60" s="639">
        <f t="shared" si="12"/>
        <v>0</v>
      </c>
      <c r="H60" s="632"/>
      <c r="I60" s="660" t="s">
        <v>1142</v>
      </c>
      <c r="J60" s="634">
        <f t="shared" si="13"/>
        <v>0</v>
      </c>
      <c r="K60" s="634">
        <f>+J60</f>
        <v>0</v>
      </c>
      <c r="L60" s="629"/>
      <c r="M60" s="632"/>
    </row>
    <row r="61" spans="1:18">
      <c r="A61" s="629">
        <f t="shared" si="6"/>
        <v>41</v>
      </c>
      <c r="B61" s="632"/>
      <c r="C61" s="632"/>
      <c r="D61" s="632"/>
      <c r="E61" s="632"/>
      <c r="F61" s="660" t="s">
        <v>1108</v>
      </c>
      <c r="G61" s="639">
        <f t="shared" si="12"/>
        <v>7.2159652E-4</v>
      </c>
      <c r="H61" s="632"/>
      <c r="I61" s="660" t="s">
        <v>1108</v>
      </c>
      <c r="J61" s="634">
        <f t="shared" si="13"/>
        <v>7.2110654664670469E-4</v>
      </c>
      <c r="K61" s="634">
        <f>+J61</f>
        <v>7.2110654664670469E-4</v>
      </c>
      <c r="L61" s="629"/>
      <c r="M61" s="632"/>
    </row>
    <row r="62" spans="1:18">
      <c r="A62" s="629">
        <f t="shared" si="6"/>
        <v>42</v>
      </c>
      <c r="B62" s="632"/>
      <c r="C62" s="632"/>
      <c r="D62" s="632"/>
      <c r="E62" s="632"/>
      <c r="F62" s="660" t="s">
        <v>1109</v>
      </c>
      <c r="G62" s="639">
        <f t="shared" si="12"/>
        <v>9.1318395999999996E-2</v>
      </c>
      <c r="H62" s="632"/>
      <c r="I62" s="660" t="s">
        <v>1143</v>
      </c>
      <c r="J62" s="634">
        <f t="shared" si="13"/>
        <v>9.1256389630144347E-2</v>
      </c>
      <c r="K62" s="634">
        <f>+J62</f>
        <v>9.1256389630144347E-2</v>
      </c>
      <c r="L62" s="629"/>
      <c r="M62" s="632"/>
    </row>
    <row r="63" spans="1:18">
      <c r="A63" s="629">
        <f t="shared" si="6"/>
        <v>43</v>
      </c>
      <c r="B63" s="632"/>
      <c r="C63" s="632"/>
      <c r="D63" s="632"/>
      <c r="E63" s="632"/>
      <c r="F63" s="660" t="s">
        <v>1110</v>
      </c>
      <c r="G63" s="649">
        <f t="shared" si="12"/>
        <v>0.27889132000000005</v>
      </c>
      <c r="H63" s="632"/>
      <c r="I63" s="660" t="s">
        <v>1144</v>
      </c>
      <c r="J63" s="634">
        <f t="shared" si="13"/>
        <v>0.27870194919307684</v>
      </c>
      <c r="K63" s="635">
        <f>+J63</f>
        <v>0.27870194919307684</v>
      </c>
      <c r="L63" s="629"/>
      <c r="M63" s="632"/>
    </row>
    <row r="64" spans="1:18">
      <c r="A64" s="629">
        <f t="shared" si="6"/>
        <v>44</v>
      </c>
      <c r="B64" s="632"/>
      <c r="C64" s="632"/>
      <c r="D64" s="632"/>
      <c r="E64" s="632"/>
      <c r="F64" s="632"/>
      <c r="G64" s="639">
        <f>SUM(G57:G63)</f>
        <v>0.99997711252000021</v>
      </c>
      <c r="I64" s="660" t="s">
        <v>1145</v>
      </c>
      <c r="J64" s="661">
        <v>0.99932098708943973</v>
      </c>
      <c r="K64" s="639">
        <f>SUM(K57:K63)</f>
        <v>0.99997712806089445</v>
      </c>
    </row>
    <row r="65" spans="1:13">
      <c r="A65" s="629">
        <f t="shared" si="6"/>
        <v>45</v>
      </c>
      <c r="B65" s="632"/>
      <c r="C65" s="632"/>
      <c r="D65" s="632"/>
      <c r="E65" s="632"/>
      <c r="F65" s="632"/>
      <c r="G65" s="662"/>
      <c r="H65" s="632"/>
      <c r="I65" s="660" t="s">
        <v>1146</v>
      </c>
      <c r="J65" s="649">
        <v>6.7901291056027139E-4</v>
      </c>
      <c r="K65" s="663"/>
      <c r="L65" s="663"/>
    </row>
    <row r="66" spans="1:13">
      <c r="A66" s="629">
        <f t="shared" si="6"/>
        <v>46</v>
      </c>
      <c r="B66" s="632"/>
      <c r="C66" s="632"/>
      <c r="D66" s="632"/>
      <c r="E66" s="632"/>
      <c r="F66" s="632"/>
      <c r="G66" s="662"/>
      <c r="H66" s="632"/>
      <c r="I66" s="660"/>
      <c r="J66" s="639">
        <f>SUM(J57:J63,J65)</f>
        <v>0.99997712806089445</v>
      </c>
      <c r="K66" s="663"/>
      <c r="L66" s="663"/>
    </row>
    <row r="67" spans="1:13">
      <c r="A67" s="629"/>
    </row>
    <row r="68" spans="1:13">
      <c r="A68" s="629" t="s">
        <v>735</v>
      </c>
      <c r="B68" s="630"/>
      <c r="C68" s="630"/>
      <c r="D68" s="630"/>
      <c r="E68" s="630"/>
      <c r="F68" s="632"/>
      <c r="G68" s="632"/>
      <c r="H68" s="632"/>
      <c r="I68" s="632"/>
      <c r="J68" s="632"/>
      <c r="K68" s="632"/>
      <c r="L68" s="664"/>
      <c r="M68" s="664"/>
    </row>
    <row r="69" spans="1:13">
      <c r="A69" s="629" t="s">
        <v>350</v>
      </c>
      <c r="B69" s="632" t="s">
        <v>1147</v>
      </c>
      <c r="C69" s="632"/>
      <c r="D69" s="639"/>
      <c r="E69" s="632"/>
      <c r="F69" s="632"/>
      <c r="G69" s="632"/>
      <c r="H69" s="632"/>
      <c r="I69" s="632"/>
      <c r="J69" s="632"/>
      <c r="K69" s="632"/>
      <c r="L69" s="664"/>
      <c r="M69" s="664"/>
    </row>
    <row r="70" spans="1:13">
      <c r="A70" s="629"/>
      <c r="B70" s="632" t="s">
        <v>1148</v>
      </c>
      <c r="C70" s="632"/>
      <c r="D70" s="639"/>
      <c r="E70" s="632"/>
      <c r="F70" s="632"/>
      <c r="G70" s="632"/>
      <c r="H70" s="632"/>
      <c r="I70" s="632"/>
      <c r="J70" s="632"/>
    </row>
    <row r="71" spans="1:13">
      <c r="A71" s="629" t="s">
        <v>352</v>
      </c>
      <c r="B71" s="630" t="s">
        <v>1149</v>
      </c>
      <c r="C71" s="632"/>
      <c r="D71" s="632"/>
      <c r="E71" s="632"/>
      <c r="F71" s="632"/>
      <c r="G71" s="632"/>
      <c r="H71" s="632"/>
      <c r="I71" s="632"/>
      <c r="J71" s="632"/>
    </row>
    <row r="72" spans="1:13">
      <c r="A72" s="629" t="s">
        <v>354</v>
      </c>
      <c r="B72" s="632" t="s">
        <v>1150</v>
      </c>
      <c r="C72" s="630"/>
      <c r="D72" s="630"/>
      <c r="E72" s="630"/>
      <c r="F72" s="632"/>
      <c r="G72" s="632"/>
      <c r="H72" s="632"/>
      <c r="I72" s="632"/>
      <c r="J72" s="632"/>
    </row>
    <row r="73" spans="1:13">
      <c r="A73" s="629" t="s">
        <v>356</v>
      </c>
      <c r="B73" s="665" t="s">
        <v>1151</v>
      </c>
    </row>
    <row r="74" spans="1:13" ht="15" customHeight="1">
      <c r="A74" s="629" t="s">
        <v>357</v>
      </c>
      <c r="B74" s="665" t="s">
        <v>1152</v>
      </c>
    </row>
    <row r="75" spans="1:13">
      <c r="A75" s="629" t="s">
        <v>359</v>
      </c>
      <c r="B75" s="665" t="s">
        <v>1153</v>
      </c>
    </row>
    <row r="76" spans="1:13">
      <c r="M76" s="619" t="s">
        <v>717</v>
      </c>
    </row>
    <row r="78" spans="1:13">
      <c r="G78" s="621" t="str">
        <f>G3</f>
        <v>Attachment 10</v>
      </c>
    </row>
    <row r="79" spans="1:13">
      <c r="G79" s="621" t="str">
        <f>G4</f>
        <v>Income Tax Allowance</v>
      </c>
    </row>
    <row r="80" spans="1:13">
      <c r="G80" s="622" t="str">
        <f>G5</f>
        <v>GridLiance Heartland LLC</v>
      </c>
    </row>
    <row r="83" spans="1:13">
      <c r="A83" s="666"/>
      <c r="B83" s="667"/>
      <c r="C83" s="667"/>
      <c r="D83" s="667"/>
      <c r="E83" s="667"/>
      <c r="F83" s="667"/>
      <c r="G83" s="667"/>
      <c r="H83" s="667"/>
      <c r="I83" s="667"/>
      <c r="J83" s="667"/>
      <c r="K83" s="667"/>
      <c r="L83" s="667"/>
      <c r="M83" s="668"/>
    </row>
    <row r="84" spans="1:13">
      <c r="A84" s="665"/>
      <c r="B84" s="625" t="s">
        <v>6</v>
      </c>
      <c r="D84" s="625" t="s">
        <v>7</v>
      </c>
      <c r="F84" s="625" t="s">
        <v>8</v>
      </c>
      <c r="H84" s="625" t="s">
        <v>10</v>
      </c>
      <c r="J84" s="625" t="s">
        <v>11</v>
      </c>
      <c r="L84" s="625" t="s">
        <v>1154</v>
      </c>
      <c r="M84" s="669"/>
    </row>
    <row r="85" spans="1:13" ht="63.75">
      <c r="A85" s="670" t="s">
        <v>506</v>
      </c>
      <c r="B85" s="671" t="s">
        <v>1155</v>
      </c>
      <c r="C85" s="672"/>
      <c r="D85" s="673" t="s">
        <v>1156</v>
      </c>
      <c r="E85" s="672"/>
      <c r="F85" s="673" t="s">
        <v>1157</v>
      </c>
      <c r="G85" s="674"/>
      <c r="H85" s="673" t="s">
        <v>1158</v>
      </c>
      <c r="I85" s="674"/>
      <c r="J85" s="673" t="s">
        <v>1159</v>
      </c>
      <c r="K85" s="674"/>
      <c r="L85" s="673" t="s">
        <v>1160</v>
      </c>
      <c r="M85" s="675"/>
    </row>
    <row r="86" spans="1:13">
      <c r="A86" s="676">
        <v>1</v>
      </c>
      <c r="B86" s="677" t="s">
        <v>1161</v>
      </c>
      <c r="C86" s="678"/>
      <c r="D86" s="633">
        <v>0.51500000000000001</v>
      </c>
      <c r="E86" s="679"/>
      <c r="F86" s="633">
        <v>9.5000000000000001E-2</v>
      </c>
      <c r="G86" s="679"/>
      <c r="H86" s="633">
        <v>0</v>
      </c>
      <c r="I86" s="679"/>
      <c r="J86" s="638">
        <f>D86*F86</f>
        <v>4.8925000000000003E-2</v>
      </c>
      <c r="K86" s="638"/>
      <c r="L86" s="638">
        <f>D86*H86</f>
        <v>0</v>
      </c>
      <c r="M86" s="680"/>
    </row>
    <row r="87" spans="1:13">
      <c r="A87" s="676">
        <f>+A86+1</f>
        <v>2</v>
      </c>
      <c r="B87" s="677" t="s">
        <v>1162</v>
      </c>
      <c r="C87" s="678"/>
      <c r="D87" s="633">
        <v>0.48499999999999999</v>
      </c>
      <c r="E87" s="679"/>
      <c r="F87" s="633">
        <v>6.9999999999999993E-2</v>
      </c>
      <c r="G87" s="679"/>
      <c r="H87" s="633">
        <v>0</v>
      </c>
      <c r="I87" s="679"/>
      <c r="J87" s="638">
        <f>D87*F87</f>
        <v>3.3949999999999994E-2</v>
      </c>
      <c r="K87" s="638"/>
      <c r="L87" s="638">
        <f>D87*H87</f>
        <v>0</v>
      </c>
      <c r="M87" s="680"/>
    </row>
    <row r="88" spans="1:13">
      <c r="A88" s="676">
        <f>+A87+1</f>
        <v>3</v>
      </c>
      <c r="B88" s="677" t="s">
        <v>1163</v>
      </c>
      <c r="C88" s="678"/>
      <c r="D88" s="633">
        <v>0</v>
      </c>
      <c r="E88" s="679"/>
      <c r="F88" s="633">
        <v>0</v>
      </c>
      <c r="G88" s="679"/>
      <c r="H88" s="633">
        <v>0</v>
      </c>
      <c r="I88" s="679"/>
      <c r="J88" s="638">
        <f>D88*F88</f>
        <v>0</v>
      </c>
      <c r="K88" s="638"/>
      <c r="L88" s="638">
        <f>D88*H88</f>
        <v>0</v>
      </c>
      <c r="M88" s="680"/>
    </row>
    <row r="89" spans="1:13">
      <c r="A89" s="676">
        <f>+A88+1</f>
        <v>4</v>
      </c>
      <c r="B89" s="677" t="s">
        <v>1164</v>
      </c>
      <c r="C89" s="678"/>
      <c r="D89" s="633">
        <v>0</v>
      </c>
      <c r="E89" s="679"/>
      <c r="F89" s="633">
        <v>0</v>
      </c>
      <c r="G89" s="679"/>
      <c r="H89" s="633">
        <v>0</v>
      </c>
      <c r="I89" s="679"/>
      <c r="J89" s="638">
        <f>D89*F89</f>
        <v>0</v>
      </c>
      <c r="K89" s="638"/>
      <c r="L89" s="638">
        <f>D89*H89</f>
        <v>0</v>
      </c>
      <c r="M89" s="680"/>
    </row>
    <row r="90" spans="1:13">
      <c r="A90" s="681">
        <f>+A89+1</f>
        <v>5</v>
      </c>
      <c r="B90" s="682" t="s">
        <v>1165</v>
      </c>
      <c r="C90" s="683"/>
      <c r="D90" s="684">
        <v>0</v>
      </c>
      <c r="E90" s="674"/>
      <c r="F90" s="684">
        <v>0</v>
      </c>
      <c r="G90" s="674"/>
      <c r="H90" s="684">
        <v>0</v>
      </c>
      <c r="I90" s="674"/>
      <c r="J90" s="638">
        <f>D90*F90</f>
        <v>0</v>
      </c>
      <c r="K90" s="638"/>
      <c r="L90" s="638">
        <f>D90*H90</f>
        <v>0</v>
      </c>
      <c r="M90" s="680"/>
    </row>
    <row r="91" spans="1:13">
      <c r="A91" s="676">
        <f>+A90+1</f>
        <v>6</v>
      </c>
      <c r="B91" s="685" t="s">
        <v>1166</v>
      </c>
      <c r="C91" s="678"/>
      <c r="D91" s="679"/>
      <c r="E91" s="679"/>
      <c r="F91" s="679"/>
      <c r="G91" s="679"/>
      <c r="H91" s="679"/>
      <c r="I91" s="679"/>
      <c r="J91" s="661">
        <f>SUM(J86:J90)</f>
        <v>8.2875000000000004E-2</v>
      </c>
      <c r="K91" s="686"/>
      <c r="L91" s="686">
        <f>SUM(L86:L90)</f>
        <v>0</v>
      </c>
      <c r="M91" s="687"/>
    </row>
    <row r="92" spans="1:13" ht="15.75">
      <c r="A92" s="688"/>
      <c r="B92" s="689"/>
      <c r="C92" s="689"/>
      <c r="D92" s="689"/>
      <c r="E92" s="689"/>
      <c r="F92" s="689"/>
      <c r="G92" s="689"/>
      <c r="H92" s="689"/>
      <c r="I92" s="689"/>
      <c r="J92" s="690"/>
      <c r="K92" s="690"/>
      <c r="L92" s="690"/>
      <c r="M92" s="690"/>
    </row>
  </sheetData>
  <mergeCells count="1">
    <mergeCell ref="F43:J43"/>
  </mergeCells>
  <pageMargins left="0.25" right="0.25" top="0.75" bottom="0.75" header="0.3" footer="0.3"/>
  <pageSetup scale="4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F700D-10D2-495A-A490-FADFE42894D3}">
  <sheetPr>
    <pageSetUpPr fitToPage="1"/>
  </sheetPr>
  <dimension ref="A2:R92"/>
  <sheetViews>
    <sheetView view="pageBreakPreview" zoomScaleNormal="100" zoomScaleSheetLayoutView="100" workbookViewId="0"/>
  </sheetViews>
  <sheetFormatPr defaultColWidth="8.77734375" defaultRowHeight="15"/>
  <cols>
    <col min="1" max="1" width="5.88671875" style="618" bestFit="1" customWidth="1"/>
    <col min="2" max="2" width="47.77734375" style="618" customWidth="1"/>
    <col min="3" max="3" width="5.109375" style="618" bestFit="1" customWidth="1"/>
    <col min="4" max="4" width="17.6640625" style="618" bestFit="1" customWidth="1"/>
    <col min="5" max="13" width="10.44140625" style="618" customWidth="1"/>
    <col min="14" max="14" width="10.33203125" style="618" bestFit="1" customWidth="1"/>
    <col min="15" max="15" width="19.6640625" style="618" bestFit="1" customWidth="1"/>
    <col min="16" max="16" width="9.21875" style="618" bestFit="1" customWidth="1"/>
    <col min="17" max="17" width="8.77734375" style="618"/>
    <col min="18" max="18" width="9.21875" style="618" bestFit="1" customWidth="1"/>
    <col min="19" max="16384" width="8.77734375" style="618"/>
  </cols>
  <sheetData>
    <row r="2" spans="1:17">
      <c r="M2" s="619" t="s">
        <v>1093</v>
      </c>
    </row>
    <row r="3" spans="1:17">
      <c r="G3" s="620" t="s">
        <v>1172</v>
      </c>
    </row>
    <row r="4" spans="1:17">
      <c r="G4" s="621" t="s">
        <v>1167</v>
      </c>
    </row>
    <row r="5" spans="1:17">
      <c r="G5" s="622" t="s">
        <v>5</v>
      </c>
    </row>
    <row r="6" spans="1:17">
      <c r="G6" s="623" t="s">
        <v>1168</v>
      </c>
    </row>
    <row r="7" spans="1:17">
      <c r="G7" s="624"/>
    </row>
    <row r="8" spans="1:17">
      <c r="B8" s="625" t="s">
        <v>6</v>
      </c>
      <c r="C8" s="625" t="s">
        <v>7</v>
      </c>
      <c r="D8" s="625" t="s">
        <v>8</v>
      </c>
      <c r="E8" s="625" t="s">
        <v>10</v>
      </c>
      <c r="F8" s="625" t="s">
        <v>11</v>
      </c>
      <c r="G8" s="625">
        <v>-6</v>
      </c>
      <c r="H8" s="625" t="s">
        <v>1096</v>
      </c>
      <c r="I8" s="625" t="s">
        <v>1097</v>
      </c>
      <c r="J8" s="625" t="s">
        <v>1098</v>
      </c>
      <c r="K8" s="625" t="s">
        <v>1099</v>
      </c>
      <c r="L8" s="625" t="s">
        <v>1100</v>
      </c>
      <c r="M8" s="625" t="s">
        <v>1101</v>
      </c>
      <c r="N8" s="625" t="s">
        <v>1102</v>
      </c>
    </row>
    <row r="9" spans="1:17" ht="63.75">
      <c r="A9" s="626" t="s">
        <v>506</v>
      </c>
      <c r="B9" s="627" t="s">
        <v>1103</v>
      </c>
      <c r="C9" s="626" t="s">
        <v>348</v>
      </c>
      <c r="D9" s="626" t="s">
        <v>15</v>
      </c>
      <c r="E9" s="627"/>
      <c r="F9" s="628" t="s">
        <v>1104</v>
      </c>
      <c r="G9" s="628" t="s">
        <v>1105</v>
      </c>
      <c r="H9" s="628" t="s">
        <v>1106</v>
      </c>
      <c r="I9" s="626" t="s">
        <v>1107</v>
      </c>
      <c r="J9" s="626" t="s">
        <v>1108</v>
      </c>
      <c r="K9" s="628" t="s">
        <v>1109</v>
      </c>
      <c r="L9" s="628" t="s">
        <v>1110</v>
      </c>
      <c r="M9" s="628" t="s">
        <v>1111</v>
      </c>
      <c r="N9" s="628" t="s">
        <v>1112</v>
      </c>
    </row>
    <row r="10" spans="1:17">
      <c r="A10" s="629"/>
      <c r="B10" s="630" t="s">
        <v>336</v>
      </c>
      <c r="C10" s="630"/>
      <c r="D10" s="630"/>
      <c r="E10" s="630"/>
      <c r="F10" s="631" t="s">
        <v>337</v>
      </c>
      <c r="G10" s="631"/>
      <c r="H10" s="629" t="s">
        <v>338</v>
      </c>
      <c r="I10" s="631" t="s">
        <v>339</v>
      </c>
      <c r="J10" s="629" t="s">
        <v>671</v>
      </c>
      <c r="K10" s="629" t="s">
        <v>672</v>
      </c>
      <c r="L10" s="629" t="s">
        <v>674</v>
      </c>
      <c r="M10" s="629" t="s">
        <v>675</v>
      </c>
      <c r="N10" s="629"/>
    </row>
    <row r="11" spans="1:17">
      <c r="A11" s="632"/>
      <c r="B11" s="630"/>
      <c r="C11" s="630"/>
      <c r="D11" s="629"/>
      <c r="E11" s="630"/>
      <c r="F11" s="632"/>
      <c r="G11" s="632"/>
      <c r="H11" s="632"/>
      <c r="I11" s="632"/>
      <c r="J11" s="632"/>
      <c r="K11" s="632"/>
      <c r="L11" s="632"/>
      <c r="M11" s="632"/>
      <c r="N11" s="632"/>
    </row>
    <row r="12" spans="1:17">
      <c r="A12" s="629">
        <v>1</v>
      </c>
      <c r="B12" s="630" t="s">
        <v>1113</v>
      </c>
      <c r="C12" s="629" t="s">
        <v>810</v>
      </c>
      <c r="D12" s="631"/>
      <c r="E12" s="630"/>
      <c r="F12" s="796">
        <v>0.21</v>
      </c>
      <c r="G12" s="796">
        <v>0.21</v>
      </c>
      <c r="H12" s="796">
        <v>0.29599999999999999</v>
      </c>
      <c r="I12" s="796">
        <v>0.15</v>
      </c>
      <c r="J12" s="796">
        <v>0.21</v>
      </c>
      <c r="K12" s="796">
        <v>0.21</v>
      </c>
      <c r="L12" s="634">
        <v>0</v>
      </c>
      <c r="M12" s="629"/>
      <c r="N12" s="629"/>
    </row>
    <row r="13" spans="1:17">
      <c r="A13" s="629">
        <f>+A12+1</f>
        <v>2</v>
      </c>
      <c r="B13" s="630" t="s">
        <v>1114</v>
      </c>
      <c r="C13" s="631" t="s">
        <v>1115</v>
      </c>
      <c r="D13" s="631" t="s">
        <v>1116</v>
      </c>
      <c r="E13" s="630"/>
      <c r="F13" s="635">
        <f>+N45</f>
        <v>0.492091</v>
      </c>
      <c r="G13" s="635">
        <f>+N46</f>
        <v>0.13670680000000002</v>
      </c>
      <c r="H13" s="636">
        <f>+N47</f>
        <v>2.4800000000000001E-4</v>
      </c>
      <c r="I13" s="636">
        <f>+N48</f>
        <v>0</v>
      </c>
      <c r="J13" s="636">
        <f>+N49</f>
        <v>7.2159652E-4</v>
      </c>
      <c r="K13" s="636">
        <f>+N50</f>
        <v>9.1318395999999996E-2</v>
      </c>
      <c r="L13" s="635">
        <f>+N51</f>
        <v>0.27889132000000005</v>
      </c>
      <c r="M13" s="637"/>
      <c r="N13" s="637"/>
    </row>
    <row r="14" spans="1:17">
      <c r="A14" s="629">
        <f>+A13+1</f>
        <v>3</v>
      </c>
      <c r="B14" s="630" t="s">
        <v>1117</v>
      </c>
      <c r="C14" s="630"/>
      <c r="D14" s="631" t="str">
        <f>"(Line "&amp;A12&amp;" * Line "&amp;A13&amp;")"</f>
        <v>(Line 1 * Line 2)</v>
      </c>
      <c r="E14" s="630"/>
      <c r="F14" s="638">
        <f t="shared" ref="F14:L14" si="0">F12*F13</f>
        <v>0.10333911</v>
      </c>
      <c r="G14" s="638">
        <f t="shared" si="0"/>
        <v>2.8708428000000001E-2</v>
      </c>
      <c r="H14" s="638">
        <f t="shared" si="0"/>
        <v>7.3407999999999999E-5</v>
      </c>
      <c r="I14" s="638">
        <f t="shared" si="0"/>
        <v>0</v>
      </c>
      <c r="J14" s="638">
        <f t="shared" si="0"/>
        <v>1.515352692E-4</v>
      </c>
      <c r="K14" s="638">
        <f t="shared" si="0"/>
        <v>1.9176863159999998E-2</v>
      </c>
      <c r="L14" s="638">
        <f t="shared" si="0"/>
        <v>0</v>
      </c>
      <c r="M14" s="639">
        <f>SUM(F14:L14)</f>
        <v>0.15144934442919999</v>
      </c>
      <c r="N14" s="639"/>
      <c r="Q14" s="640"/>
    </row>
    <row r="15" spans="1:17">
      <c r="A15" s="629"/>
      <c r="B15" s="630"/>
      <c r="C15" s="630"/>
      <c r="D15" s="631"/>
      <c r="E15" s="630"/>
      <c r="F15" s="638"/>
      <c r="G15" s="638"/>
      <c r="H15" s="638"/>
      <c r="I15" s="638"/>
      <c r="J15" s="638"/>
      <c r="K15" s="638"/>
      <c r="L15" s="638"/>
      <c r="M15" s="629"/>
      <c r="N15" s="629"/>
    </row>
    <row r="16" spans="1:17">
      <c r="A16" s="629">
        <f>+A14+1</f>
        <v>4</v>
      </c>
      <c r="B16" s="630" t="s">
        <v>1118</v>
      </c>
      <c r="C16" s="629" t="s">
        <v>810</v>
      </c>
      <c r="D16" s="631" t="str">
        <f>"(Page 2, Col. "&amp;J84&amp;", Line "&amp;$A$91&amp;")"</f>
        <v>(Page 2, Col. (5), Line 6)</v>
      </c>
      <c r="E16" s="630"/>
      <c r="F16" s="638">
        <f>J91</f>
        <v>8.2875000000000004E-2</v>
      </c>
      <c r="G16" s="638">
        <f>J91</f>
        <v>8.2875000000000004E-2</v>
      </c>
      <c r="H16" s="634">
        <f>J91</f>
        <v>8.2875000000000004E-2</v>
      </c>
      <c r="I16" s="634">
        <f>J91</f>
        <v>8.2875000000000004E-2</v>
      </c>
      <c r="J16" s="638">
        <f>J91</f>
        <v>8.2875000000000004E-2</v>
      </c>
      <c r="K16" s="638">
        <f>J91</f>
        <v>8.2875000000000004E-2</v>
      </c>
      <c r="L16" s="638">
        <v>0</v>
      </c>
      <c r="M16" s="629"/>
      <c r="N16" s="629"/>
    </row>
    <row r="17" spans="1:17">
      <c r="A17" s="629">
        <f>+A16+1</f>
        <v>5</v>
      </c>
      <c r="B17" s="630" t="s">
        <v>1114</v>
      </c>
      <c r="C17" s="631" t="s">
        <v>1115</v>
      </c>
      <c r="D17" s="631" t="s">
        <v>1116</v>
      </c>
      <c r="E17" s="630"/>
      <c r="F17" s="636">
        <f>+N45</f>
        <v>0.492091</v>
      </c>
      <c r="G17" s="636">
        <f>+N46</f>
        <v>0.13670680000000002</v>
      </c>
      <c r="H17" s="636">
        <f>+N47</f>
        <v>2.4800000000000001E-4</v>
      </c>
      <c r="I17" s="636">
        <f>+N48</f>
        <v>0</v>
      </c>
      <c r="J17" s="636">
        <f>+N49</f>
        <v>7.2159652E-4</v>
      </c>
      <c r="K17" s="636">
        <f>+N50</f>
        <v>9.1318395999999996E-2</v>
      </c>
      <c r="L17" s="636">
        <f>+N51</f>
        <v>0.27889132000000005</v>
      </c>
      <c r="M17" s="637"/>
      <c r="N17" s="637"/>
    </row>
    <row r="18" spans="1:17">
      <c r="A18" s="629">
        <f>+A17+1</f>
        <v>6</v>
      </c>
      <c r="B18" s="630" t="s">
        <v>1119</v>
      </c>
      <c r="C18" s="630"/>
      <c r="D18" s="631" t="str">
        <f>"(Line "&amp;A16&amp;" * Line "&amp;A17&amp;")"</f>
        <v>(Line 4 * Line 5)</v>
      </c>
      <c r="E18" s="630"/>
      <c r="F18" s="638">
        <f t="shared" ref="F18:L18" si="1">F16*F17</f>
        <v>4.0782041625000001E-2</v>
      </c>
      <c r="G18" s="638">
        <f t="shared" si="1"/>
        <v>1.1329576050000002E-2</v>
      </c>
      <c r="H18" s="638">
        <f t="shared" si="1"/>
        <v>2.0553000000000001E-5</v>
      </c>
      <c r="I18" s="638">
        <f t="shared" si="1"/>
        <v>0</v>
      </c>
      <c r="J18" s="638">
        <f t="shared" si="1"/>
        <v>5.9802311595000007E-5</v>
      </c>
      <c r="K18" s="638">
        <f t="shared" si="1"/>
        <v>7.5680120684999998E-3</v>
      </c>
      <c r="L18" s="638">
        <f t="shared" si="1"/>
        <v>0</v>
      </c>
      <c r="M18" s="639">
        <f>SUM(F18:L18)</f>
        <v>5.9759985055095E-2</v>
      </c>
      <c r="N18" s="639"/>
      <c r="Q18" s="640"/>
    </row>
    <row r="19" spans="1:17">
      <c r="A19" s="629"/>
      <c r="B19" s="630"/>
      <c r="C19" s="630"/>
      <c r="D19" s="631"/>
      <c r="E19" s="630"/>
      <c r="F19" s="638"/>
      <c r="G19" s="638"/>
      <c r="H19" s="638"/>
      <c r="I19" s="638"/>
      <c r="J19" s="638"/>
      <c r="K19" s="638"/>
      <c r="L19" s="638"/>
      <c r="M19" s="629"/>
      <c r="N19" s="629"/>
    </row>
    <row r="20" spans="1:17">
      <c r="A20" s="629">
        <f>+A18+1</f>
        <v>7</v>
      </c>
      <c r="B20" s="630" t="s">
        <v>1120</v>
      </c>
      <c r="C20" s="629" t="s">
        <v>812</v>
      </c>
      <c r="D20" s="631" t="s">
        <v>1121</v>
      </c>
      <c r="E20" s="630"/>
      <c r="F20" s="638">
        <f>$L$91</f>
        <v>0</v>
      </c>
      <c r="G20" s="638">
        <f t="shared" ref="G20:K20" si="2">$L$91</f>
        <v>0</v>
      </c>
      <c r="H20" s="638">
        <f t="shared" si="2"/>
        <v>0</v>
      </c>
      <c r="I20" s="638">
        <f t="shared" si="2"/>
        <v>0</v>
      </c>
      <c r="J20" s="638">
        <f t="shared" si="2"/>
        <v>0</v>
      </c>
      <c r="K20" s="638">
        <f t="shared" si="2"/>
        <v>0</v>
      </c>
      <c r="L20" s="638">
        <v>0</v>
      </c>
      <c r="M20" s="629"/>
      <c r="N20" s="629"/>
    </row>
    <row r="21" spans="1:17">
      <c r="A21" s="629">
        <f>+A20+1</f>
        <v>8</v>
      </c>
      <c r="B21" s="630" t="s">
        <v>1114</v>
      </c>
      <c r="C21" s="631" t="s">
        <v>1115</v>
      </c>
      <c r="D21" s="631" t="s">
        <v>1116</v>
      </c>
      <c r="E21" s="630"/>
      <c r="F21" s="636">
        <f>+N45</f>
        <v>0.492091</v>
      </c>
      <c r="G21" s="636">
        <f>+N46</f>
        <v>0.13670680000000002</v>
      </c>
      <c r="H21" s="636">
        <f>+N47</f>
        <v>2.4800000000000001E-4</v>
      </c>
      <c r="I21" s="636">
        <f>+N48</f>
        <v>0</v>
      </c>
      <c r="J21" s="636">
        <f>+N49</f>
        <v>7.2159652E-4</v>
      </c>
      <c r="K21" s="636">
        <f>+N50</f>
        <v>9.1318395999999996E-2</v>
      </c>
      <c r="L21" s="636">
        <f>+N51</f>
        <v>0.27889132000000005</v>
      </c>
      <c r="M21" s="637"/>
      <c r="N21" s="637"/>
    </row>
    <row r="22" spans="1:17">
      <c r="A22" s="629">
        <f>+A21+1</f>
        <v>9</v>
      </c>
      <c r="B22" s="630" t="s">
        <v>1122</v>
      </c>
      <c r="C22" s="630"/>
      <c r="D22" s="631" t="str">
        <f>"(Line "&amp;A20&amp;" * Line "&amp;A21&amp;")"</f>
        <v>(Line 7 * Line 8)</v>
      </c>
      <c r="E22" s="630"/>
      <c r="F22" s="638">
        <f t="shared" ref="F22:L22" si="3">F20*F21</f>
        <v>0</v>
      </c>
      <c r="G22" s="638">
        <f t="shared" si="3"/>
        <v>0</v>
      </c>
      <c r="H22" s="638">
        <f t="shared" si="3"/>
        <v>0</v>
      </c>
      <c r="I22" s="638">
        <f t="shared" si="3"/>
        <v>0</v>
      </c>
      <c r="J22" s="638">
        <f t="shared" si="3"/>
        <v>0</v>
      </c>
      <c r="K22" s="638">
        <f t="shared" si="3"/>
        <v>0</v>
      </c>
      <c r="L22" s="638">
        <f t="shared" si="3"/>
        <v>0</v>
      </c>
      <c r="M22" s="639">
        <f>SUM(F22:L22)</f>
        <v>0</v>
      </c>
      <c r="N22" s="639"/>
    </row>
    <row r="23" spans="1:17">
      <c r="A23" s="629"/>
      <c r="B23" s="630"/>
      <c r="C23" s="630"/>
      <c r="D23" s="631"/>
      <c r="E23" s="630"/>
      <c r="F23" s="632"/>
      <c r="G23" s="632"/>
      <c r="H23" s="632"/>
      <c r="I23" s="632"/>
      <c r="J23" s="632"/>
      <c r="K23" s="632"/>
      <c r="L23" s="632"/>
      <c r="N23" s="632"/>
    </row>
    <row r="24" spans="1:17">
      <c r="A24" s="629">
        <f>+A22+1</f>
        <v>10</v>
      </c>
      <c r="B24" s="630" t="s">
        <v>1123</v>
      </c>
      <c r="C24" s="629" t="s">
        <v>1115</v>
      </c>
      <c r="D24" s="631" t="s">
        <v>1124</v>
      </c>
      <c r="E24" s="630"/>
      <c r="F24" s="638">
        <f>K57</f>
        <v>0.49175686385782946</v>
      </c>
      <c r="G24" s="638">
        <f>K58</f>
        <v>0.13661397431783864</v>
      </c>
      <c r="H24" s="638">
        <f>K59</f>
        <v>9.2684451535845244E-4</v>
      </c>
      <c r="I24" s="638">
        <f>K60</f>
        <v>0</v>
      </c>
      <c r="J24" s="638">
        <f>K61</f>
        <v>7.2110654664670469E-4</v>
      </c>
      <c r="K24" s="638">
        <f>K62</f>
        <v>9.1256389630144347E-2</v>
      </c>
      <c r="L24" s="638">
        <f>K63</f>
        <v>0.27870194919307684</v>
      </c>
      <c r="N24" s="639">
        <f>+SUM(F24:L24)</f>
        <v>0.99997712806089445</v>
      </c>
    </row>
    <row r="25" spans="1:17">
      <c r="A25" s="629"/>
      <c r="B25" s="630"/>
      <c r="C25" s="630"/>
      <c r="D25" s="631"/>
      <c r="E25" s="630"/>
      <c r="F25" s="638"/>
      <c r="G25" s="638"/>
      <c r="H25" s="638"/>
      <c r="I25" s="638"/>
      <c r="J25" s="638"/>
      <c r="K25" s="638"/>
      <c r="L25" s="641"/>
      <c r="M25" s="639"/>
      <c r="N25" s="639"/>
    </row>
    <row r="26" spans="1:17">
      <c r="A26" s="629">
        <f>+A24+1</f>
        <v>11</v>
      </c>
      <c r="B26" s="630" t="s">
        <v>1125</v>
      </c>
      <c r="C26" s="629" t="s">
        <v>1126</v>
      </c>
      <c r="D26" s="631" t="str">
        <f>"(Line "&amp;A24&amp;", Col. "&amp;N8&amp;" - Col. "&amp;L8&amp;")"</f>
        <v>(Line 10, Col. (13) - Col. (11))</v>
      </c>
      <c r="E26" s="630"/>
      <c r="F26" s="638"/>
      <c r="G26" s="638"/>
      <c r="H26" s="638"/>
      <c r="I26" s="638"/>
      <c r="J26" s="638"/>
      <c r="K26" s="638"/>
      <c r="L26" s="641"/>
      <c r="M26" s="639"/>
      <c r="N26" s="643">
        <f>N24-L24</f>
        <v>0.72127517886781756</v>
      </c>
    </row>
    <row r="27" spans="1:17">
      <c r="A27" s="629"/>
      <c r="B27" s="630"/>
      <c r="C27" s="630"/>
      <c r="D27" s="631"/>
      <c r="E27" s="630"/>
      <c r="F27" s="638"/>
      <c r="G27" s="638"/>
      <c r="H27" s="638"/>
      <c r="I27" s="638"/>
      <c r="J27" s="638"/>
      <c r="K27" s="638"/>
      <c r="L27" s="638"/>
      <c r="M27" s="632"/>
      <c r="N27" s="632"/>
    </row>
    <row r="28" spans="1:17">
      <c r="A28" s="629">
        <f>+A26+1</f>
        <v>12</v>
      </c>
      <c r="B28" s="630" t="s">
        <v>1127</v>
      </c>
      <c r="C28" s="630"/>
      <c r="D28" s="631" t="str">
        <f>"@ ITA = "&amp;MROUND(N26*100,0.01)&amp;"%"</f>
        <v>@ ITA = 72.13%</v>
      </c>
      <c r="E28" s="630"/>
      <c r="F28" s="638">
        <f>+F18*(1-F14)+F14-(F22*F14)</f>
        <v>0.13990677173948954</v>
      </c>
      <c r="G28" s="638">
        <f>+G18*(1-G14)+G14-(G22*G14)</f>
        <v>3.9712749731698055E-2</v>
      </c>
      <c r="H28" s="638">
        <f t="shared" ref="H28:L28" si="4">+H18*(1-H14)+H14-(H22*H14)</f>
        <v>9.3959491245376001E-5</v>
      </c>
      <c r="I28" s="638">
        <f t="shared" si="4"/>
        <v>0</v>
      </c>
      <c r="J28" s="638">
        <f t="shared" si="4"/>
        <v>2.1132851863561367E-4</v>
      </c>
      <c r="K28" s="638">
        <f t="shared" si="4"/>
        <v>2.6599744496669145E-2</v>
      </c>
      <c r="L28" s="638">
        <f t="shared" si="4"/>
        <v>0</v>
      </c>
      <c r="M28" s="643">
        <f>SUM(F28:L28)</f>
        <v>0.20652455397773772</v>
      </c>
      <c r="N28" s="643"/>
      <c r="O28" s="638"/>
      <c r="Q28" s="640"/>
    </row>
    <row r="29" spans="1:17">
      <c r="A29" s="629"/>
      <c r="B29" s="630"/>
      <c r="C29" s="630"/>
      <c r="D29" s="631"/>
      <c r="E29" s="630"/>
      <c r="F29" s="632"/>
      <c r="G29" s="632"/>
      <c r="H29" s="632"/>
      <c r="I29" s="632"/>
      <c r="J29" s="632"/>
      <c r="K29" s="632"/>
      <c r="L29" s="632"/>
      <c r="M29" s="632"/>
      <c r="P29" s="640"/>
    </row>
    <row r="30" spans="1:17">
      <c r="A30" s="632"/>
      <c r="B30" s="632"/>
      <c r="C30" s="632"/>
      <c r="D30" s="632"/>
      <c r="E30" s="632"/>
      <c r="F30" s="632"/>
      <c r="G30" s="632"/>
      <c r="H30" s="632"/>
      <c r="I30" s="632"/>
      <c r="J30" s="632"/>
      <c r="K30" s="632"/>
      <c r="L30" s="632"/>
      <c r="M30" s="632"/>
    </row>
    <row r="31" spans="1:17">
      <c r="A31" s="632"/>
      <c r="B31" s="632"/>
      <c r="C31" s="632"/>
      <c r="D31" s="632"/>
      <c r="E31" s="632"/>
      <c r="F31" s="632"/>
      <c r="G31" s="632"/>
      <c r="H31" s="632"/>
      <c r="I31" s="632"/>
      <c r="J31" s="632"/>
      <c r="K31" s="632"/>
      <c r="L31" s="632"/>
      <c r="M31" s="632"/>
    </row>
    <row r="32" spans="1:17">
      <c r="A32" s="629">
        <f>+A28+1</f>
        <v>13</v>
      </c>
      <c r="B32" s="632" t="s">
        <v>1128</v>
      </c>
      <c r="C32" s="632" t="s">
        <v>1129</v>
      </c>
      <c r="D32" s="632"/>
      <c r="E32" s="632"/>
      <c r="F32" s="800">
        <v>0.496</v>
      </c>
      <c r="G32" s="800">
        <v>0.46200000000000002</v>
      </c>
      <c r="H32" s="800">
        <v>4.0000000000000001E-3</v>
      </c>
      <c r="I32" s="800">
        <v>1.9E-2</v>
      </c>
      <c r="J32" s="800">
        <v>1.9E-2</v>
      </c>
      <c r="L32" s="632"/>
      <c r="M32" s="632"/>
      <c r="N32" s="639">
        <f>SUM(F32:J32)</f>
        <v>1</v>
      </c>
    </row>
    <row r="33" spans="1:18">
      <c r="A33" s="632"/>
      <c r="B33" s="632" t="s">
        <v>1130</v>
      </c>
      <c r="C33" s="632" t="s">
        <v>1129</v>
      </c>
      <c r="D33" s="632"/>
      <c r="E33" s="629"/>
      <c r="F33" s="801" t="s">
        <v>1131</v>
      </c>
      <c r="G33" s="801" t="s">
        <v>1132</v>
      </c>
      <c r="H33" s="801" t="s">
        <v>1133</v>
      </c>
      <c r="I33" s="801" t="s">
        <v>1134</v>
      </c>
      <c r="J33" s="801" t="s">
        <v>1135</v>
      </c>
      <c r="L33" s="632"/>
      <c r="M33" s="632"/>
      <c r="N33" s="629"/>
    </row>
    <row r="34" spans="1:18">
      <c r="A34" s="629">
        <f>+A32+1</f>
        <v>14</v>
      </c>
      <c r="B34" s="645" t="s">
        <v>1104</v>
      </c>
      <c r="C34" s="632" t="s">
        <v>1129</v>
      </c>
      <c r="D34" s="632"/>
      <c r="E34" s="632"/>
      <c r="F34" s="802">
        <v>0.50319999999999998</v>
      </c>
      <c r="G34" s="802">
        <v>0.52490000000000003</v>
      </c>
      <c r="H34" s="802">
        <v>0</v>
      </c>
      <c r="I34" s="802">
        <v>0</v>
      </c>
      <c r="J34" s="802">
        <v>0</v>
      </c>
      <c r="L34" s="632"/>
      <c r="M34" s="632"/>
      <c r="N34" s="639">
        <f t="shared" ref="N34:N40" si="5">SUM(F34:J34)/5</f>
        <v>0.20562</v>
      </c>
    </row>
    <row r="35" spans="1:18">
      <c r="A35" s="629">
        <f>+A34+1</f>
        <v>15</v>
      </c>
      <c r="B35" s="645" t="s">
        <v>1105</v>
      </c>
      <c r="C35" s="632" t="s">
        <v>1129</v>
      </c>
      <c r="D35" s="632"/>
      <c r="E35" s="632"/>
      <c r="F35" s="802">
        <v>9.9099999999999994E-2</v>
      </c>
      <c r="G35" s="802">
        <v>9.8599999999999993E-2</v>
      </c>
      <c r="H35" s="802">
        <v>1</v>
      </c>
      <c r="I35" s="802">
        <v>1</v>
      </c>
      <c r="J35" s="802">
        <v>1</v>
      </c>
      <c r="L35" s="632"/>
      <c r="M35" s="632"/>
      <c r="N35" s="639">
        <f t="shared" si="5"/>
        <v>0.63954</v>
      </c>
    </row>
    <row r="36" spans="1:18">
      <c r="A36" s="629">
        <f t="shared" ref="A36:A66" si="6">+A35+1</f>
        <v>16</v>
      </c>
      <c r="B36" s="645" t="s">
        <v>1106</v>
      </c>
      <c r="C36" s="632" t="s">
        <v>1129</v>
      </c>
      <c r="D36" s="632"/>
      <c r="E36" s="632"/>
      <c r="F36" s="802">
        <v>5.0000000000000001E-4</v>
      </c>
      <c r="G36" s="802">
        <v>0</v>
      </c>
      <c r="H36" s="802">
        <v>0</v>
      </c>
      <c r="I36" s="802">
        <v>0</v>
      </c>
      <c r="J36" s="802">
        <v>0</v>
      </c>
      <c r="L36" s="632"/>
      <c r="M36" s="632"/>
      <c r="N36" s="639">
        <f t="shared" si="5"/>
        <v>1E-4</v>
      </c>
    </row>
    <row r="37" spans="1:18">
      <c r="A37" s="629">
        <f t="shared" si="6"/>
        <v>17</v>
      </c>
      <c r="B37" s="645" t="s">
        <v>1107</v>
      </c>
      <c r="C37" s="632" t="s">
        <v>1129</v>
      </c>
      <c r="D37" s="632"/>
      <c r="E37" s="632"/>
      <c r="F37" s="802">
        <v>0</v>
      </c>
      <c r="G37" s="802">
        <v>0</v>
      </c>
      <c r="H37" s="802">
        <v>0</v>
      </c>
      <c r="I37" s="802">
        <v>0</v>
      </c>
      <c r="J37" s="802">
        <v>0</v>
      </c>
      <c r="L37" s="632"/>
      <c r="M37" s="632"/>
      <c r="N37" s="639">
        <f t="shared" si="5"/>
        <v>0</v>
      </c>
    </row>
    <row r="38" spans="1:18">
      <c r="A38" s="629">
        <f t="shared" si="6"/>
        <v>18</v>
      </c>
      <c r="B38" s="645" t="s">
        <v>1108</v>
      </c>
      <c r="C38" s="632" t="s">
        <v>1129</v>
      </c>
      <c r="D38" s="632"/>
      <c r="E38" s="632"/>
      <c r="F38" s="802">
        <v>4.0000000000000002E-4</v>
      </c>
      <c r="G38" s="802">
        <v>1.1324600000000001E-3</v>
      </c>
      <c r="H38" s="802">
        <v>0</v>
      </c>
      <c r="I38" s="802">
        <v>0</v>
      </c>
      <c r="J38" s="802">
        <v>0</v>
      </c>
      <c r="L38" s="632"/>
      <c r="M38" s="632"/>
      <c r="N38" s="639">
        <f t="shared" si="5"/>
        <v>3.0649200000000001E-4</v>
      </c>
    </row>
    <row r="39" spans="1:18">
      <c r="A39" s="629">
        <f t="shared" si="6"/>
        <v>19</v>
      </c>
      <c r="B39" s="645" t="s">
        <v>1109</v>
      </c>
      <c r="C39" s="632" t="s">
        <v>1129</v>
      </c>
      <c r="D39" s="632"/>
      <c r="E39" s="632"/>
      <c r="F39" s="802">
        <v>8.2900000000000001E-2</v>
      </c>
      <c r="G39" s="802">
        <v>0.108658</v>
      </c>
      <c r="H39" s="802">
        <v>0</v>
      </c>
      <c r="I39" s="802">
        <v>0</v>
      </c>
      <c r="J39" s="802">
        <v>0</v>
      </c>
      <c r="L39" s="632"/>
      <c r="M39" s="632"/>
      <c r="N39" s="639">
        <f t="shared" si="5"/>
        <v>3.8311600000000001E-2</v>
      </c>
      <c r="O39" s="646"/>
      <c r="Q39" s="640"/>
      <c r="R39" s="640"/>
    </row>
    <row r="40" spans="1:18">
      <c r="A40" s="629">
        <f t="shared" si="6"/>
        <v>20</v>
      </c>
      <c r="B40" s="645" t="s">
        <v>1110</v>
      </c>
      <c r="C40" s="632" t="s">
        <v>1129</v>
      </c>
      <c r="D40" s="632"/>
      <c r="E40" s="632"/>
      <c r="F40" s="800">
        <v>0.31390000000000001</v>
      </c>
      <c r="G40" s="800">
        <v>0.26666000000000001</v>
      </c>
      <c r="H40" s="800">
        <v>0</v>
      </c>
      <c r="I40" s="800">
        <v>0</v>
      </c>
      <c r="J40" s="800">
        <v>0</v>
      </c>
      <c r="K40" s="647"/>
      <c r="L40" s="648"/>
      <c r="M40" s="648"/>
      <c r="N40" s="649">
        <f t="shared" si="5"/>
        <v>0.11611199999999999</v>
      </c>
      <c r="O40" s="646"/>
    </row>
    <row r="41" spans="1:18">
      <c r="A41" s="629">
        <f t="shared" si="6"/>
        <v>21</v>
      </c>
      <c r="B41" s="632"/>
      <c r="C41" s="632"/>
      <c r="D41" s="632"/>
      <c r="E41" s="632"/>
      <c r="F41" s="638">
        <f t="shared" ref="F41:J41" si="7">SUM(F34:F40)</f>
        <v>0.99999999999999978</v>
      </c>
      <c r="G41" s="638">
        <f t="shared" si="7"/>
        <v>0.9999504600000001</v>
      </c>
      <c r="H41" s="638">
        <f t="shared" si="7"/>
        <v>1</v>
      </c>
      <c r="I41" s="638">
        <f t="shared" si="7"/>
        <v>1</v>
      </c>
      <c r="J41" s="638">
        <f t="shared" si="7"/>
        <v>1</v>
      </c>
      <c r="L41" s="632"/>
      <c r="M41" s="632"/>
      <c r="N41" s="638">
        <f>SUM(N34:N40)</f>
        <v>0.999990092</v>
      </c>
    </row>
    <row r="42" spans="1:18">
      <c r="A42" s="629">
        <f t="shared" si="6"/>
        <v>22</v>
      </c>
      <c r="B42" s="632"/>
      <c r="C42" s="632"/>
      <c r="D42" s="632"/>
      <c r="E42" s="632"/>
      <c r="F42" s="650"/>
      <c r="G42" s="650"/>
      <c r="H42" s="650"/>
      <c r="I42" s="650"/>
      <c r="J42" s="650"/>
      <c r="K42" s="650"/>
      <c r="L42" s="650"/>
      <c r="M42" s="650"/>
      <c r="N42" s="639"/>
    </row>
    <row r="43" spans="1:18">
      <c r="A43" s="629">
        <f t="shared" si="6"/>
        <v>23</v>
      </c>
      <c r="B43" s="632"/>
      <c r="C43" s="632"/>
      <c r="D43" s="632"/>
      <c r="E43" s="632"/>
      <c r="F43" s="792" t="s">
        <v>304</v>
      </c>
      <c r="G43" s="792"/>
      <c r="H43" s="792"/>
      <c r="I43" s="792"/>
      <c r="J43" s="792"/>
      <c r="K43" s="651"/>
      <c r="L43" s="651"/>
      <c r="M43" s="651"/>
      <c r="N43" s="643"/>
    </row>
    <row r="44" spans="1:18">
      <c r="A44" s="629">
        <f t="shared" si="6"/>
        <v>24</v>
      </c>
      <c r="B44" s="632" t="s">
        <v>1136</v>
      </c>
      <c r="C44" s="632"/>
      <c r="D44" s="632"/>
      <c r="E44" s="629"/>
      <c r="F44" s="793" t="str">
        <f>F33</f>
        <v>BCP VI</v>
      </c>
      <c r="G44" s="793" t="str">
        <f t="shared" ref="G44:J44" si="8">G33</f>
        <v>BEP II/II.F</v>
      </c>
      <c r="H44" s="793" t="str">
        <f t="shared" si="8"/>
        <v>BCP VI SBS</v>
      </c>
      <c r="I44" s="793" t="str">
        <f t="shared" si="8"/>
        <v>BEP II SBS</v>
      </c>
      <c r="J44" s="793" t="str">
        <f t="shared" si="8"/>
        <v>BTAS</v>
      </c>
      <c r="K44" s="650"/>
      <c r="L44" s="632"/>
      <c r="M44" s="632"/>
      <c r="N44" s="629"/>
      <c r="Q44" s="640"/>
      <c r="R44" s="652"/>
    </row>
    <row r="45" spans="1:18">
      <c r="A45" s="629">
        <f t="shared" si="6"/>
        <v>25</v>
      </c>
      <c r="B45" s="645" t="s">
        <v>1104</v>
      </c>
      <c r="C45" s="632"/>
      <c r="D45" s="631" t="str">
        <f t="shared" ref="D45:D51" si="9">"(Line "&amp;A$32&amp;" * Line "&amp;A34&amp;")"</f>
        <v>(Line 13 * Line 14)</v>
      </c>
      <c r="E45" s="632"/>
      <c r="F45" s="638">
        <f t="shared" ref="F45:J51" si="10">+F$32*F34</f>
        <v>0.24958719999999998</v>
      </c>
      <c r="G45" s="638">
        <f t="shared" si="10"/>
        <v>0.24250380000000002</v>
      </c>
      <c r="H45" s="638">
        <f t="shared" si="10"/>
        <v>0</v>
      </c>
      <c r="I45" s="638">
        <f t="shared" si="10"/>
        <v>0</v>
      </c>
      <c r="J45" s="638">
        <f t="shared" si="10"/>
        <v>0</v>
      </c>
      <c r="L45" s="632"/>
      <c r="M45" s="632"/>
      <c r="N45" s="639">
        <f t="shared" ref="N45:N51" si="11">SUM(F45:J45)</f>
        <v>0.492091</v>
      </c>
      <c r="O45" s="653"/>
    </row>
    <row r="46" spans="1:18">
      <c r="A46" s="629">
        <f t="shared" si="6"/>
        <v>26</v>
      </c>
      <c r="B46" s="645" t="s">
        <v>1105</v>
      </c>
      <c r="C46" s="632"/>
      <c r="D46" s="631" t="str">
        <f t="shared" si="9"/>
        <v>(Line 13 * Line 15)</v>
      </c>
      <c r="E46" s="632"/>
      <c r="F46" s="638">
        <f t="shared" si="10"/>
        <v>4.9153599999999999E-2</v>
      </c>
      <c r="G46" s="638">
        <f t="shared" si="10"/>
        <v>4.5553200000000002E-2</v>
      </c>
      <c r="H46" s="638">
        <f t="shared" si="10"/>
        <v>4.0000000000000001E-3</v>
      </c>
      <c r="I46" s="638">
        <f t="shared" si="10"/>
        <v>1.9E-2</v>
      </c>
      <c r="J46" s="638">
        <f t="shared" si="10"/>
        <v>1.9E-2</v>
      </c>
      <c r="L46" s="632"/>
      <c r="M46" s="632"/>
      <c r="N46" s="639">
        <f t="shared" si="11"/>
        <v>0.13670680000000002</v>
      </c>
      <c r="O46" s="653"/>
    </row>
    <row r="47" spans="1:18">
      <c r="A47" s="629">
        <f t="shared" si="6"/>
        <v>27</v>
      </c>
      <c r="B47" s="645" t="s">
        <v>1106</v>
      </c>
      <c r="C47" s="632"/>
      <c r="D47" s="631" t="str">
        <f t="shared" si="9"/>
        <v>(Line 13 * Line 16)</v>
      </c>
      <c r="E47" s="632"/>
      <c r="F47" s="638">
        <f t="shared" si="10"/>
        <v>2.4800000000000001E-4</v>
      </c>
      <c r="G47" s="638">
        <f t="shared" si="10"/>
        <v>0</v>
      </c>
      <c r="H47" s="638">
        <f t="shared" si="10"/>
        <v>0</v>
      </c>
      <c r="I47" s="638">
        <f t="shared" si="10"/>
        <v>0</v>
      </c>
      <c r="J47" s="638">
        <f t="shared" si="10"/>
        <v>0</v>
      </c>
      <c r="L47" s="632"/>
      <c r="M47" s="632"/>
      <c r="N47" s="639">
        <f t="shared" si="11"/>
        <v>2.4800000000000001E-4</v>
      </c>
    </row>
    <row r="48" spans="1:18">
      <c r="A48" s="629">
        <f t="shared" si="6"/>
        <v>28</v>
      </c>
      <c r="B48" s="645" t="s">
        <v>1107</v>
      </c>
      <c r="C48" s="632"/>
      <c r="D48" s="631" t="str">
        <f t="shared" si="9"/>
        <v>(Line 13 * Line 17)</v>
      </c>
      <c r="E48" s="632"/>
      <c r="F48" s="638">
        <f t="shared" si="10"/>
        <v>0</v>
      </c>
      <c r="G48" s="638">
        <f t="shared" si="10"/>
        <v>0</v>
      </c>
      <c r="H48" s="638">
        <f t="shared" si="10"/>
        <v>0</v>
      </c>
      <c r="I48" s="638">
        <f t="shared" si="10"/>
        <v>0</v>
      </c>
      <c r="J48" s="638">
        <f t="shared" si="10"/>
        <v>0</v>
      </c>
      <c r="L48" s="632"/>
      <c r="M48" s="632"/>
      <c r="N48" s="639">
        <f t="shared" si="11"/>
        <v>0</v>
      </c>
    </row>
    <row r="49" spans="1:18">
      <c r="A49" s="629">
        <f t="shared" si="6"/>
        <v>29</v>
      </c>
      <c r="B49" s="645" t="s">
        <v>1108</v>
      </c>
      <c r="C49" s="632"/>
      <c r="D49" s="631" t="str">
        <f t="shared" si="9"/>
        <v>(Line 13 * Line 18)</v>
      </c>
      <c r="E49" s="632"/>
      <c r="F49" s="638">
        <f t="shared" si="10"/>
        <v>1.984E-4</v>
      </c>
      <c r="G49" s="638">
        <f t="shared" si="10"/>
        <v>5.2319652000000006E-4</v>
      </c>
      <c r="H49" s="638">
        <f t="shared" si="10"/>
        <v>0</v>
      </c>
      <c r="I49" s="638">
        <f t="shared" si="10"/>
        <v>0</v>
      </c>
      <c r="J49" s="638">
        <f t="shared" si="10"/>
        <v>0</v>
      </c>
      <c r="L49" s="632"/>
      <c r="M49" s="632"/>
      <c r="N49" s="639">
        <f t="shared" si="11"/>
        <v>7.2159652E-4</v>
      </c>
    </row>
    <row r="50" spans="1:18">
      <c r="A50" s="629">
        <f t="shared" si="6"/>
        <v>30</v>
      </c>
      <c r="B50" s="645" t="s">
        <v>1109</v>
      </c>
      <c r="C50" s="632"/>
      <c r="D50" s="631" t="str">
        <f t="shared" si="9"/>
        <v>(Line 13 * Line 19)</v>
      </c>
      <c r="E50" s="632"/>
      <c r="F50" s="638">
        <f t="shared" si="10"/>
        <v>4.1118399999999999E-2</v>
      </c>
      <c r="G50" s="638">
        <f t="shared" si="10"/>
        <v>5.0199996000000004E-2</v>
      </c>
      <c r="H50" s="638">
        <f t="shared" si="10"/>
        <v>0</v>
      </c>
      <c r="I50" s="638">
        <f t="shared" si="10"/>
        <v>0</v>
      </c>
      <c r="J50" s="638">
        <f t="shared" si="10"/>
        <v>0</v>
      </c>
      <c r="L50" s="650"/>
      <c r="M50" s="650"/>
      <c r="N50" s="639">
        <f t="shared" si="11"/>
        <v>9.1318395999999996E-2</v>
      </c>
      <c r="O50" s="646"/>
      <c r="Q50" s="640"/>
      <c r="R50" s="654"/>
    </row>
    <row r="51" spans="1:18">
      <c r="A51" s="629">
        <f t="shared" si="6"/>
        <v>31</v>
      </c>
      <c r="B51" s="645" t="s">
        <v>1110</v>
      </c>
      <c r="C51" s="632"/>
      <c r="D51" s="631" t="str">
        <f t="shared" si="9"/>
        <v>(Line 13 * Line 20)</v>
      </c>
      <c r="E51" s="632"/>
      <c r="F51" s="636">
        <f t="shared" si="10"/>
        <v>0.15569440000000001</v>
      </c>
      <c r="G51" s="636">
        <f t="shared" si="10"/>
        <v>0.12319692000000002</v>
      </c>
      <c r="H51" s="636">
        <f t="shared" si="10"/>
        <v>0</v>
      </c>
      <c r="I51" s="636">
        <f t="shared" si="10"/>
        <v>0</v>
      </c>
      <c r="J51" s="636">
        <f t="shared" si="10"/>
        <v>0</v>
      </c>
      <c r="K51" s="647"/>
      <c r="L51" s="648"/>
      <c r="M51" s="648"/>
      <c r="N51" s="649">
        <f t="shared" si="11"/>
        <v>0.27889132000000005</v>
      </c>
      <c r="O51" s="655"/>
    </row>
    <row r="52" spans="1:18">
      <c r="A52" s="629">
        <f t="shared" si="6"/>
        <v>32</v>
      </c>
      <c r="B52" s="632"/>
      <c r="C52" s="632"/>
      <c r="D52" s="632"/>
      <c r="E52" s="632"/>
      <c r="F52" s="639">
        <f t="shared" ref="F52:J52" si="12">SUM(F45:F51)</f>
        <v>0.496</v>
      </c>
      <c r="G52" s="639">
        <f t="shared" si="12"/>
        <v>0.46197711252000007</v>
      </c>
      <c r="H52" s="639">
        <f t="shared" si="12"/>
        <v>4.0000000000000001E-3</v>
      </c>
      <c r="I52" s="639">
        <f t="shared" si="12"/>
        <v>1.9E-2</v>
      </c>
      <c r="J52" s="639">
        <f t="shared" si="12"/>
        <v>1.9E-2</v>
      </c>
      <c r="L52" s="632"/>
      <c r="M52" s="632"/>
      <c r="N52" s="639">
        <f>SUM(N45:N51)</f>
        <v>0.99997711252000021</v>
      </c>
      <c r="O52" s="653"/>
    </row>
    <row r="53" spans="1:18">
      <c r="A53" s="629">
        <f t="shared" si="6"/>
        <v>33</v>
      </c>
      <c r="B53" s="632"/>
      <c r="C53" s="632"/>
      <c r="D53" s="632"/>
      <c r="E53" s="632"/>
      <c r="F53" s="632"/>
      <c r="G53" s="632"/>
      <c r="H53" s="632"/>
      <c r="I53" s="632"/>
      <c r="J53" s="632"/>
      <c r="K53" s="632"/>
      <c r="L53" s="632"/>
      <c r="M53" s="632"/>
    </row>
    <row r="54" spans="1:18">
      <c r="A54" s="629">
        <f t="shared" si="6"/>
        <v>34</v>
      </c>
      <c r="B54" s="632"/>
      <c r="C54" s="632"/>
      <c r="D54" s="632"/>
      <c r="E54" s="632"/>
      <c r="F54" s="632"/>
      <c r="G54" s="632"/>
      <c r="H54" s="632"/>
      <c r="I54" s="632"/>
      <c r="J54" s="632"/>
      <c r="K54" s="632"/>
      <c r="L54" s="632"/>
      <c r="M54" s="632"/>
    </row>
    <row r="55" spans="1:18" ht="51">
      <c r="A55" s="629">
        <f t="shared" si="6"/>
        <v>35</v>
      </c>
      <c r="B55" s="632"/>
      <c r="C55" s="632"/>
      <c r="D55" s="632"/>
      <c r="E55" s="656"/>
      <c r="F55" s="656"/>
      <c r="G55" s="657" t="s">
        <v>1137</v>
      </c>
      <c r="H55" s="632"/>
      <c r="I55" s="658"/>
      <c r="J55" s="657" t="s">
        <v>1138</v>
      </c>
      <c r="K55" s="657" t="s">
        <v>1139</v>
      </c>
      <c r="L55" s="632"/>
      <c r="M55" s="632"/>
    </row>
    <row r="56" spans="1:18">
      <c r="A56" s="629">
        <f t="shared" si="6"/>
        <v>36</v>
      </c>
      <c r="B56" s="632"/>
      <c r="C56" s="632"/>
      <c r="D56" s="632"/>
      <c r="E56" s="632"/>
      <c r="F56" s="632"/>
      <c r="G56" s="632"/>
      <c r="H56" s="632"/>
      <c r="I56" s="632"/>
      <c r="J56" s="632"/>
      <c r="K56" s="632"/>
      <c r="L56" s="632"/>
      <c r="M56" s="632"/>
    </row>
    <row r="57" spans="1:18">
      <c r="A57" s="629">
        <f t="shared" si="6"/>
        <v>37</v>
      </c>
      <c r="B57" s="632"/>
      <c r="C57" s="632"/>
      <c r="D57" s="632"/>
      <c r="E57" s="632"/>
      <c r="F57" s="660" t="s">
        <v>1104</v>
      </c>
      <c r="G57" s="639">
        <f t="shared" ref="G57:G63" si="13">N45</f>
        <v>0.492091</v>
      </c>
      <c r="H57" s="632"/>
      <c r="I57" s="660" t="s">
        <v>1140</v>
      </c>
      <c r="J57" s="634">
        <f t="shared" ref="J57:J63" si="14">G57*$J$64</f>
        <v>0.49175686385782946</v>
      </c>
      <c r="K57" s="634">
        <f>+J57</f>
        <v>0.49175686385782946</v>
      </c>
      <c r="L57" s="629"/>
      <c r="M57" s="632"/>
      <c r="N57" s="654"/>
      <c r="O57" s="646"/>
    </row>
    <row r="58" spans="1:18">
      <c r="A58" s="629">
        <f t="shared" si="6"/>
        <v>38</v>
      </c>
      <c r="B58" s="632"/>
      <c r="C58" s="632"/>
      <c r="D58" s="632"/>
      <c r="E58" s="632"/>
      <c r="F58" s="660" t="s">
        <v>1105</v>
      </c>
      <c r="G58" s="639">
        <f t="shared" si="13"/>
        <v>0.13670680000000002</v>
      </c>
      <c r="H58" s="632"/>
      <c r="I58" s="660" t="s">
        <v>1105</v>
      </c>
      <c r="J58" s="634">
        <f t="shared" si="14"/>
        <v>0.13661397431783864</v>
      </c>
      <c r="K58" s="634">
        <f>+J58</f>
        <v>0.13661397431783864</v>
      </c>
      <c r="L58" s="629"/>
      <c r="M58" s="632"/>
      <c r="N58" s="654"/>
      <c r="O58" s="646"/>
    </row>
    <row r="59" spans="1:18">
      <c r="A59" s="629">
        <f t="shared" si="6"/>
        <v>39</v>
      </c>
      <c r="B59" s="632"/>
      <c r="C59" s="632"/>
      <c r="D59" s="632"/>
      <c r="E59" s="632"/>
      <c r="F59" s="660" t="s">
        <v>1106</v>
      </c>
      <c r="G59" s="639">
        <f t="shared" si="13"/>
        <v>2.4800000000000001E-4</v>
      </c>
      <c r="H59" s="632"/>
      <c r="I59" s="660" t="s">
        <v>1141</v>
      </c>
      <c r="J59" s="634">
        <f t="shared" si="14"/>
        <v>2.4783160479818105E-4</v>
      </c>
      <c r="K59" s="634">
        <f>+J59+J65</f>
        <v>9.2684451535845244E-4</v>
      </c>
      <c r="L59" s="629"/>
      <c r="M59" s="632"/>
    </row>
    <row r="60" spans="1:18">
      <c r="A60" s="629">
        <f t="shared" si="6"/>
        <v>40</v>
      </c>
      <c r="B60" s="632"/>
      <c r="C60" s="632"/>
      <c r="D60" s="632"/>
      <c r="E60" s="632"/>
      <c r="F60" s="660" t="s">
        <v>1107</v>
      </c>
      <c r="G60" s="639">
        <f t="shared" si="13"/>
        <v>0</v>
      </c>
      <c r="H60" s="632"/>
      <c r="I60" s="660" t="s">
        <v>1142</v>
      </c>
      <c r="J60" s="634">
        <f t="shared" si="14"/>
        <v>0</v>
      </c>
      <c r="K60" s="634">
        <f>+J60</f>
        <v>0</v>
      </c>
      <c r="L60" s="629"/>
      <c r="M60" s="632"/>
    </row>
    <row r="61" spans="1:18">
      <c r="A61" s="629">
        <f t="shared" si="6"/>
        <v>41</v>
      </c>
      <c r="B61" s="632"/>
      <c r="C61" s="632"/>
      <c r="D61" s="632"/>
      <c r="E61" s="632"/>
      <c r="F61" s="660" t="s">
        <v>1108</v>
      </c>
      <c r="G61" s="639">
        <f t="shared" si="13"/>
        <v>7.2159652E-4</v>
      </c>
      <c r="H61" s="632"/>
      <c r="I61" s="660" t="s">
        <v>1108</v>
      </c>
      <c r="J61" s="634">
        <f t="shared" si="14"/>
        <v>7.2110654664670469E-4</v>
      </c>
      <c r="K61" s="634">
        <f>+J61</f>
        <v>7.2110654664670469E-4</v>
      </c>
      <c r="L61" s="629"/>
      <c r="M61" s="632"/>
    </row>
    <row r="62" spans="1:18">
      <c r="A62" s="629">
        <f t="shared" si="6"/>
        <v>42</v>
      </c>
      <c r="B62" s="632"/>
      <c r="C62" s="632"/>
      <c r="D62" s="632"/>
      <c r="E62" s="632"/>
      <c r="F62" s="660" t="s">
        <v>1109</v>
      </c>
      <c r="G62" s="639">
        <f t="shared" si="13"/>
        <v>9.1318395999999996E-2</v>
      </c>
      <c r="H62" s="632"/>
      <c r="I62" s="660" t="s">
        <v>1143</v>
      </c>
      <c r="J62" s="634">
        <f t="shared" si="14"/>
        <v>9.1256389630144347E-2</v>
      </c>
      <c r="K62" s="634">
        <f>+J62</f>
        <v>9.1256389630144347E-2</v>
      </c>
      <c r="L62" s="629"/>
      <c r="M62" s="632"/>
    </row>
    <row r="63" spans="1:18">
      <c r="A63" s="629">
        <f t="shared" si="6"/>
        <v>43</v>
      </c>
      <c r="B63" s="632"/>
      <c r="C63" s="632"/>
      <c r="D63" s="632"/>
      <c r="E63" s="632"/>
      <c r="F63" s="660" t="s">
        <v>1110</v>
      </c>
      <c r="G63" s="649">
        <f t="shared" si="13"/>
        <v>0.27889132000000005</v>
      </c>
      <c r="H63" s="632"/>
      <c r="I63" s="660" t="s">
        <v>1144</v>
      </c>
      <c r="J63" s="634">
        <f t="shared" si="14"/>
        <v>0.27870194919307684</v>
      </c>
      <c r="K63" s="635">
        <f>+J63</f>
        <v>0.27870194919307684</v>
      </c>
      <c r="L63" s="629"/>
      <c r="M63" s="632"/>
    </row>
    <row r="64" spans="1:18">
      <c r="A64" s="629">
        <f t="shared" si="6"/>
        <v>44</v>
      </c>
      <c r="B64" s="632"/>
      <c r="C64" s="632"/>
      <c r="D64" s="632"/>
      <c r="E64" s="632"/>
      <c r="F64" s="632"/>
      <c r="G64" s="639">
        <f>SUM(G57:G63)</f>
        <v>0.99997711252000021</v>
      </c>
      <c r="H64" s="632"/>
      <c r="I64" s="660" t="s">
        <v>1145</v>
      </c>
      <c r="J64" s="794">
        <v>0.99932098708943973</v>
      </c>
      <c r="K64" s="639">
        <f>SUM(K57:K63)</f>
        <v>0.99997712806089445</v>
      </c>
    </row>
    <row r="65" spans="1:13">
      <c r="A65" s="629">
        <f t="shared" si="6"/>
        <v>45</v>
      </c>
      <c r="B65" s="632"/>
      <c r="C65" s="632"/>
      <c r="D65" s="632"/>
      <c r="E65" s="632"/>
      <c r="F65" s="632"/>
      <c r="G65" s="662"/>
      <c r="H65" s="632"/>
      <c r="I65" s="660" t="s">
        <v>1146</v>
      </c>
      <c r="J65" s="795">
        <v>6.7901291056027139E-4</v>
      </c>
      <c r="K65" s="663"/>
      <c r="L65" s="663"/>
    </row>
    <row r="66" spans="1:13">
      <c r="A66" s="629">
        <f t="shared" si="6"/>
        <v>46</v>
      </c>
      <c r="B66" s="632"/>
      <c r="C66" s="632"/>
      <c r="D66" s="632"/>
      <c r="E66" s="632"/>
      <c r="F66" s="632"/>
      <c r="G66" s="662"/>
      <c r="H66" s="632"/>
      <c r="I66" s="660"/>
      <c r="J66" s="639">
        <f>SUM(J64:J65)</f>
        <v>1</v>
      </c>
      <c r="K66" s="663"/>
      <c r="L66" s="663"/>
    </row>
    <row r="67" spans="1:13">
      <c r="A67" s="629"/>
    </row>
    <row r="68" spans="1:13">
      <c r="A68" s="629" t="s">
        <v>735</v>
      </c>
      <c r="B68" s="630"/>
      <c r="C68" s="630"/>
      <c r="D68" s="630"/>
      <c r="E68" s="630"/>
      <c r="F68" s="632"/>
      <c r="G68" s="632"/>
      <c r="H68" s="632"/>
      <c r="I68" s="632"/>
      <c r="J68" s="632"/>
      <c r="K68" s="632"/>
      <c r="L68" s="664"/>
      <c r="M68" s="664"/>
    </row>
    <row r="69" spans="1:13">
      <c r="A69" s="629" t="s">
        <v>350</v>
      </c>
      <c r="B69" s="632" t="s">
        <v>1147</v>
      </c>
      <c r="C69" s="632"/>
      <c r="D69" s="639"/>
      <c r="E69" s="632"/>
      <c r="F69" s="632"/>
      <c r="G69" s="632"/>
      <c r="H69" s="632"/>
      <c r="I69" s="632"/>
      <c r="J69" s="632"/>
      <c r="K69" s="632"/>
      <c r="L69" s="664"/>
      <c r="M69" s="664"/>
    </row>
    <row r="70" spans="1:13">
      <c r="A70" s="629"/>
      <c r="B70" s="632" t="s">
        <v>1148</v>
      </c>
      <c r="C70" s="632"/>
      <c r="D70" s="639"/>
      <c r="E70" s="632"/>
      <c r="F70" s="632"/>
      <c r="G70" s="632"/>
      <c r="H70" s="632"/>
      <c r="I70" s="632"/>
      <c r="J70" s="632"/>
    </row>
    <row r="71" spans="1:13">
      <c r="A71" s="629" t="s">
        <v>352</v>
      </c>
      <c r="B71" s="630" t="s">
        <v>1149</v>
      </c>
      <c r="C71" s="632"/>
      <c r="D71" s="632"/>
      <c r="E71" s="632"/>
      <c r="F71" s="632"/>
      <c r="G71" s="632"/>
      <c r="H71" s="632"/>
      <c r="I71" s="632"/>
      <c r="J71" s="632"/>
    </row>
    <row r="72" spans="1:13">
      <c r="A72" s="629" t="s">
        <v>354</v>
      </c>
      <c r="B72" s="632" t="s">
        <v>1150</v>
      </c>
      <c r="C72" s="630"/>
      <c r="D72" s="630"/>
      <c r="E72" s="630"/>
      <c r="F72" s="632"/>
      <c r="G72" s="632"/>
      <c r="H72" s="632"/>
      <c r="I72" s="632"/>
      <c r="J72" s="632"/>
    </row>
    <row r="73" spans="1:13">
      <c r="A73" s="629" t="s">
        <v>356</v>
      </c>
      <c r="B73" s="665" t="s">
        <v>1169</v>
      </c>
    </row>
    <row r="74" spans="1:13">
      <c r="A74" s="629" t="s">
        <v>357</v>
      </c>
      <c r="B74" s="665" t="s">
        <v>1170</v>
      </c>
    </row>
    <row r="75" spans="1:13">
      <c r="A75" s="629" t="s">
        <v>359</v>
      </c>
      <c r="B75" s="665" t="s">
        <v>1153</v>
      </c>
    </row>
    <row r="76" spans="1:13">
      <c r="M76" s="619" t="s">
        <v>717</v>
      </c>
    </row>
    <row r="78" spans="1:13">
      <c r="G78" s="621" t="str">
        <f>G3</f>
        <v>Attachment 10a</v>
      </c>
    </row>
    <row r="79" spans="1:13">
      <c r="G79" s="621" t="str">
        <f>G4</f>
        <v>Actual ownership</v>
      </c>
    </row>
    <row r="80" spans="1:13">
      <c r="G80" s="622" t="str">
        <f>G5</f>
        <v>GridLiance Heartland LLC</v>
      </c>
    </row>
    <row r="83" spans="1:13">
      <c r="A83" s="666"/>
      <c r="B83" s="667"/>
      <c r="C83" s="667"/>
      <c r="D83" s="667"/>
      <c r="E83" s="667"/>
      <c r="F83" s="667"/>
      <c r="G83" s="667"/>
      <c r="H83" s="667"/>
      <c r="I83" s="667"/>
      <c r="J83" s="667"/>
      <c r="K83" s="667"/>
      <c r="L83" s="667"/>
      <c r="M83" s="668"/>
    </row>
    <row r="84" spans="1:13">
      <c r="A84" s="665"/>
      <c r="B84" s="625" t="s">
        <v>6</v>
      </c>
      <c r="D84" s="625" t="s">
        <v>7</v>
      </c>
      <c r="F84" s="625" t="s">
        <v>8</v>
      </c>
      <c r="H84" s="625" t="s">
        <v>10</v>
      </c>
      <c r="J84" s="625" t="s">
        <v>11</v>
      </c>
      <c r="L84" s="625" t="s">
        <v>1154</v>
      </c>
      <c r="M84" s="669"/>
    </row>
    <row r="85" spans="1:13" ht="63.75">
      <c r="A85" s="670" t="s">
        <v>506</v>
      </c>
      <c r="B85" s="671" t="s">
        <v>1155</v>
      </c>
      <c r="C85" s="672"/>
      <c r="D85" s="673" t="s">
        <v>1156</v>
      </c>
      <c r="E85" s="672"/>
      <c r="F85" s="673" t="s">
        <v>1157</v>
      </c>
      <c r="G85" s="674"/>
      <c r="H85" s="673" t="s">
        <v>1158</v>
      </c>
      <c r="I85" s="674"/>
      <c r="J85" s="673" t="s">
        <v>1159</v>
      </c>
      <c r="K85" s="674"/>
      <c r="L85" s="673" t="s">
        <v>1160</v>
      </c>
      <c r="M85" s="675"/>
    </row>
    <row r="86" spans="1:13">
      <c r="A86" s="676">
        <v>1</v>
      </c>
      <c r="B86" s="798" t="s">
        <v>1161</v>
      </c>
      <c r="C86" s="678"/>
      <c r="D86" s="796">
        <v>0.51500000000000001</v>
      </c>
      <c r="E86" s="679"/>
      <c r="F86" s="796">
        <v>9.5000000000000001E-2</v>
      </c>
      <c r="G86" s="679"/>
      <c r="H86" s="796">
        <v>0</v>
      </c>
      <c r="I86" s="679"/>
      <c r="J86" s="638">
        <f>D86*F86</f>
        <v>4.8925000000000003E-2</v>
      </c>
      <c r="K86" s="638"/>
      <c r="L86" s="638">
        <f>D86*H86</f>
        <v>0</v>
      </c>
      <c r="M86" s="680"/>
    </row>
    <row r="87" spans="1:13">
      <c r="A87" s="676">
        <f>+A86+1</f>
        <v>2</v>
      </c>
      <c r="B87" s="798" t="s">
        <v>1162</v>
      </c>
      <c r="C87" s="678"/>
      <c r="D87" s="796">
        <v>0.48499999999999999</v>
      </c>
      <c r="E87" s="679"/>
      <c r="F87" s="796">
        <v>6.9999999999999993E-2</v>
      </c>
      <c r="G87" s="679"/>
      <c r="H87" s="796">
        <v>0</v>
      </c>
      <c r="I87" s="679"/>
      <c r="J87" s="638">
        <f>D87*F87</f>
        <v>3.3949999999999994E-2</v>
      </c>
      <c r="K87" s="638"/>
      <c r="L87" s="638">
        <f>D87*H87</f>
        <v>0</v>
      </c>
      <c r="M87" s="680"/>
    </row>
    <row r="88" spans="1:13">
      <c r="A88" s="676">
        <f>+A87+1</f>
        <v>3</v>
      </c>
      <c r="B88" s="798" t="s">
        <v>1163</v>
      </c>
      <c r="C88" s="678"/>
      <c r="D88" s="796">
        <v>0</v>
      </c>
      <c r="E88" s="679"/>
      <c r="F88" s="796">
        <v>0</v>
      </c>
      <c r="G88" s="679"/>
      <c r="H88" s="796">
        <v>0</v>
      </c>
      <c r="I88" s="679"/>
      <c r="J88" s="638">
        <f>D88*F88</f>
        <v>0</v>
      </c>
      <c r="K88" s="638"/>
      <c r="L88" s="638">
        <f>D88*H88</f>
        <v>0</v>
      </c>
      <c r="M88" s="680"/>
    </row>
    <row r="89" spans="1:13">
      <c r="A89" s="676">
        <f>+A88+1</f>
        <v>4</v>
      </c>
      <c r="B89" s="798" t="s">
        <v>1164</v>
      </c>
      <c r="C89" s="678"/>
      <c r="D89" s="796">
        <v>0</v>
      </c>
      <c r="E89" s="679"/>
      <c r="F89" s="796">
        <v>0</v>
      </c>
      <c r="G89" s="679"/>
      <c r="H89" s="796">
        <v>0</v>
      </c>
      <c r="I89" s="679"/>
      <c r="J89" s="638">
        <f>D89*F89</f>
        <v>0</v>
      </c>
      <c r="K89" s="638"/>
      <c r="L89" s="638">
        <f>D89*H89</f>
        <v>0</v>
      </c>
      <c r="M89" s="680"/>
    </row>
    <row r="90" spans="1:13">
      <c r="A90" s="681">
        <f>+A89+1</f>
        <v>5</v>
      </c>
      <c r="B90" s="799" t="s">
        <v>1165</v>
      </c>
      <c r="C90" s="683"/>
      <c r="D90" s="797">
        <v>0</v>
      </c>
      <c r="E90" s="674"/>
      <c r="F90" s="797">
        <v>0</v>
      </c>
      <c r="G90" s="674"/>
      <c r="H90" s="797">
        <v>0</v>
      </c>
      <c r="I90" s="674"/>
      <c r="J90" s="638">
        <f>D90*F90</f>
        <v>0</v>
      </c>
      <c r="K90" s="638"/>
      <c r="L90" s="638">
        <f>D90*H90</f>
        <v>0</v>
      </c>
      <c r="M90" s="680"/>
    </row>
    <row r="91" spans="1:13">
      <c r="A91" s="676">
        <f>+A90+1</f>
        <v>6</v>
      </c>
      <c r="B91" s="685" t="s">
        <v>1166</v>
      </c>
      <c r="C91" s="678"/>
      <c r="D91" s="679"/>
      <c r="E91" s="679"/>
      <c r="F91" s="679"/>
      <c r="G91" s="679"/>
      <c r="H91" s="679"/>
      <c r="I91" s="679"/>
      <c r="J91" s="661">
        <f>SUM(J86:J90)</f>
        <v>8.2875000000000004E-2</v>
      </c>
      <c r="K91" s="686"/>
      <c r="L91" s="686">
        <f>SUM(L86:L90)</f>
        <v>0</v>
      </c>
      <c r="M91" s="687"/>
    </row>
    <row r="92" spans="1:13" ht="15.75">
      <c r="A92" s="688"/>
      <c r="B92" s="689"/>
      <c r="C92" s="689"/>
      <c r="D92" s="689"/>
      <c r="E92" s="689"/>
      <c r="F92" s="689"/>
      <c r="G92" s="689"/>
      <c r="H92" s="689"/>
      <c r="I92" s="689"/>
      <c r="J92" s="690"/>
      <c r="K92" s="690"/>
      <c r="L92" s="690"/>
      <c r="M92" s="690"/>
    </row>
  </sheetData>
  <mergeCells count="1">
    <mergeCell ref="F43:J43"/>
  </mergeCells>
  <pageMargins left="0.25" right="0.25" top="0.75" bottom="0.75" header="0.3" footer="0.3"/>
  <pageSetup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8E2A-819C-4A01-BE2B-F6C164DBBB27}">
  <dimension ref="A1:W114"/>
  <sheetViews>
    <sheetView workbookViewId="0"/>
  </sheetViews>
  <sheetFormatPr defaultColWidth="8.88671875" defaultRowHeight="12.75"/>
  <cols>
    <col min="1" max="1" width="6" style="162" customWidth="1"/>
    <col min="2" max="2" width="1.44140625" style="162" customWidth="1"/>
    <col min="3" max="3" width="25.6640625" style="162" customWidth="1"/>
    <col min="4" max="4" width="12" style="162" customWidth="1"/>
    <col min="5" max="5" width="13.44140625" style="162" customWidth="1"/>
    <col min="6" max="6" width="13.109375" style="162" customWidth="1"/>
    <col min="7" max="7" width="14.44140625" style="162" customWidth="1"/>
    <col min="8" max="8" width="13.33203125" style="162" customWidth="1"/>
    <col min="9" max="9" width="13.77734375" style="162" customWidth="1"/>
    <col min="10" max="10" width="12.44140625" style="162" customWidth="1"/>
    <col min="11" max="11" width="12.5546875" style="162" customWidth="1"/>
    <col min="12" max="12" width="12.6640625" style="162" customWidth="1"/>
    <col min="13" max="13" width="12.109375" style="162" customWidth="1"/>
    <col min="14" max="14" width="8.6640625" style="162" customWidth="1"/>
    <col min="15" max="15" width="14.44140625" style="162" customWidth="1"/>
    <col min="16" max="16" width="12.77734375" style="162" customWidth="1"/>
    <col min="17" max="17" width="13.88671875" style="162" customWidth="1"/>
    <col min="18" max="18" width="12.109375" style="162" customWidth="1"/>
    <col min="19" max="19" width="9.88671875" style="162" customWidth="1"/>
    <col min="20" max="20" width="12.109375" style="162" customWidth="1"/>
    <col min="21" max="21" width="11.33203125" style="162" customWidth="1"/>
    <col min="22" max="22" width="10.21875" style="162" customWidth="1"/>
    <col min="23" max="23" width="11.21875" style="162" customWidth="1"/>
    <col min="24" max="24" width="9.109375" style="162" bestFit="1" customWidth="1"/>
    <col min="25" max="16384" width="8.88671875" style="162"/>
  </cols>
  <sheetData>
    <row r="1" spans="1:21">
      <c r="Q1" s="163"/>
    </row>
    <row r="2" spans="1:21">
      <c r="Q2" s="163"/>
    </row>
    <row r="4" spans="1:21">
      <c r="E4" s="601" t="s">
        <v>1068</v>
      </c>
      <c r="L4" s="162" t="s">
        <v>426</v>
      </c>
      <c r="Q4" s="163"/>
    </row>
    <row r="5" spans="1:21">
      <c r="D5" s="165"/>
      <c r="E5" s="601" t="s">
        <v>1069</v>
      </c>
      <c r="F5" s="165"/>
      <c r="H5" s="165"/>
      <c r="I5" s="165"/>
      <c r="J5" s="165"/>
      <c r="L5" s="1"/>
      <c r="M5" s="166"/>
      <c r="N5" s="166"/>
      <c r="O5" s="166"/>
      <c r="P5" s="166"/>
      <c r="Q5" s="166"/>
      <c r="R5" s="167"/>
      <c r="S5" s="168"/>
      <c r="T5" s="168"/>
      <c r="U5" s="167"/>
    </row>
    <row r="6" spans="1:21">
      <c r="D6" s="165"/>
      <c r="E6" s="593" t="str">
        <f>+'9A-Non-MISO ATRR'!D5</f>
        <v>GridLiance Heartland LLC</v>
      </c>
      <c r="F6" s="169"/>
      <c r="H6" s="169"/>
      <c r="I6" s="169"/>
      <c r="J6" s="169"/>
      <c r="P6" s="167"/>
      <c r="Q6" s="165"/>
      <c r="R6" s="167"/>
      <c r="S6" s="170"/>
      <c r="T6" s="168"/>
      <c r="U6" s="167"/>
    </row>
    <row r="7" spans="1:21">
      <c r="C7" s="167"/>
      <c r="D7" s="167"/>
      <c r="E7" s="167"/>
      <c r="F7" s="167"/>
      <c r="H7" s="167"/>
      <c r="I7" s="167"/>
      <c r="J7" s="167"/>
      <c r="P7" s="167"/>
      <c r="Q7" s="167"/>
      <c r="R7" s="167"/>
      <c r="S7" s="168"/>
      <c r="T7" s="168"/>
      <c r="U7" s="167"/>
    </row>
    <row r="8" spans="1:21">
      <c r="A8" s="594"/>
      <c r="C8" s="167"/>
      <c r="D8" s="167"/>
      <c r="E8" s="167"/>
      <c r="F8" s="167"/>
      <c r="H8" s="167"/>
      <c r="I8" s="167"/>
      <c r="J8" s="167"/>
      <c r="K8" s="167"/>
      <c r="L8" s="167"/>
      <c r="M8" s="167"/>
      <c r="N8" s="167"/>
      <c r="O8" s="167"/>
      <c r="P8" s="167"/>
      <c r="Q8" s="167"/>
      <c r="R8" s="167"/>
      <c r="S8" s="168"/>
      <c r="T8" s="168"/>
      <c r="U8" s="167"/>
    </row>
    <row r="9" spans="1:21">
      <c r="A9" s="594"/>
      <c r="C9" s="167"/>
      <c r="D9" s="167"/>
      <c r="E9" s="167"/>
      <c r="F9" s="167"/>
      <c r="G9" s="171"/>
      <c r="H9" s="167"/>
      <c r="I9" s="167"/>
      <c r="J9" s="167"/>
      <c r="K9" s="167"/>
      <c r="L9" s="167"/>
      <c r="M9" s="167"/>
      <c r="N9" s="167"/>
      <c r="O9" s="167"/>
      <c r="P9" s="167"/>
      <c r="Q9" s="167"/>
      <c r="R9" s="167"/>
      <c r="S9" s="168"/>
      <c r="T9" s="168"/>
      <c r="U9" s="167"/>
    </row>
    <row r="10" spans="1:21">
      <c r="A10" s="38"/>
      <c r="B10" s="2"/>
      <c r="C10" s="39" t="s">
        <v>1070</v>
      </c>
      <c r="D10" s="39"/>
      <c r="E10" s="39"/>
      <c r="F10" s="39"/>
      <c r="G10" s="39"/>
      <c r="H10" s="39"/>
      <c r="I10" s="39"/>
      <c r="J10" s="172"/>
      <c r="K10" s="172"/>
      <c r="L10" s="39"/>
      <c r="M10" s="167"/>
      <c r="N10" s="167"/>
      <c r="O10" s="167"/>
      <c r="P10" s="167"/>
      <c r="Q10" s="167"/>
      <c r="R10" s="167"/>
      <c r="S10" s="168"/>
      <c r="T10" s="168"/>
      <c r="U10" s="167"/>
    </row>
    <row r="11" spans="1:21">
      <c r="A11" s="38"/>
      <c r="B11" s="2"/>
      <c r="C11" s="39" t="s">
        <v>1071</v>
      </c>
      <c r="D11" s="39"/>
      <c r="E11" s="39"/>
      <c r="F11" s="39"/>
      <c r="G11" s="39"/>
      <c r="H11" s="39"/>
      <c r="I11" s="39"/>
      <c r="J11" s="172"/>
      <c r="K11" s="172"/>
      <c r="L11" s="2"/>
      <c r="M11" s="167"/>
      <c r="N11" s="167"/>
      <c r="O11" s="167"/>
      <c r="P11" s="167"/>
      <c r="Q11" s="167"/>
      <c r="R11" s="167"/>
      <c r="S11" s="167"/>
      <c r="T11" s="167"/>
      <c r="U11" s="167"/>
    </row>
    <row r="12" spans="1:21">
      <c r="A12" s="38"/>
      <c r="B12" s="2"/>
      <c r="C12" s="39"/>
      <c r="D12" s="39"/>
      <c r="E12" s="39"/>
      <c r="F12" s="39"/>
      <c r="G12" s="39"/>
      <c r="H12" s="39"/>
      <c r="I12" s="39"/>
      <c r="J12" s="39"/>
      <c r="K12" s="39"/>
      <c r="L12" s="2"/>
      <c r="M12" s="169"/>
      <c r="N12" s="169"/>
      <c r="O12" s="169"/>
      <c r="P12" s="167"/>
      <c r="Q12" s="167"/>
      <c r="R12" s="167"/>
      <c r="S12" s="167"/>
      <c r="T12" s="167"/>
      <c r="U12" s="167"/>
    </row>
    <row r="13" spans="1:21">
      <c r="A13" s="2"/>
      <c r="B13" s="2"/>
      <c r="C13" s="596" t="s">
        <v>6</v>
      </c>
      <c r="D13" s="596"/>
      <c r="E13" s="596"/>
      <c r="F13" s="596"/>
      <c r="G13" s="596" t="s">
        <v>7</v>
      </c>
      <c r="I13" s="596"/>
      <c r="J13" s="596" t="s">
        <v>8</v>
      </c>
      <c r="K13" s="596"/>
      <c r="L13" s="174" t="s">
        <v>10</v>
      </c>
      <c r="M13" s="175"/>
      <c r="N13" s="175"/>
      <c r="O13" s="175"/>
      <c r="P13" s="169"/>
      <c r="Q13" s="175"/>
      <c r="R13" s="169"/>
      <c r="S13" s="175"/>
      <c r="T13" s="169"/>
      <c r="U13" s="167"/>
    </row>
    <row r="14" spans="1:21">
      <c r="A14" s="2"/>
      <c r="B14" s="2"/>
      <c r="C14" s="39"/>
      <c r="D14" s="39"/>
      <c r="E14" s="39"/>
      <c r="F14" s="39"/>
      <c r="G14" s="176" t="s">
        <v>15</v>
      </c>
      <c r="I14" s="176"/>
      <c r="J14" s="40"/>
      <c r="K14" s="40"/>
      <c r="L14" s="2"/>
      <c r="P14" s="169"/>
      <c r="R14" s="169"/>
      <c r="S14" s="592"/>
      <c r="T14" s="592"/>
      <c r="U14" s="167"/>
    </row>
    <row r="15" spans="1:21">
      <c r="A15" s="38" t="s">
        <v>12</v>
      </c>
      <c r="B15" s="2"/>
      <c r="C15" s="39"/>
      <c r="D15" s="39"/>
      <c r="E15" s="39"/>
      <c r="F15" s="39"/>
      <c r="G15" s="178" t="s">
        <v>430</v>
      </c>
      <c r="I15" s="178"/>
      <c r="J15" s="179" t="s">
        <v>75</v>
      </c>
      <c r="K15" s="179"/>
      <c r="L15" s="179" t="s">
        <v>22</v>
      </c>
      <c r="M15" s="180"/>
      <c r="N15" s="180"/>
      <c r="O15" s="180"/>
      <c r="P15" s="169"/>
      <c r="R15" s="167"/>
      <c r="S15" s="181"/>
      <c r="T15" s="592"/>
      <c r="U15" s="167"/>
    </row>
    <row r="16" spans="1:21">
      <c r="A16" s="38" t="s">
        <v>14</v>
      </c>
      <c r="B16" s="2"/>
      <c r="C16" s="182"/>
      <c r="D16" s="182"/>
      <c r="E16" s="182"/>
      <c r="F16" s="182"/>
      <c r="G16" s="40"/>
      <c r="I16" s="40"/>
      <c r="J16" s="40"/>
      <c r="K16" s="40"/>
      <c r="L16" s="40"/>
      <c r="M16" s="169"/>
      <c r="N16" s="169"/>
      <c r="O16" s="169"/>
      <c r="P16" s="169"/>
      <c r="Q16" s="169"/>
      <c r="R16" s="167"/>
      <c r="S16" s="169"/>
      <c r="T16" s="169"/>
      <c r="U16" s="167"/>
    </row>
    <row r="17" spans="1:21">
      <c r="A17" s="183"/>
      <c r="B17" s="2"/>
      <c r="C17" s="39"/>
      <c r="D17" s="39"/>
      <c r="E17" s="39"/>
      <c r="F17" s="39"/>
      <c r="G17" s="40"/>
      <c r="I17" s="40"/>
      <c r="J17" s="40"/>
      <c r="K17" s="40"/>
      <c r="L17" s="40"/>
      <c r="M17" s="169"/>
      <c r="N17" s="169"/>
      <c r="O17" s="169"/>
      <c r="P17" s="169"/>
      <c r="Q17" s="169"/>
      <c r="R17" s="167"/>
      <c r="S17" s="169"/>
      <c r="T17" s="169"/>
      <c r="U17" s="167"/>
    </row>
    <row r="18" spans="1:21">
      <c r="A18" s="591">
        <v>1</v>
      </c>
      <c r="C18" s="167" t="s">
        <v>431</v>
      </c>
      <c r="D18" s="167"/>
      <c r="E18" s="167"/>
      <c r="F18" s="167"/>
      <c r="G18" s="185" t="s">
        <v>1026</v>
      </c>
      <c r="I18" s="591"/>
      <c r="J18" s="35">
        <f>+'9A-Non-MISO ATRR'!I66</f>
        <v>5719626.304173097</v>
      </c>
      <c r="L18" s="2"/>
      <c r="P18" s="169"/>
      <c r="Q18" s="169"/>
      <c r="R18" s="167"/>
      <c r="S18" s="169"/>
      <c r="T18" s="169"/>
      <c r="U18" s="167"/>
    </row>
    <row r="19" spans="1:21">
      <c r="A19" s="591" t="s">
        <v>151</v>
      </c>
      <c r="C19" s="167" t="s">
        <v>433</v>
      </c>
      <c r="D19" s="167"/>
      <c r="E19" s="167"/>
      <c r="F19" s="167"/>
      <c r="G19" s="185" t="s">
        <v>1027</v>
      </c>
      <c r="I19" s="591"/>
      <c r="J19" s="35">
        <f>+'9A-Non-MISO ATRR'!I74</f>
        <v>2863394.6747044036</v>
      </c>
      <c r="L19" s="2"/>
      <c r="P19" s="169"/>
      <c r="Q19" s="169"/>
      <c r="R19" s="167"/>
      <c r="S19" s="169"/>
      <c r="T19" s="169"/>
      <c r="U19" s="167"/>
    </row>
    <row r="20" spans="1:21">
      <c r="A20" s="591" t="s">
        <v>153</v>
      </c>
      <c r="C20" s="167" t="s">
        <v>435</v>
      </c>
      <c r="D20" s="167"/>
      <c r="E20" s="167"/>
      <c r="F20" s="167"/>
      <c r="G20" s="185" t="s">
        <v>1028</v>
      </c>
      <c r="I20" s="591"/>
      <c r="J20" s="186">
        <f>+'9A-Non-MISO ATRR'!I88+'9A-Non-MISO ATRR'!I96+'9A-Non-MISO ATRR'!I97</f>
        <v>0</v>
      </c>
      <c r="L20" s="2"/>
      <c r="P20" s="169"/>
      <c r="Q20" s="169"/>
      <c r="R20" s="167"/>
      <c r="S20" s="169"/>
      <c r="T20" s="169"/>
      <c r="U20" s="167"/>
    </row>
    <row r="21" spans="1:21">
      <c r="A21" s="591">
        <v>2</v>
      </c>
      <c r="C21" s="167" t="s">
        <v>437</v>
      </c>
      <c r="D21" s="167"/>
      <c r="E21" s="167"/>
      <c r="F21" s="167"/>
      <c r="G21" s="187" t="s">
        <v>438</v>
      </c>
      <c r="I21" s="591"/>
      <c r="J21" s="35">
        <f>+J18-J19+J20</f>
        <v>2856231.6294686934</v>
      </c>
      <c r="L21" s="2"/>
      <c r="P21" s="169"/>
      <c r="Q21" s="169"/>
      <c r="R21" s="167"/>
      <c r="S21" s="169"/>
      <c r="T21" s="169"/>
      <c r="U21" s="167"/>
    </row>
    <row r="22" spans="1:21">
      <c r="A22" s="188"/>
      <c r="B22" s="2"/>
      <c r="C22" s="2"/>
      <c r="D22" s="2"/>
      <c r="E22" s="2"/>
      <c r="F22" s="2"/>
      <c r="G22" s="187"/>
      <c r="I22" s="188"/>
      <c r="J22" s="2"/>
      <c r="K22" s="2"/>
      <c r="L22" s="2"/>
      <c r="M22" s="169"/>
      <c r="N22" s="169"/>
      <c r="O22" s="169"/>
      <c r="P22" s="169"/>
      <c r="Q22" s="169"/>
      <c r="R22" s="169"/>
      <c r="S22" s="169"/>
      <c r="T22" s="169"/>
      <c r="U22" s="167"/>
    </row>
    <row r="23" spans="1:21">
      <c r="A23" s="188"/>
      <c r="B23" s="2"/>
      <c r="C23" s="39" t="s">
        <v>439</v>
      </c>
      <c r="D23" s="39"/>
      <c r="E23" s="39"/>
      <c r="F23" s="39"/>
      <c r="G23" s="187"/>
      <c r="I23" s="188"/>
      <c r="J23" s="40"/>
      <c r="K23" s="40"/>
      <c r="L23" s="40"/>
      <c r="P23" s="169"/>
      <c r="Q23" s="169"/>
      <c r="R23" s="169"/>
      <c r="S23" s="169"/>
      <c r="T23" s="169"/>
      <c r="U23" s="167"/>
    </row>
    <row r="24" spans="1:21">
      <c r="A24" s="188">
        <v>3</v>
      </c>
      <c r="B24" s="2"/>
      <c r="C24" s="39" t="s">
        <v>440</v>
      </c>
      <c r="D24" s="39"/>
      <c r="E24" s="39"/>
      <c r="F24" s="39"/>
      <c r="G24" s="187" t="s">
        <v>1029</v>
      </c>
      <c r="I24" s="188"/>
      <c r="J24" s="35">
        <f>+'9A-Non-MISO ATRR'!I138</f>
        <v>1488925.3684994983</v>
      </c>
      <c r="K24" s="40"/>
      <c r="L24" s="2"/>
      <c r="M24" s="189"/>
      <c r="N24" s="189"/>
      <c r="O24" s="189"/>
      <c r="P24" s="169"/>
      <c r="Q24" s="190"/>
      <c r="R24" s="191"/>
      <c r="S24" s="192"/>
      <c r="T24" s="169"/>
      <c r="U24" s="167"/>
    </row>
    <row r="25" spans="1:21">
      <c r="A25" s="188" t="s">
        <v>442</v>
      </c>
      <c r="B25" s="2"/>
      <c r="C25" s="39" t="s">
        <v>443</v>
      </c>
      <c r="D25" s="39"/>
      <c r="E25" s="39"/>
      <c r="F25" s="39"/>
      <c r="G25" s="187" t="s">
        <v>1030</v>
      </c>
      <c r="I25" s="188"/>
      <c r="J25" s="35">
        <f>+'9A-Non-MISO ATRR'!I122</f>
        <v>724174.9782935424</v>
      </c>
      <c r="K25" s="40"/>
      <c r="L25" s="2"/>
      <c r="M25" s="189"/>
      <c r="N25" s="189"/>
      <c r="O25" s="189"/>
      <c r="P25" s="169"/>
      <c r="Q25" s="190"/>
      <c r="R25" s="191"/>
      <c r="S25" s="192"/>
      <c r="T25" s="169"/>
      <c r="U25" s="167"/>
    </row>
    <row r="26" spans="1:21" ht="25.5">
      <c r="A26" s="188" t="s">
        <v>445</v>
      </c>
      <c r="B26" s="2"/>
      <c r="C26" s="604" t="s">
        <v>1072</v>
      </c>
      <c r="D26" s="39"/>
      <c r="E26" s="39"/>
      <c r="F26" s="39"/>
      <c r="G26" s="187" t="s">
        <v>1037</v>
      </c>
      <c r="I26" s="188"/>
      <c r="J26" s="35">
        <f>+'9A-Non-MISO ATRR'!I123</f>
        <v>196426.5110401368</v>
      </c>
      <c r="K26" s="40"/>
      <c r="L26" s="2"/>
      <c r="M26" s="169"/>
      <c r="N26" s="169"/>
      <c r="O26" s="169"/>
      <c r="P26" s="169"/>
      <c r="Q26" s="190"/>
      <c r="R26" s="191"/>
      <c r="S26" s="192"/>
      <c r="T26" s="169"/>
      <c r="U26" s="167"/>
    </row>
    <row r="27" spans="1:21">
      <c r="A27" s="188" t="s">
        <v>446</v>
      </c>
      <c r="B27" s="2"/>
      <c r="C27" s="39" t="s">
        <v>447</v>
      </c>
      <c r="D27" s="39"/>
      <c r="E27" s="39"/>
      <c r="F27" s="39"/>
      <c r="G27" s="187" t="s">
        <v>1031</v>
      </c>
      <c r="I27" s="188"/>
      <c r="J27" s="35">
        <f>+'9A-Non-MISO ATRR'!I125</f>
        <v>0</v>
      </c>
      <c r="K27" s="193"/>
      <c r="L27" s="2"/>
      <c r="P27" s="169"/>
      <c r="Q27" s="190"/>
      <c r="R27" s="191"/>
      <c r="S27" s="192"/>
      <c r="T27" s="169"/>
      <c r="U27" s="167"/>
    </row>
    <row r="28" spans="1:21">
      <c r="A28" s="188" t="s">
        <v>449</v>
      </c>
      <c r="B28" s="2"/>
      <c r="C28" s="167" t="s">
        <v>450</v>
      </c>
      <c r="D28" s="39"/>
      <c r="E28" s="39"/>
      <c r="F28" s="39"/>
      <c r="G28" s="187" t="s">
        <v>1032</v>
      </c>
      <c r="I28" s="188"/>
      <c r="J28" s="186">
        <f>+'9A-Non-MISO ATRR'!I135</f>
        <v>0</v>
      </c>
      <c r="K28" s="193"/>
      <c r="L28" s="2"/>
      <c r="P28" s="169"/>
      <c r="Q28" s="190"/>
      <c r="R28" s="191"/>
      <c r="S28" s="192"/>
      <c r="T28" s="169"/>
      <c r="U28" s="167"/>
    </row>
    <row r="29" spans="1:21">
      <c r="A29" s="188" t="s">
        <v>452</v>
      </c>
      <c r="B29" s="2"/>
      <c r="C29" s="39" t="s">
        <v>453</v>
      </c>
      <c r="D29" s="39"/>
      <c r="E29" s="39"/>
      <c r="F29" s="39"/>
      <c r="G29" s="187" t="s">
        <v>454</v>
      </c>
      <c r="I29" s="188"/>
      <c r="J29" s="35">
        <f>J25-(J26+J27)-J28</f>
        <v>527748.4672534056</v>
      </c>
      <c r="K29" s="40"/>
      <c r="L29" s="2"/>
      <c r="M29" s="189"/>
      <c r="N29" s="189"/>
      <c r="O29" s="189"/>
      <c r="P29" s="169"/>
      <c r="Q29" s="190"/>
      <c r="R29" s="191"/>
      <c r="S29" s="192"/>
      <c r="T29" s="169"/>
      <c r="U29" s="167"/>
    </row>
    <row r="30" spans="1:21">
      <c r="A30" s="188"/>
      <c r="B30" s="2"/>
      <c r="C30" s="39"/>
      <c r="D30" s="39"/>
      <c r="E30" s="39"/>
      <c r="F30" s="39"/>
      <c r="G30" s="187"/>
      <c r="I30" s="188"/>
      <c r="J30" s="40"/>
      <c r="K30" s="40"/>
      <c r="L30" s="2"/>
      <c r="M30" s="189"/>
      <c r="N30" s="189"/>
      <c r="O30" s="189"/>
      <c r="P30" s="169"/>
      <c r="Q30" s="190"/>
      <c r="R30" s="191"/>
      <c r="S30" s="192"/>
      <c r="T30" s="169"/>
      <c r="U30" s="167"/>
    </row>
    <row r="31" spans="1:21">
      <c r="A31" s="188">
        <v>4</v>
      </c>
      <c r="B31" s="2"/>
      <c r="C31" s="182" t="s">
        <v>455</v>
      </c>
      <c r="D31" s="182"/>
      <c r="E31" s="182"/>
      <c r="F31" s="182"/>
      <c r="G31" s="187" t="s">
        <v>456</v>
      </c>
      <c r="I31" s="188"/>
      <c r="J31" s="194">
        <f>IF(J18=0,0,J29/J18)</f>
        <v>9.2269746166520533E-2</v>
      </c>
      <c r="K31" s="194"/>
      <c r="L31" s="194">
        <f>J31</f>
        <v>9.2269746166520533E-2</v>
      </c>
      <c r="M31" s="169"/>
      <c r="N31" s="169"/>
      <c r="O31" s="169"/>
      <c r="P31" s="169"/>
      <c r="Q31" s="169"/>
      <c r="R31" s="169"/>
      <c r="S31" s="169"/>
      <c r="T31" s="169"/>
      <c r="U31" s="167"/>
    </row>
    <row r="32" spans="1:21">
      <c r="A32" s="188"/>
      <c r="B32" s="2"/>
      <c r="C32" s="39"/>
      <c r="D32" s="39"/>
      <c r="E32" s="39"/>
      <c r="F32" s="39"/>
      <c r="G32" s="187"/>
      <c r="I32" s="188"/>
      <c r="J32" s="21"/>
      <c r="K32" s="21"/>
      <c r="L32" s="21"/>
      <c r="P32" s="169"/>
      <c r="Q32" s="181"/>
      <c r="R32" s="169"/>
      <c r="S32" s="591"/>
      <c r="T32" s="592"/>
      <c r="U32" s="167"/>
    </row>
    <row r="33" spans="1:21">
      <c r="A33" s="188"/>
      <c r="B33" s="2"/>
      <c r="C33" s="39"/>
      <c r="D33" s="39"/>
      <c r="E33" s="39"/>
      <c r="F33" s="39"/>
      <c r="G33" s="187"/>
      <c r="I33" s="188"/>
      <c r="J33" s="21"/>
      <c r="K33" s="21"/>
      <c r="L33" s="21"/>
      <c r="M33" s="189"/>
      <c r="N33" s="189"/>
      <c r="O33" s="189"/>
      <c r="P33" s="169"/>
      <c r="Q33" s="190"/>
      <c r="R33" s="169"/>
      <c r="S33" s="192"/>
      <c r="T33" s="592"/>
      <c r="U33" s="167"/>
    </row>
    <row r="34" spans="1:21">
      <c r="A34" s="188"/>
      <c r="B34" s="2"/>
      <c r="C34" s="39" t="s">
        <v>457</v>
      </c>
      <c r="D34" s="39"/>
      <c r="E34" s="39"/>
      <c r="F34" s="39"/>
      <c r="G34" s="187"/>
      <c r="I34" s="188"/>
      <c r="J34" s="21"/>
      <c r="K34" s="21"/>
      <c r="L34" s="21"/>
      <c r="M34" s="169"/>
      <c r="N34" s="169"/>
      <c r="O34" s="169"/>
      <c r="P34" s="169"/>
      <c r="T34" s="169"/>
      <c r="U34" s="167"/>
    </row>
    <row r="35" spans="1:21">
      <c r="A35" s="188" t="s">
        <v>458</v>
      </c>
      <c r="B35" s="2"/>
      <c r="C35" s="39" t="s">
        <v>459</v>
      </c>
      <c r="D35" s="39"/>
      <c r="E35" s="39"/>
      <c r="F35" s="39"/>
      <c r="G35" s="187" t="s">
        <v>460</v>
      </c>
      <c r="I35" s="188"/>
      <c r="J35" s="21">
        <f>+J24-J29</f>
        <v>961176.90124609275</v>
      </c>
      <c r="K35" s="21"/>
      <c r="L35" s="21"/>
      <c r="M35" s="169"/>
      <c r="N35" s="169"/>
      <c r="O35" s="169"/>
      <c r="P35" s="169"/>
      <c r="T35" s="169"/>
      <c r="U35" s="167"/>
    </row>
    <row r="36" spans="1:21">
      <c r="A36" s="188" t="s">
        <v>461</v>
      </c>
      <c r="B36" s="2"/>
      <c r="C36" s="39" t="s">
        <v>462</v>
      </c>
      <c r="D36" s="39"/>
      <c r="E36" s="39"/>
      <c r="F36" s="39"/>
      <c r="G36" s="187" t="s">
        <v>463</v>
      </c>
      <c r="I36" s="188"/>
      <c r="J36" s="21">
        <f>IF(J18=0,0,J35/J18)</f>
        <v>0.16804889867451803</v>
      </c>
      <c r="K36" s="21"/>
      <c r="L36" s="21">
        <f>J36</f>
        <v>0.16804889867451803</v>
      </c>
      <c r="M36" s="169"/>
      <c r="N36" s="169"/>
      <c r="O36" s="169"/>
      <c r="P36" s="169"/>
      <c r="T36" s="169"/>
      <c r="U36" s="167"/>
    </row>
    <row r="37" spans="1:21">
      <c r="A37" s="188"/>
      <c r="B37" s="2"/>
      <c r="C37" s="39"/>
      <c r="D37" s="39"/>
      <c r="E37" s="39"/>
      <c r="F37" s="39"/>
      <c r="G37" s="187"/>
      <c r="I37" s="188"/>
      <c r="J37" s="21"/>
      <c r="K37" s="21"/>
      <c r="L37" s="21"/>
      <c r="M37" s="169"/>
      <c r="N37" s="169"/>
      <c r="O37" s="169"/>
      <c r="P37" s="169"/>
      <c r="T37" s="169"/>
      <c r="U37" s="167"/>
    </row>
    <row r="38" spans="1:21">
      <c r="A38" s="174"/>
      <c r="B38" s="2"/>
      <c r="C38" s="39" t="s">
        <v>464</v>
      </c>
      <c r="D38" s="39"/>
      <c r="E38" s="39"/>
      <c r="F38" s="39"/>
      <c r="G38" s="195"/>
      <c r="I38" s="595"/>
      <c r="J38" s="21"/>
      <c r="K38" s="21"/>
      <c r="L38" s="21"/>
      <c r="M38" s="196"/>
      <c r="N38" s="196"/>
      <c r="O38" s="196"/>
      <c r="P38" s="169"/>
      <c r="T38" s="169"/>
      <c r="U38" s="167"/>
    </row>
    <row r="39" spans="1:21">
      <c r="A39" s="174" t="s">
        <v>465</v>
      </c>
      <c r="B39" s="2"/>
      <c r="C39" s="39" t="s">
        <v>466</v>
      </c>
      <c r="D39" s="39"/>
      <c r="E39" s="39"/>
      <c r="F39" s="39"/>
      <c r="G39" s="187" t="s">
        <v>1033</v>
      </c>
      <c r="I39" s="188"/>
      <c r="J39" s="21">
        <f>+'9A-Non-MISO ATRR'!I142+'9A-Non-MISO ATRR'!I143</f>
        <v>0</v>
      </c>
      <c r="K39" s="21"/>
      <c r="L39" s="21"/>
      <c r="M39" s="169"/>
      <c r="N39" s="169"/>
      <c r="O39" s="169"/>
      <c r="P39" s="169"/>
      <c r="Q39" s="169"/>
      <c r="R39" s="169"/>
      <c r="S39" s="197"/>
      <c r="T39" s="169"/>
      <c r="U39" s="167"/>
    </row>
    <row r="40" spans="1:21">
      <c r="A40" s="174" t="s">
        <v>468</v>
      </c>
      <c r="B40" s="2"/>
      <c r="C40" s="39" t="s">
        <v>469</v>
      </c>
      <c r="D40" s="39"/>
      <c r="E40" s="39"/>
      <c r="F40" s="39"/>
      <c r="G40" s="187" t="s">
        <v>470</v>
      </c>
      <c r="I40" s="188"/>
      <c r="J40" s="21">
        <f>IF(J18=0,0,J39/J18)</f>
        <v>0</v>
      </c>
      <c r="K40" s="21"/>
      <c r="L40" s="21">
        <f>J40</f>
        <v>0</v>
      </c>
      <c r="M40" s="169"/>
      <c r="N40" s="169"/>
      <c r="O40" s="169"/>
      <c r="P40" s="198"/>
      <c r="Q40" s="199"/>
      <c r="T40" s="592"/>
      <c r="U40" s="169" t="s">
        <v>9</v>
      </c>
    </row>
    <row r="41" spans="1:21">
      <c r="A41" s="188"/>
      <c r="B41" s="2"/>
      <c r="C41" s="39"/>
      <c r="D41" s="39"/>
      <c r="E41" s="39"/>
      <c r="F41" s="39"/>
      <c r="G41" s="187"/>
      <c r="I41" s="188"/>
      <c r="J41" s="21"/>
      <c r="K41" s="21"/>
      <c r="L41" s="21"/>
      <c r="M41" s="169"/>
      <c r="N41" s="169"/>
      <c r="O41" s="169"/>
      <c r="P41" s="198"/>
      <c r="Q41" s="199"/>
      <c r="T41" s="592"/>
      <c r="U41" s="169"/>
    </row>
    <row r="42" spans="1:21">
      <c r="A42" s="174"/>
      <c r="B42" s="2"/>
      <c r="C42" s="39" t="s">
        <v>471</v>
      </c>
      <c r="D42" s="39"/>
      <c r="E42" s="39"/>
      <c r="F42" s="39"/>
      <c r="G42" s="195"/>
      <c r="I42" s="595"/>
      <c r="J42" s="21"/>
      <c r="K42" s="21"/>
      <c r="L42" s="21"/>
      <c r="M42" s="189"/>
      <c r="N42" s="189"/>
      <c r="O42" s="189"/>
      <c r="P42" s="198"/>
      <c r="Q42" s="199"/>
      <c r="R42" s="169"/>
      <c r="S42" s="169"/>
      <c r="T42" s="592"/>
      <c r="U42" s="169"/>
    </row>
    <row r="43" spans="1:21">
      <c r="A43" s="174" t="s">
        <v>472</v>
      </c>
      <c r="B43" s="2"/>
      <c r="C43" s="39" t="s">
        <v>473</v>
      </c>
      <c r="D43" s="39"/>
      <c r="E43" s="39"/>
      <c r="F43" s="39"/>
      <c r="G43" s="187" t="s">
        <v>1034</v>
      </c>
      <c r="I43" s="188"/>
      <c r="J43" s="21">
        <f>+'9A-Non-MISO ATRR'!I156</f>
        <v>100982.90783162153</v>
      </c>
      <c r="K43" s="21"/>
      <c r="L43" s="21"/>
      <c r="M43" s="169"/>
      <c r="N43" s="169"/>
      <c r="O43" s="169"/>
      <c r="P43" s="169"/>
      <c r="R43" s="167"/>
      <c r="S43" s="169"/>
      <c r="T43" s="167"/>
      <c r="U43" s="167"/>
    </row>
    <row r="44" spans="1:21">
      <c r="A44" s="174" t="s">
        <v>475</v>
      </c>
      <c r="B44" s="2"/>
      <c r="C44" s="39" t="s">
        <v>476</v>
      </c>
      <c r="D44" s="39"/>
      <c r="E44" s="39"/>
      <c r="F44" s="39"/>
      <c r="G44" s="187" t="s">
        <v>477</v>
      </c>
      <c r="I44" s="188"/>
      <c r="J44" s="21">
        <f>IF(J18=0,0,J43/J18)</f>
        <v>1.7655507975747189E-2</v>
      </c>
      <c r="K44" s="21"/>
      <c r="L44" s="21">
        <f>J44</f>
        <v>1.7655507975747189E-2</v>
      </c>
      <c r="P44" s="169"/>
      <c r="R44" s="169"/>
      <c r="S44" s="169"/>
      <c r="T44" s="169"/>
      <c r="U44" s="167"/>
    </row>
    <row r="45" spans="1:21">
      <c r="A45" s="174"/>
      <c r="B45" s="2"/>
      <c r="C45" s="39"/>
      <c r="D45" s="39"/>
      <c r="E45" s="39"/>
      <c r="F45" s="39"/>
      <c r="G45" s="187"/>
      <c r="I45" s="188"/>
      <c r="J45" s="21"/>
      <c r="K45" s="21"/>
      <c r="L45" s="21"/>
      <c r="M45" s="169"/>
      <c r="N45" s="169"/>
      <c r="O45" s="169"/>
      <c r="P45" s="169"/>
      <c r="R45" s="169"/>
      <c r="S45" s="169"/>
      <c r="T45" s="169"/>
      <c r="U45" s="167"/>
    </row>
    <row r="46" spans="1:21">
      <c r="A46" s="200" t="s">
        <v>478</v>
      </c>
      <c r="B46" s="201"/>
      <c r="C46" s="182" t="s">
        <v>479</v>
      </c>
      <c r="D46" s="182"/>
      <c r="E46" s="182"/>
      <c r="F46" s="182"/>
      <c r="G46" s="202" t="s">
        <v>480</v>
      </c>
      <c r="I46" s="176"/>
      <c r="J46" s="194">
        <f>J36+J40+J44</f>
        <v>0.18570440665026522</v>
      </c>
      <c r="K46" s="194"/>
      <c r="L46" s="194">
        <f>L36+L40+L44</f>
        <v>0.18570440665026522</v>
      </c>
      <c r="M46" s="189"/>
      <c r="N46" s="189"/>
      <c r="O46" s="189"/>
      <c r="P46" s="169"/>
      <c r="S46" s="203"/>
      <c r="T46" s="592"/>
      <c r="U46" s="169"/>
    </row>
    <row r="47" spans="1:21">
      <c r="A47" s="174"/>
      <c r="B47" s="2"/>
      <c r="C47" s="39"/>
      <c r="D47" s="39"/>
      <c r="E47" s="39"/>
      <c r="F47" s="39"/>
      <c r="G47" s="187"/>
      <c r="I47" s="188"/>
      <c r="J47" s="21"/>
      <c r="K47" s="21"/>
      <c r="L47" s="21"/>
      <c r="M47" s="169"/>
      <c r="N47" s="169"/>
      <c r="O47" s="169"/>
      <c r="P47" s="169"/>
      <c r="Q47" s="204"/>
      <c r="R47" s="169"/>
      <c r="S47" s="169"/>
      <c r="T47" s="169"/>
      <c r="U47" s="167"/>
    </row>
    <row r="48" spans="1:21">
      <c r="A48" s="174"/>
      <c r="B48" s="31"/>
      <c r="C48" s="40" t="s">
        <v>481</v>
      </c>
      <c r="D48" s="40"/>
      <c r="E48" s="40"/>
      <c r="F48" s="40"/>
      <c r="G48" s="187"/>
      <c r="I48" s="188"/>
      <c r="J48" s="21"/>
      <c r="K48" s="21"/>
      <c r="L48" s="21"/>
      <c r="M48" s="196"/>
      <c r="N48" s="196"/>
      <c r="O48" s="196"/>
      <c r="P48" s="169"/>
      <c r="Q48" s="204"/>
      <c r="R48" s="169"/>
      <c r="S48" s="169"/>
      <c r="T48" s="169"/>
      <c r="U48" s="167"/>
    </row>
    <row r="49" spans="1:23">
      <c r="A49" s="174" t="s">
        <v>482</v>
      </c>
      <c r="B49" s="31"/>
      <c r="C49" s="40" t="s">
        <v>342</v>
      </c>
      <c r="D49" s="40"/>
      <c r="E49" s="40"/>
      <c r="F49" s="40"/>
      <c r="G49" s="187" t="s">
        <v>1035</v>
      </c>
      <c r="I49" s="188"/>
      <c r="J49" s="21">
        <f>+'9A-Non-MISO ATRR'!I171</f>
        <v>54540.148301716203</v>
      </c>
      <c r="K49" s="21"/>
      <c r="L49" s="21"/>
      <c r="P49" s="205"/>
      <c r="Q49" s="205"/>
      <c r="R49" s="169"/>
      <c r="S49" s="169"/>
      <c r="T49" s="169"/>
      <c r="U49" s="167"/>
    </row>
    <row r="50" spans="1:23">
      <c r="A50" s="174" t="s">
        <v>484</v>
      </c>
      <c r="B50" s="31"/>
      <c r="C50" s="40" t="s">
        <v>485</v>
      </c>
      <c r="D50" s="40"/>
      <c r="E50" s="40"/>
      <c r="F50" s="40"/>
      <c r="G50" s="187" t="s">
        <v>486</v>
      </c>
      <c r="I50" s="188"/>
      <c r="J50" s="21">
        <f>IF(J21=0,0,J49/J21)</f>
        <v>1.9095141913214361E-2</v>
      </c>
      <c r="K50" s="21"/>
      <c r="L50" s="21">
        <f>J50</f>
        <v>1.9095141913214361E-2</v>
      </c>
      <c r="P50" s="205"/>
      <c r="Q50" s="205"/>
      <c r="R50" s="169"/>
      <c r="S50" s="169"/>
      <c r="T50" s="169"/>
      <c r="U50" s="167"/>
    </row>
    <row r="51" spans="1:23">
      <c r="A51" s="174"/>
      <c r="B51" s="2"/>
      <c r="C51" s="40"/>
      <c r="D51" s="40"/>
      <c r="E51" s="40"/>
      <c r="F51" s="40"/>
      <c r="G51" s="187"/>
      <c r="I51" s="188"/>
      <c r="J51" s="21"/>
      <c r="K51" s="21"/>
      <c r="L51" s="21"/>
      <c r="P51" s="205"/>
      <c r="Q51" s="205"/>
      <c r="R51" s="169"/>
      <c r="S51" s="169"/>
      <c r="T51" s="169"/>
      <c r="U51" s="167"/>
    </row>
    <row r="52" spans="1:23">
      <c r="A52" s="174"/>
      <c r="B52" s="2"/>
      <c r="C52" s="39" t="s">
        <v>241</v>
      </c>
      <c r="D52" s="39"/>
      <c r="E52" s="39"/>
      <c r="F52" s="39"/>
      <c r="G52" s="206"/>
      <c r="I52" s="207"/>
      <c r="J52" s="21"/>
      <c r="K52" s="21"/>
      <c r="L52" s="21"/>
      <c r="P52" s="205"/>
      <c r="Q52" s="205"/>
      <c r="R52" s="169"/>
      <c r="S52" s="169"/>
      <c r="T52" s="169"/>
      <c r="U52" s="167"/>
    </row>
    <row r="53" spans="1:23">
      <c r="A53" s="174" t="s">
        <v>487</v>
      </c>
      <c r="B53" s="2"/>
      <c r="C53" s="39" t="s">
        <v>488</v>
      </c>
      <c r="D53" s="39"/>
      <c r="E53" s="39"/>
      <c r="F53" s="39"/>
      <c r="G53" s="187" t="s">
        <v>1036</v>
      </c>
      <c r="I53" s="188"/>
      <c r="J53" s="21">
        <f>+'9A-Non-MISO ATRR'!I174</f>
        <v>271268.04907186248</v>
      </c>
      <c r="K53" s="21"/>
      <c r="L53" s="21"/>
      <c r="P53" s="205"/>
      <c r="Q53" s="205"/>
      <c r="R53" s="169"/>
      <c r="S53" s="169"/>
      <c r="T53" s="169"/>
      <c r="U53" s="167"/>
    </row>
    <row r="54" spans="1:23">
      <c r="A54" s="174" t="s">
        <v>490</v>
      </c>
      <c r="B54" s="31"/>
      <c r="C54" s="40" t="s">
        <v>491</v>
      </c>
      <c r="D54" s="40"/>
      <c r="E54" s="40"/>
      <c r="F54" s="40"/>
      <c r="G54" s="187" t="s">
        <v>492</v>
      </c>
      <c r="I54" s="188"/>
      <c r="J54" s="21">
        <f>IF(J21=0,0,J53/J21)</f>
        <v>9.4974107237347144E-2</v>
      </c>
      <c r="K54" s="21"/>
      <c r="L54" s="21">
        <f>J54</f>
        <v>9.4974107237347144E-2</v>
      </c>
      <c r="P54" s="205"/>
      <c r="Q54" s="205"/>
      <c r="R54" s="169"/>
      <c r="S54" s="169"/>
      <c r="T54" s="169"/>
      <c r="U54" s="167"/>
    </row>
    <row r="55" spans="1:23">
      <c r="A55" s="174"/>
      <c r="B55" s="2"/>
      <c r="C55" s="39"/>
      <c r="D55" s="39"/>
      <c r="E55" s="39"/>
      <c r="F55" s="39"/>
      <c r="G55" s="187"/>
      <c r="I55" s="188"/>
      <c r="J55" s="21"/>
      <c r="K55" s="21"/>
      <c r="L55" s="21"/>
      <c r="P55" s="205"/>
      <c r="Q55" s="205"/>
      <c r="R55" s="169"/>
      <c r="S55" s="169"/>
      <c r="T55" s="169"/>
      <c r="U55" s="167"/>
    </row>
    <row r="56" spans="1:23">
      <c r="A56" s="200" t="s">
        <v>493</v>
      </c>
      <c r="B56" s="201"/>
      <c r="C56" s="182" t="s">
        <v>494</v>
      </c>
      <c r="D56" s="182"/>
      <c r="E56" s="182"/>
      <c r="F56" s="182"/>
      <c r="G56" s="202" t="s">
        <v>495</v>
      </c>
      <c r="I56" s="176"/>
      <c r="J56" s="194"/>
      <c r="K56" s="194"/>
      <c r="L56" s="194">
        <f>L50+L54</f>
        <v>0.11406924915056151</v>
      </c>
      <c r="P56" s="205"/>
      <c r="Q56" s="205"/>
      <c r="R56" s="169"/>
      <c r="S56" s="169"/>
      <c r="T56" s="169"/>
      <c r="U56" s="167"/>
    </row>
    <row r="57" spans="1:23">
      <c r="J57" s="21"/>
      <c r="K57" s="21"/>
      <c r="L57" s="21"/>
      <c r="P57" s="205"/>
      <c r="Q57" s="205"/>
      <c r="R57" s="169"/>
      <c r="S57" s="169"/>
      <c r="T57" s="169"/>
      <c r="U57" s="167"/>
    </row>
    <row r="58" spans="1:23">
      <c r="J58" s="21"/>
      <c r="K58" s="21"/>
      <c r="L58" s="21"/>
      <c r="P58" s="205"/>
      <c r="Q58" s="205"/>
      <c r="R58" s="169"/>
      <c r="S58" s="169"/>
      <c r="T58" s="169"/>
      <c r="U58" s="167"/>
    </row>
    <row r="59" spans="1:23">
      <c r="A59" s="208"/>
      <c r="C59" s="175"/>
      <c r="D59" s="175"/>
      <c r="E59" s="598"/>
      <c r="F59" s="598"/>
      <c r="G59" s="169"/>
      <c r="J59" s="210"/>
      <c r="P59" s="169"/>
      <c r="Q59" s="190"/>
      <c r="R59" s="166"/>
      <c r="S59" s="169"/>
      <c r="T59" s="591"/>
      <c r="U59" s="169"/>
    </row>
    <row r="60" spans="1:23">
      <c r="A60" s="594"/>
      <c r="G60" s="169"/>
      <c r="P60" s="169"/>
      <c r="Q60" s="169"/>
      <c r="R60" s="169"/>
      <c r="S60" s="169"/>
      <c r="T60" s="592"/>
      <c r="U60" s="169" t="s">
        <v>9</v>
      </c>
    </row>
    <row r="61" spans="1:23">
      <c r="Q61" s="163"/>
    </row>
    <row r="62" spans="1:23">
      <c r="L62" s="162" t="s">
        <v>496</v>
      </c>
      <c r="Q62" s="163"/>
      <c r="W62" s="162" t="s">
        <v>497</v>
      </c>
    </row>
    <row r="63" spans="1:23">
      <c r="F63" s="603" t="str">
        <f>E4</f>
        <v>Attachment 9B (Note J)</v>
      </c>
      <c r="Q63" s="603" t="str">
        <f t="shared" ref="Q63:Q65" si="0">F63</f>
        <v>Attachment 9B (Note J)</v>
      </c>
    </row>
    <row r="64" spans="1:23">
      <c r="A64" s="594"/>
      <c r="F64" s="603" t="str">
        <f>E5</f>
        <v>Non-MISO Project Revenue Requirement Worksheet</v>
      </c>
      <c r="G64" s="169"/>
      <c r="H64" s="598"/>
      <c r="P64" s="169"/>
      <c r="Q64" s="603" t="str">
        <f t="shared" si="0"/>
        <v>Non-MISO Project Revenue Requirement Worksheet</v>
      </c>
      <c r="R64" s="169"/>
      <c r="S64" s="167"/>
      <c r="T64" s="169"/>
      <c r="U64" s="167"/>
    </row>
    <row r="65" spans="1:23">
      <c r="A65" s="594"/>
      <c r="D65" s="167"/>
      <c r="F65" s="592" t="str">
        <f>E6</f>
        <v>GridLiance Heartland LLC</v>
      </c>
      <c r="P65" s="169"/>
      <c r="Q65" s="598" t="str">
        <f t="shared" si="0"/>
        <v>GridLiance Heartland LLC</v>
      </c>
      <c r="R65" s="169"/>
      <c r="S65" s="167"/>
      <c r="T65" s="169"/>
      <c r="U65" s="167"/>
    </row>
    <row r="66" spans="1:23">
      <c r="A66" s="594"/>
      <c r="C66" s="167"/>
      <c r="D66" s="167"/>
      <c r="M66" s="169"/>
      <c r="N66" s="169"/>
      <c r="O66" s="169"/>
      <c r="P66" s="169"/>
      <c r="R66" s="169"/>
      <c r="S66" s="167"/>
      <c r="T66" s="169"/>
      <c r="U66" s="167"/>
    </row>
    <row r="67" spans="1:23" ht="14.25" customHeight="1">
      <c r="A67" s="594"/>
      <c r="P67" s="169"/>
      <c r="R67" s="169"/>
      <c r="S67" s="167"/>
      <c r="T67" s="169"/>
      <c r="U67" s="167"/>
    </row>
    <row r="68" spans="1:23">
      <c r="A68" s="594"/>
      <c r="H68" s="598"/>
      <c r="P68" s="169"/>
      <c r="Q68" s="169"/>
      <c r="R68" s="169"/>
      <c r="S68" s="167"/>
      <c r="T68" s="169"/>
      <c r="U68" s="167"/>
    </row>
    <row r="69" spans="1:23">
      <c r="A69" s="594"/>
      <c r="E69" s="167"/>
      <c r="F69" s="167"/>
      <c r="G69" s="167"/>
      <c r="H69" s="167"/>
      <c r="I69" s="167"/>
      <c r="J69" s="167"/>
      <c r="K69" s="167"/>
      <c r="L69" s="167"/>
      <c r="M69" s="167"/>
      <c r="N69" s="167"/>
      <c r="O69" s="167"/>
      <c r="P69" s="167"/>
      <c r="Q69" s="167"/>
      <c r="R69" s="169"/>
      <c r="S69" s="167"/>
      <c r="T69" s="169"/>
      <c r="U69" s="167"/>
    </row>
    <row r="70" spans="1:23">
      <c r="A70" s="594"/>
      <c r="E70" s="211"/>
      <c r="F70" s="211"/>
      <c r="H70" s="167"/>
      <c r="I70" s="167"/>
      <c r="J70" s="167"/>
      <c r="K70" s="167"/>
      <c r="L70" s="167"/>
      <c r="M70" s="167"/>
      <c r="N70" s="167"/>
      <c r="O70" s="167"/>
      <c r="P70" s="169"/>
      <c r="Q70" s="169"/>
      <c r="R70" s="169"/>
      <c r="S70" s="167"/>
      <c r="T70" s="169"/>
      <c r="U70" s="167"/>
    </row>
    <row r="71" spans="1:23" s="212" customFormat="1">
      <c r="A71" s="594"/>
      <c r="B71" s="162"/>
      <c r="C71" s="162"/>
      <c r="D71" s="162"/>
      <c r="E71" s="211"/>
      <c r="F71" s="211"/>
      <c r="G71" s="162"/>
      <c r="H71" s="167"/>
      <c r="I71" s="167"/>
      <c r="J71" s="167"/>
      <c r="K71" s="167"/>
      <c r="L71" s="167"/>
      <c r="M71" s="167"/>
      <c r="N71" s="167"/>
      <c r="O71" s="167"/>
      <c r="P71" s="169"/>
      <c r="Q71" s="169"/>
      <c r="R71" s="169"/>
      <c r="S71" s="167"/>
      <c r="T71" s="169"/>
      <c r="U71" s="167"/>
      <c r="V71" s="162"/>
      <c r="W71" s="162"/>
    </row>
    <row r="72" spans="1:23" s="212" customFormat="1">
      <c r="A72" s="594"/>
      <c r="B72" s="162"/>
      <c r="C72" s="213">
        <v>-1</v>
      </c>
      <c r="D72" s="213">
        <v>-2</v>
      </c>
      <c r="E72" s="213">
        <v>-3</v>
      </c>
      <c r="F72" s="213">
        <v>-4</v>
      </c>
      <c r="G72" s="213">
        <v>-5</v>
      </c>
      <c r="H72" s="213">
        <v>-6</v>
      </c>
      <c r="I72" s="213">
        <v>-7</v>
      </c>
      <c r="J72" s="213">
        <v>-8</v>
      </c>
      <c r="K72" s="213">
        <v>-9</v>
      </c>
      <c r="L72" s="213">
        <v>-10</v>
      </c>
      <c r="M72" s="213">
        <v>-11</v>
      </c>
      <c r="N72" s="213">
        <v>-12</v>
      </c>
      <c r="O72" s="213">
        <v>-13</v>
      </c>
      <c r="P72" s="214" t="s">
        <v>498</v>
      </c>
      <c r="Q72" s="214" t="s">
        <v>499</v>
      </c>
      <c r="R72" s="214" t="s">
        <v>500</v>
      </c>
      <c r="S72" s="214" t="s">
        <v>501</v>
      </c>
      <c r="T72" s="214" t="s">
        <v>502</v>
      </c>
      <c r="U72" s="214" t="s">
        <v>503</v>
      </c>
      <c r="V72" s="214" t="s">
        <v>504</v>
      </c>
      <c r="W72" s="214" t="s">
        <v>505</v>
      </c>
    </row>
    <row r="73" spans="1:23" s="212" customFormat="1" ht="67.5" customHeight="1">
      <c r="A73" s="215" t="s">
        <v>506</v>
      </c>
      <c r="B73" s="216"/>
      <c r="C73" s="216" t="s">
        <v>507</v>
      </c>
      <c r="D73" s="217" t="s">
        <v>508</v>
      </c>
      <c r="E73" s="218" t="s">
        <v>509</v>
      </c>
      <c r="F73" s="217" t="s">
        <v>510</v>
      </c>
      <c r="G73" s="219" t="s">
        <v>511</v>
      </c>
      <c r="H73" s="220" t="s">
        <v>512</v>
      </c>
      <c r="I73" s="220" t="s">
        <v>479</v>
      </c>
      <c r="J73" s="221" t="s">
        <v>513</v>
      </c>
      <c r="K73" s="222" t="s">
        <v>514</v>
      </c>
      <c r="L73" s="223" t="s">
        <v>515</v>
      </c>
      <c r="M73" s="223" t="s">
        <v>494</v>
      </c>
      <c r="N73" s="222" t="s">
        <v>516</v>
      </c>
      <c r="O73" s="223" t="s">
        <v>517</v>
      </c>
      <c r="P73" s="224" t="s">
        <v>518</v>
      </c>
      <c r="Q73" s="224" t="s">
        <v>519</v>
      </c>
      <c r="R73" s="224" t="s">
        <v>520</v>
      </c>
      <c r="S73" s="224" t="s">
        <v>521</v>
      </c>
      <c r="T73" s="224" t="s">
        <v>1073</v>
      </c>
      <c r="U73" s="224" t="s">
        <v>523</v>
      </c>
      <c r="V73" s="224" t="s">
        <v>524</v>
      </c>
      <c r="W73" s="224" t="s">
        <v>525</v>
      </c>
    </row>
    <row r="74" spans="1:23" s="212" customFormat="1" ht="38.25">
      <c r="A74" s="225">
        <v>15</v>
      </c>
      <c r="B74" s="226"/>
      <c r="C74" s="227"/>
      <c r="D74" s="227"/>
      <c r="E74" s="228" t="s">
        <v>47</v>
      </c>
      <c r="F74" s="229"/>
      <c r="G74" s="228" t="s">
        <v>526</v>
      </c>
      <c r="H74" s="229" t="s">
        <v>527</v>
      </c>
      <c r="I74" s="229" t="s">
        <v>528</v>
      </c>
      <c r="J74" s="230" t="s">
        <v>529</v>
      </c>
      <c r="K74" s="231" t="s">
        <v>530</v>
      </c>
      <c r="L74" s="228" t="s">
        <v>49</v>
      </c>
      <c r="M74" s="228" t="s">
        <v>1001</v>
      </c>
      <c r="N74" s="231" t="s">
        <v>531</v>
      </c>
      <c r="O74" s="228" t="s">
        <v>532</v>
      </c>
      <c r="P74" s="231" t="s">
        <v>533</v>
      </c>
      <c r="Q74" s="228" t="s">
        <v>534</v>
      </c>
      <c r="R74" s="232" t="s">
        <v>535</v>
      </c>
      <c r="S74" s="233" t="s">
        <v>536</v>
      </c>
      <c r="T74" s="231" t="s">
        <v>537</v>
      </c>
      <c r="U74" s="233" t="s">
        <v>538</v>
      </c>
      <c r="V74" s="234" t="s">
        <v>539</v>
      </c>
      <c r="W74" s="233" t="s">
        <v>540</v>
      </c>
    </row>
    <row r="75" spans="1:23" s="212" customFormat="1">
      <c r="A75" s="235"/>
      <c r="B75" s="236"/>
      <c r="C75" s="236"/>
      <c r="D75" s="236"/>
      <c r="E75" s="236"/>
      <c r="F75" s="237"/>
      <c r="G75" s="236"/>
      <c r="H75" s="237"/>
      <c r="I75" s="237"/>
      <c r="J75" s="237"/>
      <c r="K75" s="238"/>
      <c r="L75" s="236"/>
      <c r="M75" s="236"/>
      <c r="N75" s="238"/>
      <c r="O75" s="236"/>
      <c r="P75" s="238"/>
      <c r="Q75" s="238"/>
      <c r="R75" s="236"/>
      <c r="S75" s="238"/>
      <c r="T75" s="238"/>
      <c r="U75" s="238"/>
      <c r="V75" s="239"/>
      <c r="W75" s="240"/>
    </row>
    <row r="76" spans="1:23" s="212" customFormat="1">
      <c r="A76" s="721" t="s">
        <v>541</v>
      </c>
      <c r="B76" s="242"/>
      <c r="C76" s="43" t="s">
        <v>1182</v>
      </c>
      <c r="D76" s="43"/>
      <c r="E76" s="43">
        <f>'[2]9A-Non-MISO ATRR'!I70</f>
        <v>5719626.304173097</v>
      </c>
      <c r="F76" s="243">
        <f>'[2]9A-Non-MISO ATRR'!I78</f>
        <v>2863394.6747044036</v>
      </c>
      <c r="G76" s="21">
        <f>+L31</f>
        <v>9.2269746166520533E-2</v>
      </c>
      <c r="H76" s="21">
        <f t="shared" ref="H76:H94" si="1">+G76*E76</f>
        <v>527748.4672534056</v>
      </c>
      <c r="I76" s="21">
        <f>+L46</f>
        <v>0.18570440665026522</v>
      </c>
      <c r="J76" s="21">
        <f>+E76*I76</f>
        <v>1062159.8090777143</v>
      </c>
      <c r="K76" s="244">
        <f>+H76+J76</f>
        <v>1589908.2763311199</v>
      </c>
      <c r="L76" s="86">
        <f>+E76-F76</f>
        <v>2856231.6294686934</v>
      </c>
      <c r="M76" s="21">
        <f>IF(L76&gt;0,$L$56,0)</f>
        <v>0.11406924915056151</v>
      </c>
      <c r="N76" s="245">
        <f>L76*M76</f>
        <v>325808.19737357867</v>
      </c>
      <c r="O76" s="86">
        <f>'9A-Non-MISO ATRR'!I145</f>
        <v>113580.02511481008</v>
      </c>
      <c r="P76" s="244">
        <f>K76+N76+O76</f>
        <v>2029296.4988195086</v>
      </c>
      <c r="Q76" s="246">
        <v>0</v>
      </c>
      <c r="R76" s="21">
        <f>'2-Incentive ROE'!K$40*'9B-Non-MISO Project Rev Req'!Q76/100*'9B-Non-MISO Project Rev Req'!L76</f>
        <v>0</v>
      </c>
      <c r="S76" s="245">
        <f>+P76+R76</f>
        <v>2029296.4988195086</v>
      </c>
      <c r="T76" s="247">
        <f>(2600*500)-S76</f>
        <v>-729296.49881950859</v>
      </c>
      <c r="U76" s="245">
        <f>+S76+T76</f>
        <v>1300000</v>
      </c>
      <c r="V76" s="86">
        <v>0</v>
      </c>
      <c r="W76" s="245">
        <f>+U76+V76</f>
        <v>1300000</v>
      </c>
    </row>
    <row r="77" spans="1:23" s="212" customFormat="1">
      <c r="A77" s="241" t="s">
        <v>542</v>
      </c>
      <c r="B77" s="242"/>
      <c r="C77" s="43">
        <v>0</v>
      </c>
      <c r="D77" s="43">
        <v>0</v>
      </c>
      <c r="E77" s="43">
        <v>0</v>
      </c>
      <c r="F77" s="243">
        <v>0</v>
      </c>
      <c r="G77" s="21">
        <f>+G76</f>
        <v>9.2269746166520533E-2</v>
      </c>
      <c r="H77" s="21">
        <f t="shared" si="1"/>
        <v>0</v>
      </c>
      <c r="I77" s="21">
        <f>+I76</f>
        <v>0.18570440665026522</v>
      </c>
      <c r="J77" s="21">
        <f>+I77*E77</f>
        <v>0</v>
      </c>
      <c r="K77" s="244">
        <f t="shared" ref="K77:K94" si="2">+H77+J77</f>
        <v>0</v>
      </c>
      <c r="L77" s="86">
        <f>+E77-F77</f>
        <v>0</v>
      </c>
      <c r="M77" s="21">
        <f>IF(L77&gt;0,$L$56,0)</f>
        <v>0</v>
      </c>
      <c r="N77" s="245">
        <f t="shared" ref="N77:N94" si="3">L77*M77</f>
        <v>0</v>
      </c>
      <c r="O77" s="86">
        <v>0</v>
      </c>
      <c r="P77" s="244">
        <f t="shared" ref="P77:P94" si="4">K77+N77+O77</f>
        <v>0</v>
      </c>
      <c r="Q77" s="246">
        <v>0</v>
      </c>
      <c r="R77" s="21">
        <f>'2-Incentive ROE'!K$40*'9B-Non-MISO Project Rev Req'!Q77/100*'9B-Non-MISO Project Rev Req'!L77</f>
        <v>0</v>
      </c>
      <c r="S77" s="245">
        <f t="shared" ref="S77:S94" si="5">+P77+R77</f>
        <v>0</v>
      </c>
      <c r="T77" s="247">
        <v>0</v>
      </c>
      <c r="U77" s="245">
        <f t="shared" ref="U77:U94" si="6">+S77+T77</f>
        <v>0</v>
      </c>
      <c r="V77" s="86">
        <v>0</v>
      </c>
      <c r="W77" s="245">
        <f>+U77+V77</f>
        <v>0</v>
      </c>
    </row>
    <row r="78" spans="1:23" s="212" customFormat="1">
      <c r="A78" s="241" t="s">
        <v>543</v>
      </c>
      <c r="B78" s="242"/>
      <c r="C78" s="43">
        <v>0</v>
      </c>
      <c r="D78" s="43">
        <v>0</v>
      </c>
      <c r="E78" s="43">
        <v>0</v>
      </c>
      <c r="F78" s="243">
        <v>0</v>
      </c>
      <c r="G78" s="21">
        <f>+G77</f>
        <v>9.2269746166520533E-2</v>
      </c>
      <c r="H78" s="21">
        <f t="shared" si="1"/>
        <v>0</v>
      </c>
      <c r="I78" s="21">
        <f t="shared" ref="I78:I94" si="7">+I77</f>
        <v>0.18570440665026522</v>
      </c>
      <c r="J78" s="21">
        <f t="shared" ref="J78:J94" si="8">+I78*E78</f>
        <v>0</v>
      </c>
      <c r="K78" s="244">
        <f t="shared" si="2"/>
        <v>0</v>
      </c>
      <c r="L78" s="86">
        <f>+E78-F78</f>
        <v>0</v>
      </c>
      <c r="M78" s="21">
        <f t="shared" ref="M78:M94" si="9">IF(L78&gt;0,$L$56,0)</f>
        <v>0</v>
      </c>
      <c r="N78" s="245">
        <f t="shared" si="3"/>
        <v>0</v>
      </c>
      <c r="O78" s="86">
        <v>0</v>
      </c>
      <c r="P78" s="244">
        <f t="shared" si="4"/>
        <v>0</v>
      </c>
      <c r="Q78" s="246">
        <v>0</v>
      </c>
      <c r="R78" s="21">
        <f>+'2-Incentive ROE'!K42*'9B-Non-MISO Project Rev Req'!Q78/100*'9B-Non-MISO Project Rev Req'!L78</f>
        <v>0</v>
      </c>
      <c r="S78" s="245">
        <f t="shared" si="5"/>
        <v>0</v>
      </c>
      <c r="T78" s="247">
        <v>0</v>
      </c>
      <c r="U78" s="245">
        <f t="shared" si="6"/>
        <v>0</v>
      </c>
      <c r="V78" s="86">
        <v>0</v>
      </c>
      <c r="W78" s="245">
        <f>+U78+V78</f>
        <v>0</v>
      </c>
    </row>
    <row r="79" spans="1:23" s="212" customFormat="1">
      <c r="A79" s="241" t="s">
        <v>544</v>
      </c>
      <c r="B79" s="242"/>
      <c r="C79" s="43">
        <v>0</v>
      </c>
      <c r="D79" s="43">
        <v>0</v>
      </c>
      <c r="E79" s="43">
        <v>0</v>
      </c>
      <c r="F79" s="243">
        <v>0</v>
      </c>
      <c r="G79" s="21">
        <f>+G78</f>
        <v>9.2269746166520533E-2</v>
      </c>
      <c r="H79" s="21">
        <f t="shared" si="1"/>
        <v>0</v>
      </c>
      <c r="I79" s="21">
        <f t="shared" si="7"/>
        <v>0.18570440665026522</v>
      </c>
      <c r="J79" s="21">
        <f t="shared" si="8"/>
        <v>0</v>
      </c>
      <c r="K79" s="244">
        <f t="shared" si="2"/>
        <v>0</v>
      </c>
      <c r="L79" s="86">
        <f>+E79-F79</f>
        <v>0</v>
      </c>
      <c r="M79" s="21">
        <f t="shared" si="9"/>
        <v>0</v>
      </c>
      <c r="N79" s="245">
        <f t="shared" si="3"/>
        <v>0</v>
      </c>
      <c r="O79" s="86">
        <v>0</v>
      </c>
      <c r="P79" s="244">
        <f t="shared" si="4"/>
        <v>0</v>
      </c>
      <c r="Q79" s="246">
        <v>0</v>
      </c>
      <c r="R79" s="21">
        <f>+'2-Incentive ROE'!K43*'9B-Non-MISO Project Rev Req'!Q79/100*'9B-Non-MISO Project Rev Req'!L79</f>
        <v>0</v>
      </c>
      <c r="S79" s="245">
        <f t="shared" si="5"/>
        <v>0</v>
      </c>
      <c r="T79" s="247">
        <v>0</v>
      </c>
      <c r="U79" s="245">
        <f t="shared" si="6"/>
        <v>0</v>
      </c>
      <c r="V79" s="86">
        <v>0</v>
      </c>
      <c r="W79" s="245">
        <f>+U79+V79</f>
        <v>0</v>
      </c>
    </row>
    <row r="80" spans="1:23" s="212" customFormat="1">
      <c r="A80" s="241" t="s">
        <v>545</v>
      </c>
      <c r="B80" s="242"/>
      <c r="C80" s="43">
        <v>0</v>
      </c>
      <c r="D80" s="43">
        <v>0</v>
      </c>
      <c r="E80" s="43">
        <v>0</v>
      </c>
      <c r="F80" s="243">
        <v>0</v>
      </c>
      <c r="G80" s="21">
        <f t="shared" ref="G80:G94" si="10">+G79</f>
        <v>9.2269746166520533E-2</v>
      </c>
      <c r="H80" s="21">
        <f t="shared" si="1"/>
        <v>0</v>
      </c>
      <c r="I80" s="21">
        <f t="shared" si="7"/>
        <v>0.18570440665026522</v>
      </c>
      <c r="J80" s="21">
        <f t="shared" si="8"/>
        <v>0</v>
      </c>
      <c r="K80" s="244">
        <f t="shared" si="2"/>
        <v>0</v>
      </c>
      <c r="L80" s="43">
        <v>0</v>
      </c>
      <c r="M80" s="21">
        <f t="shared" si="9"/>
        <v>0</v>
      </c>
      <c r="N80" s="245">
        <f t="shared" si="3"/>
        <v>0</v>
      </c>
      <c r="O80" s="86">
        <v>0</v>
      </c>
      <c r="P80" s="244">
        <f t="shared" si="4"/>
        <v>0</v>
      </c>
      <c r="Q80" s="246">
        <v>0</v>
      </c>
      <c r="R80" s="21">
        <f>+'2-Incentive ROE'!K44*'9B-Non-MISO Project Rev Req'!Q80/100*'9B-Non-MISO Project Rev Req'!L80</f>
        <v>0</v>
      </c>
      <c r="S80" s="245">
        <f t="shared" si="5"/>
        <v>0</v>
      </c>
      <c r="T80" s="247">
        <v>0</v>
      </c>
      <c r="U80" s="245">
        <f t="shared" si="6"/>
        <v>0</v>
      </c>
      <c r="V80" s="86">
        <v>0</v>
      </c>
      <c r="W80" s="245">
        <f>+U80+V80</f>
        <v>0</v>
      </c>
    </row>
    <row r="81" spans="1:23" s="212" customFormat="1">
      <c r="A81" s="241" t="s">
        <v>546</v>
      </c>
      <c r="B81" s="242"/>
      <c r="C81" s="43">
        <v>0</v>
      </c>
      <c r="D81" s="43">
        <v>0</v>
      </c>
      <c r="E81" s="43">
        <v>0</v>
      </c>
      <c r="F81" s="243">
        <v>0</v>
      </c>
      <c r="G81" s="21">
        <f t="shared" si="10"/>
        <v>9.2269746166520533E-2</v>
      </c>
      <c r="H81" s="21">
        <f t="shared" si="1"/>
        <v>0</v>
      </c>
      <c r="I81" s="21">
        <f t="shared" si="7"/>
        <v>0.18570440665026522</v>
      </c>
      <c r="J81" s="21">
        <f t="shared" si="8"/>
        <v>0</v>
      </c>
      <c r="K81" s="244">
        <f t="shared" si="2"/>
        <v>0</v>
      </c>
      <c r="L81" s="43">
        <v>0</v>
      </c>
      <c r="M81" s="21">
        <f t="shared" si="9"/>
        <v>0</v>
      </c>
      <c r="N81" s="245">
        <f t="shared" si="3"/>
        <v>0</v>
      </c>
      <c r="O81" s="86">
        <v>0</v>
      </c>
      <c r="P81" s="244">
        <f t="shared" si="4"/>
        <v>0</v>
      </c>
      <c r="Q81" s="246">
        <v>0</v>
      </c>
      <c r="R81" s="21">
        <f>+'2-Incentive ROE'!K45*'9B-Non-MISO Project Rev Req'!Q81/100*'9B-Non-MISO Project Rev Req'!L81</f>
        <v>0</v>
      </c>
      <c r="S81" s="245">
        <f t="shared" si="5"/>
        <v>0</v>
      </c>
      <c r="T81" s="247">
        <v>0</v>
      </c>
      <c r="U81" s="245">
        <f t="shared" si="6"/>
        <v>0</v>
      </c>
      <c r="V81" s="86">
        <v>0</v>
      </c>
      <c r="W81" s="245">
        <f t="shared" ref="W81:W95" si="11">P81+V81</f>
        <v>0</v>
      </c>
    </row>
    <row r="82" spans="1:23" s="212" customFormat="1">
      <c r="A82" s="241" t="s">
        <v>547</v>
      </c>
      <c r="B82" s="242"/>
      <c r="C82" s="43">
        <v>0</v>
      </c>
      <c r="D82" s="43">
        <v>0</v>
      </c>
      <c r="E82" s="43">
        <v>0</v>
      </c>
      <c r="F82" s="243">
        <v>0</v>
      </c>
      <c r="G82" s="21">
        <f t="shared" si="10"/>
        <v>9.2269746166520533E-2</v>
      </c>
      <c r="H82" s="21">
        <f t="shared" si="1"/>
        <v>0</v>
      </c>
      <c r="I82" s="21">
        <f t="shared" si="7"/>
        <v>0.18570440665026522</v>
      </c>
      <c r="J82" s="21">
        <f t="shared" si="8"/>
        <v>0</v>
      </c>
      <c r="K82" s="244">
        <f t="shared" si="2"/>
        <v>0</v>
      </c>
      <c r="L82" s="43">
        <v>0</v>
      </c>
      <c r="M82" s="21">
        <f t="shared" si="9"/>
        <v>0</v>
      </c>
      <c r="N82" s="245">
        <f t="shared" si="3"/>
        <v>0</v>
      </c>
      <c r="O82" s="86">
        <v>0</v>
      </c>
      <c r="P82" s="244">
        <f t="shared" si="4"/>
        <v>0</v>
      </c>
      <c r="Q82" s="246">
        <v>0</v>
      </c>
      <c r="R82" s="21">
        <f>+'2-Incentive ROE'!K46*'9B-Non-MISO Project Rev Req'!Q82/100*'9B-Non-MISO Project Rev Req'!L82</f>
        <v>0</v>
      </c>
      <c r="S82" s="245">
        <f t="shared" si="5"/>
        <v>0</v>
      </c>
      <c r="T82" s="247">
        <v>0</v>
      </c>
      <c r="U82" s="245">
        <f t="shared" si="6"/>
        <v>0</v>
      </c>
      <c r="V82" s="86">
        <v>0</v>
      </c>
      <c r="W82" s="245">
        <f t="shared" si="11"/>
        <v>0</v>
      </c>
    </row>
    <row r="83" spans="1:23" s="212" customFormat="1">
      <c r="A83" s="241" t="s">
        <v>548</v>
      </c>
      <c r="B83" s="242"/>
      <c r="C83" s="43">
        <v>0</v>
      </c>
      <c r="D83" s="43">
        <v>0</v>
      </c>
      <c r="E83" s="43">
        <v>0</v>
      </c>
      <c r="F83" s="243">
        <v>0</v>
      </c>
      <c r="G83" s="21">
        <f t="shared" si="10"/>
        <v>9.2269746166520533E-2</v>
      </c>
      <c r="H83" s="21">
        <f t="shared" si="1"/>
        <v>0</v>
      </c>
      <c r="I83" s="21">
        <f t="shared" si="7"/>
        <v>0.18570440665026522</v>
      </c>
      <c r="J83" s="21">
        <f t="shared" si="8"/>
        <v>0</v>
      </c>
      <c r="K83" s="244">
        <f t="shared" si="2"/>
        <v>0</v>
      </c>
      <c r="L83" s="43">
        <v>0</v>
      </c>
      <c r="M83" s="21">
        <f t="shared" si="9"/>
        <v>0</v>
      </c>
      <c r="N83" s="245">
        <f t="shared" si="3"/>
        <v>0</v>
      </c>
      <c r="O83" s="86">
        <v>0</v>
      </c>
      <c r="P83" s="244">
        <f t="shared" si="4"/>
        <v>0</v>
      </c>
      <c r="Q83" s="246">
        <v>0</v>
      </c>
      <c r="R83" s="21">
        <f>+'2-Incentive ROE'!K47*'9B-Non-MISO Project Rev Req'!Q83/100*'9B-Non-MISO Project Rev Req'!L83</f>
        <v>0</v>
      </c>
      <c r="S83" s="245">
        <f t="shared" si="5"/>
        <v>0</v>
      </c>
      <c r="T83" s="247">
        <v>0</v>
      </c>
      <c r="U83" s="245">
        <f t="shared" si="6"/>
        <v>0</v>
      </c>
      <c r="V83" s="86">
        <v>0</v>
      </c>
      <c r="W83" s="245">
        <f t="shared" si="11"/>
        <v>0</v>
      </c>
    </row>
    <row r="84" spans="1:23" s="212" customFormat="1">
      <c r="A84" s="241" t="s">
        <v>549</v>
      </c>
      <c r="B84" s="242"/>
      <c r="C84" s="43">
        <v>0</v>
      </c>
      <c r="D84" s="43">
        <v>0</v>
      </c>
      <c r="E84" s="43">
        <v>0</v>
      </c>
      <c r="F84" s="243">
        <v>0</v>
      </c>
      <c r="G84" s="21">
        <f t="shared" si="10"/>
        <v>9.2269746166520533E-2</v>
      </c>
      <c r="H84" s="21">
        <f t="shared" si="1"/>
        <v>0</v>
      </c>
      <c r="I84" s="21">
        <f t="shared" si="7"/>
        <v>0.18570440665026522</v>
      </c>
      <c r="J84" s="21">
        <f t="shared" si="8"/>
        <v>0</v>
      </c>
      <c r="K84" s="244">
        <f t="shared" si="2"/>
        <v>0</v>
      </c>
      <c r="L84" s="43">
        <v>0</v>
      </c>
      <c r="M84" s="21">
        <f t="shared" si="9"/>
        <v>0</v>
      </c>
      <c r="N84" s="245">
        <f t="shared" si="3"/>
        <v>0</v>
      </c>
      <c r="O84" s="86">
        <v>0</v>
      </c>
      <c r="P84" s="244">
        <f t="shared" si="4"/>
        <v>0</v>
      </c>
      <c r="Q84" s="246">
        <v>0</v>
      </c>
      <c r="R84" s="21">
        <f>+'2-Incentive ROE'!K48*'9B-Non-MISO Project Rev Req'!Q84/100*'9B-Non-MISO Project Rev Req'!L84</f>
        <v>0</v>
      </c>
      <c r="S84" s="245">
        <f t="shared" si="5"/>
        <v>0</v>
      </c>
      <c r="T84" s="247">
        <v>0</v>
      </c>
      <c r="U84" s="245">
        <f t="shared" si="6"/>
        <v>0</v>
      </c>
      <c r="V84" s="86">
        <v>0</v>
      </c>
      <c r="W84" s="245">
        <f t="shared" si="11"/>
        <v>0</v>
      </c>
    </row>
    <row r="85" spans="1:23" s="212" customFormat="1">
      <c r="A85" s="241" t="s">
        <v>550</v>
      </c>
      <c r="B85" s="242"/>
      <c r="C85" s="43">
        <v>0</v>
      </c>
      <c r="D85" s="43">
        <v>0</v>
      </c>
      <c r="E85" s="43">
        <v>0</v>
      </c>
      <c r="F85" s="243">
        <v>0</v>
      </c>
      <c r="G85" s="21">
        <f t="shared" si="10"/>
        <v>9.2269746166520533E-2</v>
      </c>
      <c r="H85" s="21">
        <f t="shared" si="1"/>
        <v>0</v>
      </c>
      <c r="I85" s="21">
        <f t="shared" si="7"/>
        <v>0.18570440665026522</v>
      </c>
      <c r="J85" s="21">
        <f t="shared" si="8"/>
        <v>0</v>
      </c>
      <c r="K85" s="244">
        <f t="shared" si="2"/>
        <v>0</v>
      </c>
      <c r="L85" s="43">
        <v>0</v>
      </c>
      <c r="M85" s="21">
        <f t="shared" si="9"/>
        <v>0</v>
      </c>
      <c r="N85" s="245">
        <f t="shared" si="3"/>
        <v>0</v>
      </c>
      <c r="O85" s="86">
        <v>0</v>
      </c>
      <c r="P85" s="244">
        <f t="shared" si="4"/>
        <v>0</v>
      </c>
      <c r="Q85" s="246">
        <v>0</v>
      </c>
      <c r="R85" s="21">
        <f>+'2-Incentive ROE'!K49*'9B-Non-MISO Project Rev Req'!Q85/100*'9B-Non-MISO Project Rev Req'!L85</f>
        <v>0</v>
      </c>
      <c r="S85" s="245">
        <f t="shared" si="5"/>
        <v>0</v>
      </c>
      <c r="T85" s="247">
        <v>0</v>
      </c>
      <c r="U85" s="245">
        <f t="shared" si="6"/>
        <v>0</v>
      </c>
      <c r="V85" s="86">
        <v>0</v>
      </c>
      <c r="W85" s="245">
        <f t="shared" si="11"/>
        <v>0</v>
      </c>
    </row>
    <row r="86" spans="1:23" s="212" customFormat="1">
      <c r="A86" s="241" t="s">
        <v>551</v>
      </c>
      <c r="B86" s="242"/>
      <c r="C86" s="43">
        <v>0</v>
      </c>
      <c r="D86" s="43">
        <v>0</v>
      </c>
      <c r="E86" s="43">
        <v>0</v>
      </c>
      <c r="F86" s="243">
        <v>0</v>
      </c>
      <c r="G86" s="21">
        <f t="shared" si="10"/>
        <v>9.2269746166520533E-2</v>
      </c>
      <c r="H86" s="21">
        <f t="shared" si="1"/>
        <v>0</v>
      </c>
      <c r="I86" s="21">
        <f t="shared" si="7"/>
        <v>0.18570440665026522</v>
      </c>
      <c r="J86" s="21">
        <f t="shared" si="8"/>
        <v>0</v>
      </c>
      <c r="K86" s="244">
        <f t="shared" si="2"/>
        <v>0</v>
      </c>
      <c r="L86" s="43">
        <v>0</v>
      </c>
      <c r="M86" s="21">
        <f t="shared" si="9"/>
        <v>0</v>
      </c>
      <c r="N86" s="245">
        <f t="shared" si="3"/>
        <v>0</v>
      </c>
      <c r="O86" s="86">
        <v>0</v>
      </c>
      <c r="P86" s="244">
        <f t="shared" si="4"/>
        <v>0</v>
      </c>
      <c r="Q86" s="246">
        <v>0</v>
      </c>
      <c r="R86" s="21">
        <f>+'2-Incentive ROE'!K50*'9B-Non-MISO Project Rev Req'!Q86/100*'9B-Non-MISO Project Rev Req'!L86</f>
        <v>0</v>
      </c>
      <c r="S86" s="245">
        <f t="shared" si="5"/>
        <v>0</v>
      </c>
      <c r="T86" s="247">
        <v>0</v>
      </c>
      <c r="U86" s="245">
        <f t="shared" si="6"/>
        <v>0</v>
      </c>
      <c r="V86" s="86">
        <v>0</v>
      </c>
      <c r="W86" s="245">
        <f t="shared" si="11"/>
        <v>0</v>
      </c>
    </row>
    <row r="87" spans="1:23" s="212" customFormat="1">
      <c r="A87" s="241" t="s">
        <v>552</v>
      </c>
      <c r="B87" s="242"/>
      <c r="C87" s="43">
        <v>0</v>
      </c>
      <c r="D87" s="43">
        <v>0</v>
      </c>
      <c r="E87" s="43">
        <v>0</v>
      </c>
      <c r="F87" s="243">
        <v>0</v>
      </c>
      <c r="G87" s="21">
        <f t="shared" si="10"/>
        <v>9.2269746166520533E-2</v>
      </c>
      <c r="H87" s="21">
        <f t="shared" si="1"/>
        <v>0</v>
      </c>
      <c r="I87" s="21">
        <f t="shared" si="7"/>
        <v>0.18570440665026522</v>
      </c>
      <c r="J87" s="21">
        <f t="shared" si="8"/>
        <v>0</v>
      </c>
      <c r="K87" s="244">
        <f t="shared" si="2"/>
        <v>0</v>
      </c>
      <c r="L87" s="43">
        <v>0</v>
      </c>
      <c r="M87" s="21">
        <f t="shared" si="9"/>
        <v>0</v>
      </c>
      <c r="N87" s="245">
        <f t="shared" si="3"/>
        <v>0</v>
      </c>
      <c r="O87" s="86">
        <v>0</v>
      </c>
      <c r="P87" s="244">
        <f t="shared" si="4"/>
        <v>0</v>
      </c>
      <c r="Q87" s="246">
        <v>0</v>
      </c>
      <c r="R87" s="21">
        <f>+'2-Incentive ROE'!K51*'9B-Non-MISO Project Rev Req'!Q87/100*'9B-Non-MISO Project Rev Req'!L87</f>
        <v>0</v>
      </c>
      <c r="S87" s="245">
        <f t="shared" si="5"/>
        <v>0</v>
      </c>
      <c r="T87" s="247">
        <v>0</v>
      </c>
      <c r="U87" s="245">
        <f t="shared" si="6"/>
        <v>0</v>
      </c>
      <c r="V87" s="86">
        <v>0</v>
      </c>
      <c r="W87" s="245">
        <f t="shared" si="11"/>
        <v>0</v>
      </c>
    </row>
    <row r="88" spans="1:23" s="212" customFormat="1">
      <c r="A88" s="241" t="s">
        <v>553</v>
      </c>
      <c r="B88" s="242"/>
      <c r="C88" s="43">
        <v>0</v>
      </c>
      <c r="D88" s="43">
        <v>0</v>
      </c>
      <c r="E88" s="43">
        <v>0</v>
      </c>
      <c r="F88" s="243">
        <v>0</v>
      </c>
      <c r="G88" s="21">
        <f t="shared" si="10"/>
        <v>9.2269746166520533E-2</v>
      </c>
      <c r="H88" s="21">
        <f t="shared" si="1"/>
        <v>0</v>
      </c>
      <c r="I88" s="21">
        <f t="shared" si="7"/>
        <v>0.18570440665026522</v>
      </c>
      <c r="J88" s="21">
        <f t="shared" si="8"/>
        <v>0</v>
      </c>
      <c r="K88" s="244">
        <f t="shared" si="2"/>
        <v>0</v>
      </c>
      <c r="L88" s="43">
        <v>0</v>
      </c>
      <c r="M88" s="21">
        <f t="shared" si="9"/>
        <v>0</v>
      </c>
      <c r="N88" s="245">
        <f t="shared" si="3"/>
        <v>0</v>
      </c>
      <c r="O88" s="86">
        <v>0</v>
      </c>
      <c r="P88" s="244">
        <f t="shared" si="4"/>
        <v>0</v>
      </c>
      <c r="Q88" s="246">
        <v>0</v>
      </c>
      <c r="R88" s="21">
        <f>+'2-Incentive ROE'!K52*'9B-Non-MISO Project Rev Req'!Q88/100*'9B-Non-MISO Project Rev Req'!L88</f>
        <v>0</v>
      </c>
      <c r="S88" s="245">
        <f t="shared" si="5"/>
        <v>0</v>
      </c>
      <c r="T88" s="247">
        <v>0</v>
      </c>
      <c r="U88" s="245">
        <f t="shared" si="6"/>
        <v>0</v>
      </c>
      <c r="V88" s="86">
        <v>0</v>
      </c>
      <c r="W88" s="245">
        <f t="shared" si="11"/>
        <v>0</v>
      </c>
    </row>
    <row r="89" spans="1:23" s="212" customFormat="1">
      <c r="A89" s="241" t="s">
        <v>554</v>
      </c>
      <c r="B89" s="242"/>
      <c r="C89" s="43">
        <v>0</v>
      </c>
      <c r="D89" s="43">
        <v>0</v>
      </c>
      <c r="E89" s="43">
        <v>0</v>
      </c>
      <c r="F89" s="243">
        <v>0</v>
      </c>
      <c r="G89" s="21">
        <f t="shared" si="10"/>
        <v>9.2269746166520533E-2</v>
      </c>
      <c r="H89" s="21">
        <f t="shared" si="1"/>
        <v>0</v>
      </c>
      <c r="I89" s="21">
        <f t="shared" si="7"/>
        <v>0.18570440665026522</v>
      </c>
      <c r="J89" s="21">
        <f t="shared" si="8"/>
        <v>0</v>
      </c>
      <c r="K89" s="244">
        <f t="shared" si="2"/>
        <v>0</v>
      </c>
      <c r="L89" s="43">
        <v>0</v>
      </c>
      <c r="M89" s="21">
        <f t="shared" si="9"/>
        <v>0</v>
      </c>
      <c r="N89" s="245">
        <f t="shared" si="3"/>
        <v>0</v>
      </c>
      <c r="O89" s="86">
        <v>0</v>
      </c>
      <c r="P89" s="244">
        <f t="shared" si="4"/>
        <v>0</v>
      </c>
      <c r="Q89" s="246">
        <v>0</v>
      </c>
      <c r="R89" s="21">
        <f>+'2-Incentive ROE'!K53*'9B-Non-MISO Project Rev Req'!Q89/100*'9B-Non-MISO Project Rev Req'!L89</f>
        <v>0</v>
      </c>
      <c r="S89" s="245">
        <f t="shared" si="5"/>
        <v>0</v>
      </c>
      <c r="T89" s="247">
        <v>0</v>
      </c>
      <c r="U89" s="245">
        <f t="shared" si="6"/>
        <v>0</v>
      </c>
      <c r="V89" s="86">
        <v>0</v>
      </c>
      <c r="W89" s="245">
        <f t="shared" si="11"/>
        <v>0</v>
      </c>
    </row>
    <row r="90" spans="1:23" s="212" customFormat="1">
      <c r="A90" s="241" t="s">
        <v>555</v>
      </c>
      <c r="B90" s="242"/>
      <c r="C90" s="43">
        <v>0</v>
      </c>
      <c r="D90" s="43">
        <v>0</v>
      </c>
      <c r="E90" s="43">
        <v>0</v>
      </c>
      <c r="F90" s="243">
        <v>0</v>
      </c>
      <c r="G90" s="21">
        <f t="shared" si="10"/>
        <v>9.2269746166520533E-2</v>
      </c>
      <c r="H90" s="21">
        <f t="shared" si="1"/>
        <v>0</v>
      </c>
      <c r="I90" s="21">
        <f t="shared" si="7"/>
        <v>0.18570440665026522</v>
      </c>
      <c r="J90" s="21">
        <f t="shared" si="8"/>
        <v>0</v>
      </c>
      <c r="K90" s="244">
        <f t="shared" si="2"/>
        <v>0</v>
      </c>
      <c r="L90" s="43">
        <v>0</v>
      </c>
      <c r="M90" s="21">
        <f t="shared" si="9"/>
        <v>0</v>
      </c>
      <c r="N90" s="245">
        <f t="shared" si="3"/>
        <v>0</v>
      </c>
      <c r="O90" s="86">
        <v>0</v>
      </c>
      <c r="P90" s="244">
        <f t="shared" si="4"/>
        <v>0</v>
      </c>
      <c r="Q90" s="246">
        <v>0</v>
      </c>
      <c r="R90" s="21">
        <f>+'2-Incentive ROE'!K54*'9B-Non-MISO Project Rev Req'!Q90/100*'9B-Non-MISO Project Rev Req'!L90</f>
        <v>0</v>
      </c>
      <c r="S90" s="245">
        <f t="shared" si="5"/>
        <v>0</v>
      </c>
      <c r="T90" s="247">
        <v>0</v>
      </c>
      <c r="U90" s="245">
        <f t="shared" si="6"/>
        <v>0</v>
      </c>
      <c r="V90" s="86">
        <v>0</v>
      </c>
      <c r="W90" s="245">
        <f t="shared" si="11"/>
        <v>0</v>
      </c>
    </row>
    <row r="91" spans="1:23" s="212" customFormat="1">
      <c r="A91" s="248"/>
      <c r="B91" s="162"/>
      <c r="C91" s="43">
        <v>0</v>
      </c>
      <c r="D91" s="43">
        <v>0</v>
      </c>
      <c r="E91" s="43">
        <v>0</v>
      </c>
      <c r="F91" s="243">
        <v>0</v>
      </c>
      <c r="G91" s="21">
        <f t="shared" si="10"/>
        <v>9.2269746166520533E-2</v>
      </c>
      <c r="H91" s="21">
        <f t="shared" si="1"/>
        <v>0</v>
      </c>
      <c r="I91" s="21">
        <f t="shared" si="7"/>
        <v>0.18570440665026522</v>
      </c>
      <c r="J91" s="21">
        <f t="shared" si="8"/>
        <v>0</v>
      </c>
      <c r="K91" s="244">
        <f t="shared" si="2"/>
        <v>0</v>
      </c>
      <c r="L91" s="43">
        <v>0</v>
      </c>
      <c r="M91" s="21">
        <f t="shared" si="9"/>
        <v>0</v>
      </c>
      <c r="N91" s="245">
        <f t="shared" si="3"/>
        <v>0</v>
      </c>
      <c r="O91" s="86">
        <v>0</v>
      </c>
      <c r="P91" s="244">
        <f t="shared" si="4"/>
        <v>0</v>
      </c>
      <c r="Q91" s="246">
        <v>0</v>
      </c>
      <c r="R91" s="21">
        <f>+'2-Incentive ROE'!K55*'9B-Non-MISO Project Rev Req'!Q91/100*'9B-Non-MISO Project Rev Req'!L91</f>
        <v>0</v>
      </c>
      <c r="S91" s="245">
        <f t="shared" si="5"/>
        <v>0</v>
      </c>
      <c r="T91" s="247">
        <v>0</v>
      </c>
      <c r="U91" s="245">
        <f t="shared" si="6"/>
        <v>0</v>
      </c>
      <c r="V91" s="86">
        <v>0</v>
      </c>
      <c r="W91" s="245">
        <f t="shared" si="11"/>
        <v>0</v>
      </c>
    </row>
    <row r="92" spans="1:23" s="212" customFormat="1">
      <c r="A92" s="248"/>
      <c r="B92" s="162"/>
      <c r="C92" s="43">
        <v>0</v>
      </c>
      <c r="D92" s="43">
        <v>0</v>
      </c>
      <c r="E92" s="43">
        <v>0</v>
      </c>
      <c r="F92" s="243">
        <v>0</v>
      </c>
      <c r="G92" s="21">
        <f t="shared" si="10"/>
        <v>9.2269746166520533E-2</v>
      </c>
      <c r="H92" s="21">
        <f t="shared" si="1"/>
        <v>0</v>
      </c>
      <c r="I92" s="21">
        <f t="shared" si="7"/>
        <v>0.18570440665026522</v>
      </c>
      <c r="J92" s="21">
        <f t="shared" si="8"/>
        <v>0</v>
      </c>
      <c r="K92" s="244">
        <f t="shared" si="2"/>
        <v>0</v>
      </c>
      <c r="L92" s="43">
        <v>0</v>
      </c>
      <c r="M92" s="21">
        <f t="shared" si="9"/>
        <v>0</v>
      </c>
      <c r="N92" s="245">
        <f t="shared" si="3"/>
        <v>0</v>
      </c>
      <c r="O92" s="86">
        <v>0</v>
      </c>
      <c r="P92" s="244">
        <f t="shared" si="4"/>
        <v>0</v>
      </c>
      <c r="Q92" s="246">
        <v>0</v>
      </c>
      <c r="R92" s="21">
        <f>+'2-Incentive ROE'!K56*'9B-Non-MISO Project Rev Req'!Q92/100*'9B-Non-MISO Project Rev Req'!L92</f>
        <v>0</v>
      </c>
      <c r="S92" s="245">
        <f t="shared" si="5"/>
        <v>0</v>
      </c>
      <c r="T92" s="247">
        <v>0</v>
      </c>
      <c r="U92" s="245">
        <f t="shared" si="6"/>
        <v>0</v>
      </c>
      <c r="V92" s="86">
        <v>0</v>
      </c>
      <c r="W92" s="245">
        <f t="shared" si="11"/>
        <v>0</v>
      </c>
    </row>
    <row r="93" spans="1:23" s="212" customFormat="1">
      <c r="A93" s="248"/>
      <c r="B93" s="162"/>
      <c r="C93" s="43">
        <v>0</v>
      </c>
      <c r="D93" s="43">
        <v>0</v>
      </c>
      <c r="E93" s="43">
        <v>0</v>
      </c>
      <c r="F93" s="243">
        <v>0</v>
      </c>
      <c r="G93" s="21">
        <f t="shared" si="10"/>
        <v>9.2269746166520533E-2</v>
      </c>
      <c r="H93" s="21">
        <f t="shared" si="1"/>
        <v>0</v>
      </c>
      <c r="I93" s="21">
        <f t="shared" si="7"/>
        <v>0.18570440665026522</v>
      </c>
      <c r="J93" s="21">
        <f t="shared" si="8"/>
        <v>0</v>
      </c>
      <c r="K93" s="244">
        <f t="shared" si="2"/>
        <v>0</v>
      </c>
      <c r="L93" s="43">
        <v>0</v>
      </c>
      <c r="M93" s="21">
        <f t="shared" si="9"/>
        <v>0</v>
      </c>
      <c r="N93" s="245">
        <f t="shared" si="3"/>
        <v>0</v>
      </c>
      <c r="O93" s="86">
        <v>0</v>
      </c>
      <c r="P93" s="244">
        <f t="shared" si="4"/>
        <v>0</v>
      </c>
      <c r="Q93" s="246">
        <v>0</v>
      </c>
      <c r="R93" s="21">
        <f>+'2-Incentive ROE'!K57*'9B-Non-MISO Project Rev Req'!Q93/100*'9B-Non-MISO Project Rev Req'!L93</f>
        <v>0</v>
      </c>
      <c r="S93" s="245">
        <f t="shared" si="5"/>
        <v>0</v>
      </c>
      <c r="T93" s="247">
        <v>0</v>
      </c>
      <c r="U93" s="245">
        <f t="shared" si="6"/>
        <v>0</v>
      </c>
      <c r="V93" s="86">
        <v>0</v>
      </c>
      <c r="W93" s="245">
        <f t="shared" si="11"/>
        <v>0</v>
      </c>
    </row>
    <row r="94" spans="1:23" s="212" customFormat="1">
      <c r="A94" s="248"/>
      <c r="B94" s="162"/>
      <c r="C94" s="43">
        <v>0</v>
      </c>
      <c r="D94" s="43">
        <v>0</v>
      </c>
      <c r="E94" s="43">
        <v>0</v>
      </c>
      <c r="F94" s="243">
        <v>0</v>
      </c>
      <c r="G94" s="21">
        <f t="shared" si="10"/>
        <v>9.2269746166520533E-2</v>
      </c>
      <c r="H94" s="21">
        <f t="shared" si="1"/>
        <v>0</v>
      </c>
      <c r="I94" s="21">
        <f t="shared" si="7"/>
        <v>0.18570440665026522</v>
      </c>
      <c r="J94" s="21">
        <f t="shared" si="8"/>
        <v>0</v>
      </c>
      <c r="K94" s="244">
        <f t="shared" si="2"/>
        <v>0</v>
      </c>
      <c r="L94" s="43">
        <v>0</v>
      </c>
      <c r="M94" s="21">
        <f t="shared" si="9"/>
        <v>0</v>
      </c>
      <c r="N94" s="245">
        <f t="shared" si="3"/>
        <v>0</v>
      </c>
      <c r="O94" s="86">
        <v>0</v>
      </c>
      <c r="P94" s="244">
        <f t="shared" si="4"/>
        <v>0</v>
      </c>
      <c r="Q94" s="246">
        <v>0</v>
      </c>
      <c r="R94" s="21">
        <f>+'2-Incentive ROE'!K58*'9B-Non-MISO Project Rev Req'!Q94/100*'9B-Non-MISO Project Rev Req'!L94</f>
        <v>0</v>
      </c>
      <c r="S94" s="245">
        <f t="shared" si="5"/>
        <v>0</v>
      </c>
      <c r="T94" s="247">
        <v>0</v>
      </c>
      <c r="U94" s="245">
        <f t="shared" si="6"/>
        <v>0</v>
      </c>
      <c r="V94" s="86">
        <v>0</v>
      </c>
      <c r="W94" s="245">
        <f t="shared" si="11"/>
        <v>0</v>
      </c>
    </row>
    <row r="95" spans="1:23" s="212" customFormat="1">
      <c r="A95" s="249"/>
      <c r="B95" s="250"/>
      <c r="C95" s="250"/>
      <c r="D95" s="250"/>
      <c r="E95" s="250"/>
      <c r="F95" s="250"/>
      <c r="G95" s="251"/>
      <c r="H95" s="186"/>
      <c r="I95" s="252"/>
      <c r="J95" s="250"/>
      <c r="K95" s="253"/>
      <c r="L95" s="250"/>
      <c r="M95" s="250"/>
      <c r="N95" s="253"/>
      <c r="O95" s="250"/>
      <c r="P95" s="254"/>
      <c r="Q95" s="255"/>
      <c r="R95" s="256"/>
      <c r="S95" s="255"/>
      <c r="T95" s="255"/>
      <c r="U95" s="255"/>
      <c r="V95" s="250"/>
      <c r="W95" s="257">
        <f t="shared" si="11"/>
        <v>0</v>
      </c>
    </row>
    <row r="96" spans="1:23" s="212" customFormat="1">
      <c r="A96" s="175" t="s">
        <v>556</v>
      </c>
      <c r="B96" s="199"/>
      <c r="C96" s="167" t="s">
        <v>557</v>
      </c>
      <c r="D96" s="167"/>
      <c r="E96" s="111">
        <f>SUM(E76:E94)</f>
        <v>5719626.304173097</v>
      </c>
      <c r="F96" s="111">
        <f>SUM(F76:F94)</f>
        <v>2863394.6747044036</v>
      </c>
      <c r="G96" s="111"/>
      <c r="H96" s="111">
        <f>SUM(H76:H94)</f>
        <v>527748.4672534056</v>
      </c>
      <c r="I96" s="111"/>
      <c r="J96" s="111">
        <f>SUM(J76:J94)</f>
        <v>1062159.8090777143</v>
      </c>
      <c r="K96" s="111">
        <f>SUM(K76:K94)</f>
        <v>1589908.2763311199</v>
      </c>
      <c r="L96" s="111">
        <f>SUM(L76:L94)</f>
        <v>2856231.6294686934</v>
      </c>
      <c r="M96" s="169"/>
      <c r="N96" s="169">
        <f>SUM(N76:N95)</f>
        <v>325808.19737357867</v>
      </c>
      <c r="O96" s="35">
        <f>SUM(O76:O95)</f>
        <v>113580.02511481008</v>
      </c>
      <c r="P96" s="35">
        <f>SUM(P76:P95)</f>
        <v>2029296.4988195086</v>
      </c>
      <c r="Q96" s="203"/>
      <c r="R96" s="35">
        <f t="shared" ref="R96:W96" si="12">SUM(R76:R95)</f>
        <v>0</v>
      </c>
      <c r="S96" s="35">
        <f t="shared" si="12"/>
        <v>2029296.4988195086</v>
      </c>
      <c r="T96" s="35">
        <f t="shared" si="12"/>
        <v>-729296.49881950859</v>
      </c>
      <c r="U96" s="35">
        <f t="shared" si="12"/>
        <v>1300000</v>
      </c>
      <c r="V96" s="35">
        <f t="shared" si="12"/>
        <v>0</v>
      </c>
      <c r="W96" s="35">
        <f t="shared" si="12"/>
        <v>1300000</v>
      </c>
    </row>
    <row r="97" spans="1:23" s="212" customFormat="1">
      <c r="A97" s="162"/>
      <c r="B97" s="162"/>
      <c r="C97" s="162"/>
      <c r="D97" s="162"/>
      <c r="E97" s="35"/>
      <c r="F97" s="35"/>
      <c r="G97" s="162"/>
      <c r="H97" s="35"/>
      <c r="I97" s="162"/>
      <c r="J97" s="203"/>
      <c r="K97" s="35"/>
      <c r="L97" s="35"/>
      <c r="M97" s="162"/>
      <c r="N97" s="203">
        <f>+J49+J53</f>
        <v>325808.19737357867</v>
      </c>
      <c r="O97" s="35"/>
      <c r="P97" s="35"/>
      <c r="Q97" s="162"/>
      <c r="R97" s="162"/>
      <c r="S97" s="162"/>
      <c r="T97" s="162"/>
      <c r="U97" s="162"/>
      <c r="V97" s="162"/>
      <c r="W97" s="35"/>
    </row>
    <row r="98" spans="1:23" s="212" customFormat="1">
      <c r="A98" s="258">
        <v>17</v>
      </c>
      <c r="B98" s="162"/>
      <c r="C98" s="162" t="s">
        <v>1083</v>
      </c>
      <c r="D98" s="162"/>
      <c r="E98" s="162"/>
      <c r="F98" s="162"/>
      <c r="G98" s="162"/>
      <c r="H98" s="162"/>
      <c r="I98" s="162"/>
      <c r="J98" s="162"/>
      <c r="K98" s="162"/>
      <c r="L98" s="21"/>
      <c r="M98" s="203"/>
      <c r="N98" s="203"/>
      <c r="O98" s="203"/>
      <c r="P98" s="21">
        <f>+P96</f>
        <v>2029296.4988195086</v>
      </c>
      <c r="Q98" s="162"/>
      <c r="R98" s="162"/>
      <c r="S98" s="162"/>
      <c r="T98" s="162"/>
      <c r="U98" s="162"/>
      <c r="V98" s="162"/>
      <c r="W98" s="162"/>
    </row>
    <row r="99" spans="1:23" s="212" customFormat="1">
      <c r="A99" s="258">
        <v>18</v>
      </c>
      <c r="B99" s="162"/>
      <c r="C99" s="162" t="s">
        <v>1084</v>
      </c>
      <c r="D99" s="162"/>
      <c r="E99" s="162"/>
      <c r="F99" s="162"/>
      <c r="G99" s="162"/>
      <c r="H99" s="162"/>
      <c r="I99" s="162"/>
      <c r="J99" s="162"/>
      <c r="K99" s="199"/>
      <c r="L99" s="199"/>
      <c r="M99" s="199"/>
      <c r="N99" s="199"/>
      <c r="O99" s="199"/>
      <c r="P99" s="162"/>
      <c r="Q99" s="162"/>
      <c r="R99" s="608"/>
      <c r="S99" s="162"/>
      <c r="T99" s="162"/>
      <c r="U99" s="162"/>
      <c r="V99" s="162"/>
      <c r="W99" s="162"/>
    </row>
    <row r="100" spans="1:23" s="212" customFormat="1">
      <c r="A100" s="162"/>
      <c r="B100" s="162"/>
      <c r="C100" s="162"/>
      <c r="D100" s="162"/>
      <c r="E100" s="162"/>
      <c r="F100" s="162"/>
      <c r="G100" s="162"/>
      <c r="H100" s="162"/>
      <c r="I100" s="162"/>
      <c r="J100" s="162"/>
      <c r="K100" s="199"/>
      <c r="L100" s="199"/>
      <c r="M100" s="199"/>
      <c r="N100" s="199"/>
      <c r="O100" s="199"/>
      <c r="P100" s="162"/>
      <c r="Q100" s="162"/>
      <c r="R100" s="162"/>
      <c r="S100" s="162"/>
      <c r="T100" s="162"/>
      <c r="U100" s="162"/>
      <c r="V100" s="162"/>
      <c r="W100" s="162"/>
    </row>
    <row r="101" spans="1:23" s="212" customFormat="1">
      <c r="A101" s="162" t="s">
        <v>348</v>
      </c>
      <c r="B101" s="162"/>
      <c r="C101" s="162"/>
      <c r="D101" s="162"/>
      <c r="E101" s="162"/>
      <c r="F101" s="162"/>
      <c r="G101" s="162"/>
      <c r="H101" s="162"/>
      <c r="I101" s="162"/>
      <c r="J101" s="162"/>
      <c r="K101" s="162"/>
      <c r="L101" s="162"/>
      <c r="M101" s="162"/>
      <c r="N101" s="162"/>
      <c r="O101" s="162"/>
      <c r="P101" s="162"/>
      <c r="Q101" s="162"/>
      <c r="R101" s="162"/>
      <c r="S101" s="162"/>
      <c r="T101" s="162"/>
      <c r="U101" s="162"/>
      <c r="V101" s="162"/>
      <c r="W101" s="162"/>
    </row>
    <row r="102" spans="1:23" s="212" customFormat="1" ht="13.5" thickBot="1">
      <c r="A102" s="259" t="s">
        <v>349</v>
      </c>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row>
    <row r="103" spans="1:23" ht="12.75" customHeight="1">
      <c r="A103" s="260" t="s">
        <v>350</v>
      </c>
      <c r="B103" s="212"/>
      <c r="C103" s="740" t="s">
        <v>1074</v>
      </c>
      <c r="D103" s="740"/>
      <c r="E103" s="740"/>
      <c r="F103" s="740"/>
      <c r="G103" s="740"/>
      <c r="H103" s="740"/>
      <c r="I103" s="740"/>
      <c r="J103" s="740"/>
      <c r="K103" s="740"/>
      <c r="L103" s="740"/>
      <c r="M103" s="740"/>
      <c r="N103" s="740"/>
      <c r="O103" s="740"/>
      <c r="P103" s="740"/>
      <c r="Q103" s="740"/>
      <c r="R103" s="261"/>
      <c r="S103" s="261"/>
      <c r="T103" s="261"/>
      <c r="U103" s="261"/>
      <c r="V103" s="261"/>
      <c r="W103" s="261"/>
    </row>
    <row r="104" spans="1:23" ht="16.5" customHeight="1">
      <c r="A104" s="260" t="s">
        <v>352</v>
      </c>
      <c r="B104" s="212"/>
      <c r="C104" s="740" t="s">
        <v>561</v>
      </c>
      <c r="D104" s="740"/>
      <c r="E104" s="740"/>
      <c r="F104" s="740"/>
      <c r="G104" s="740"/>
      <c r="H104" s="740"/>
      <c r="I104" s="740"/>
      <c r="J104" s="740"/>
      <c r="K104" s="740"/>
      <c r="L104" s="740"/>
      <c r="M104" s="262"/>
      <c r="N104" s="262"/>
      <c r="O104" s="262"/>
      <c r="P104" s="262"/>
      <c r="Q104" s="262"/>
    </row>
    <row r="105" spans="1:23" ht="13.5" customHeight="1">
      <c r="A105" s="260" t="s">
        <v>354</v>
      </c>
      <c r="B105" s="212"/>
      <c r="C105" s="162" t="s">
        <v>562</v>
      </c>
    </row>
    <row r="106" spans="1:23" ht="13.5" customHeight="1">
      <c r="A106" s="260"/>
      <c r="B106" s="212"/>
      <c r="C106" s="263" t="s">
        <v>563</v>
      </c>
      <c r="D106" s="600"/>
      <c r="E106" s="600"/>
      <c r="F106" s="600"/>
      <c r="G106" s="600"/>
      <c r="H106" s="600"/>
      <c r="I106" s="600"/>
      <c r="J106" s="600"/>
      <c r="K106" s="600"/>
      <c r="L106" s="600"/>
      <c r="M106" s="600"/>
      <c r="N106" s="600"/>
      <c r="O106" s="600"/>
      <c r="P106" s="600"/>
      <c r="Q106" s="600"/>
    </row>
    <row r="107" spans="1:23" ht="12.75" customHeight="1">
      <c r="A107" s="260" t="s">
        <v>356</v>
      </c>
      <c r="B107" s="212"/>
      <c r="C107" s="741" t="s">
        <v>564</v>
      </c>
      <c r="D107" s="741"/>
      <c r="E107" s="741"/>
      <c r="F107" s="741"/>
      <c r="G107" s="741"/>
      <c r="H107" s="741"/>
      <c r="I107" s="741"/>
      <c r="J107" s="741"/>
      <c r="K107" s="741"/>
      <c r="L107" s="741"/>
      <c r="M107" s="741"/>
      <c r="N107" s="265"/>
      <c r="O107" s="265"/>
      <c r="P107" s="265"/>
      <c r="Q107" s="265"/>
    </row>
    <row r="108" spans="1:23">
      <c r="A108" s="260"/>
      <c r="B108" s="212"/>
      <c r="C108" s="266" t="s">
        <v>565</v>
      </c>
      <c r="D108" s="599"/>
      <c r="E108" s="599"/>
      <c r="F108" s="599"/>
      <c r="G108" s="599"/>
      <c r="H108" s="599"/>
      <c r="I108" s="599"/>
      <c r="J108" s="599"/>
      <c r="K108" s="599"/>
      <c r="L108" s="599"/>
      <c r="M108" s="599"/>
      <c r="N108" s="599"/>
      <c r="O108" s="599"/>
      <c r="P108" s="599"/>
      <c r="Q108" s="599"/>
    </row>
    <row r="109" spans="1:23" ht="31.5" customHeight="1">
      <c r="A109" s="260" t="s">
        <v>357</v>
      </c>
      <c r="B109" s="212"/>
      <c r="C109" s="740" t="s">
        <v>1076</v>
      </c>
      <c r="D109" s="740"/>
      <c r="E109" s="740"/>
      <c r="F109" s="740"/>
      <c r="G109" s="740"/>
      <c r="H109" s="740"/>
      <c r="I109" s="740"/>
      <c r="J109" s="740"/>
      <c r="K109" s="740"/>
      <c r="L109" s="740"/>
      <c r="M109" s="262"/>
      <c r="N109" s="262"/>
      <c r="O109" s="262"/>
      <c r="P109" s="262"/>
      <c r="Q109" s="262"/>
    </row>
    <row r="110" spans="1:23" ht="24.95" customHeight="1">
      <c r="A110" s="598" t="s">
        <v>359</v>
      </c>
      <c r="B110" s="212"/>
      <c r="C110" s="742" t="s">
        <v>1075</v>
      </c>
      <c r="D110" s="743"/>
      <c r="E110" s="743"/>
      <c r="F110" s="743"/>
      <c r="G110" s="743"/>
      <c r="H110" s="743"/>
      <c r="I110" s="743"/>
      <c r="J110" s="743"/>
      <c r="K110" s="743"/>
      <c r="L110" s="743"/>
      <c r="M110" s="600"/>
      <c r="N110" s="600"/>
      <c r="O110" s="600"/>
      <c r="P110" s="600"/>
      <c r="Q110" s="600"/>
    </row>
    <row r="111" spans="1:23" ht="16.5" customHeight="1">
      <c r="A111" s="598" t="s">
        <v>361</v>
      </c>
      <c r="B111" s="212"/>
      <c r="C111" s="263" t="s">
        <v>567</v>
      </c>
      <c r="D111" s="263"/>
      <c r="E111" s="263"/>
      <c r="F111" s="263"/>
      <c r="G111" s="263"/>
      <c r="H111" s="263"/>
      <c r="I111" s="263"/>
      <c r="J111" s="263"/>
      <c r="K111" s="263"/>
      <c r="L111" s="263"/>
      <c r="M111" s="263"/>
      <c r="N111" s="263"/>
      <c r="O111" s="263"/>
      <c r="P111" s="263"/>
      <c r="Q111" s="263"/>
    </row>
    <row r="112" spans="1:23">
      <c r="A112" s="260" t="s">
        <v>363</v>
      </c>
      <c r="B112" s="212"/>
      <c r="C112" s="744" t="s">
        <v>1077</v>
      </c>
      <c r="D112" s="744"/>
      <c r="E112" s="744"/>
      <c r="F112" s="744"/>
      <c r="G112" s="744"/>
      <c r="H112" s="744"/>
      <c r="I112" s="744"/>
      <c r="J112" s="744"/>
      <c r="K112" s="744"/>
      <c r="L112" s="744"/>
    </row>
    <row r="113" spans="1:12">
      <c r="A113" s="598" t="s">
        <v>365</v>
      </c>
      <c r="B113" s="212"/>
      <c r="C113" s="162" t="s">
        <v>569</v>
      </c>
    </row>
    <row r="114" spans="1:12">
      <c r="A114" s="598" t="s">
        <v>367</v>
      </c>
      <c r="C114" s="740" t="s">
        <v>1078</v>
      </c>
      <c r="D114" s="740"/>
      <c r="E114" s="740"/>
      <c r="F114" s="740"/>
      <c r="G114" s="740"/>
      <c r="H114" s="740"/>
      <c r="I114" s="740"/>
      <c r="J114" s="740"/>
      <c r="K114" s="740"/>
      <c r="L114" s="740"/>
    </row>
  </sheetData>
  <mergeCells count="7">
    <mergeCell ref="C114:L114"/>
    <mergeCell ref="C103:Q103"/>
    <mergeCell ref="C104:L104"/>
    <mergeCell ref="C107:M107"/>
    <mergeCell ref="C109:L109"/>
    <mergeCell ref="C110:L110"/>
    <mergeCell ref="C112:L112"/>
  </mergeCells>
  <pageMargins left="0.25" right="0.25" top="0.75" bottom="0.75" header="0.3" footer="0.3"/>
  <pageSetup scale="54" fitToWidth="2" fitToHeight="2" orientation="landscape" r:id="rId1"/>
  <rowBreaks count="1" manualBreakCount="1">
    <brk id="58" max="22" man="1"/>
  </rowBreaks>
  <colBreaks count="1" manualBreakCount="1">
    <brk id="12" min="58"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CE98-5AE3-497C-8944-6E4435D74F69}">
  <dimension ref="A1:N49"/>
  <sheetViews>
    <sheetView workbookViewId="0"/>
  </sheetViews>
  <sheetFormatPr defaultColWidth="8.88671875" defaultRowHeight="12.75"/>
  <cols>
    <col min="1" max="1" width="6" style="162" customWidth="1"/>
    <col min="2" max="2" width="27.109375" style="162" customWidth="1"/>
    <col min="3" max="3" width="17.5546875" style="162" customWidth="1"/>
    <col min="4" max="4" width="15" style="162" customWidth="1"/>
    <col min="5" max="6" width="23.109375" style="162" customWidth="1"/>
    <col min="7" max="7" width="21" style="162" customWidth="1"/>
    <col min="8" max="8" width="18.33203125" style="162" customWidth="1"/>
    <col min="9" max="9" width="18.5546875" style="162" customWidth="1"/>
    <col min="10" max="10" width="13.77734375" style="162" customWidth="1"/>
    <col min="11" max="11" width="9.44140625" style="162" customWidth="1"/>
    <col min="12" max="12" width="13.5546875" style="162" customWidth="1"/>
    <col min="13" max="16384" width="8.88671875" style="162"/>
  </cols>
  <sheetData>
    <row r="1" spans="1:14">
      <c r="E1" s="598"/>
    </row>
    <row r="2" spans="1:14">
      <c r="D2" s="165"/>
      <c r="E2" s="601" t="s">
        <v>1079</v>
      </c>
      <c r="F2" s="165"/>
      <c r="G2" s="165"/>
      <c r="I2" s="165"/>
      <c r="K2" s="165" t="s">
        <v>613</v>
      </c>
      <c r="L2" s="165"/>
    </row>
    <row r="3" spans="1:14">
      <c r="D3" s="165"/>
      <c r="E3" s="285" t="s">
        <v>1080</v>
      </c>
      <c r="F3" s="169"/>
      <c r="G3" s="169"/>
      <c r="I3" s="169"/>
      <c r="J3" s="169"/>
      <c r="K3" s="169"/>
      <c r="L3" s="165"/>
    </row>
    <row r="4" spans="1:14">
      <c r="C4" s="167"/>
      <c r="D4" s="167"/>
      <c r="E4" s="593" t="str">
        <f>'Attachment O'!D5</f>
        <v>GridLiance Heartland LLC</v>
      </c>
      <c r="F4" s="167"/>
      <c r="G4" s="167"/>
      <c r="I4" s="167"/>
      <c r="J4" s="167"/>
      <c r="K4" s="167"/>
      <c r="L4" s="167"/>
    </row>
    <row r="5" spans="1:14">
      <c r="A5" s="594"/>
      <c r="C5" s="167"/>
      <c r="D5" s="167"/>
      <c r="E5" s="592"/>
      <c r="F5" s="167"/>
      <c r="G5" s="167"/>
      <c r="I5" s="167"/>
      <c r="J5" s="167"/>
      <c r="K5" s="167"/>
      <c r="L5" s="167"/>
    </row>
    <row r="6" spans="1:14">
      <c r="A6" s="594"/>
      <c r="C6" s="167"/>
      <c r="D6" s="167"/>
      <c r="E6" s="167"/>
      <c r="F6" s="167"/>
      <c r="G6" s="167"/>
      <c r="H6" s="171"/>
      <c r="I6" s="167"/>
      <c r="J6" s="167"/>
      <c r="K6" s="167"/>
      <c r="L6" s="167"/>
    </row>
    <row r="7" spans="1:14">
      <c r="A7" s="594"/>
      <c r="E7" s="211"/>
      <c r="I7" s="167"/>
      <c r="J7" s="167"/>
      <c r="K7" s="167"/>
      <c r="L7" s="167"/>
    </row>
    <row r="8" spans="1:14" s="212" customFormat="1" ht="15" customHeight="1">
      <c r="B8" s="286"/>
      <c r="C8" s="286"/>
      <c r="D8" s="286"/>
      <c r="E8" s="287"/>
      <c r="F8" s="288"/>
      <c r="G8" s="289"/>
      <c r="H8" s="290"/>
    </row>
    <row r="9" spans="1:14" s="212" customFormat="1">
      <c r="A9" s="287"/>
      <c r="B9" s="286" t="s">
        <v>615</v>
      </c>
      <c r="C9" s="286"/>
      <c r="D9" s="286"/>
      <c r="F9" s="291" t="s">
        <v>616</v>
      </c>
      <c r="G9" s="292"/>
      <c r="H9" s="293"/>
    </row>
    <row r="10" spans="1:14" s="212" customFormat="1">
      <c r="A10" s="294">
        <v>1</v>
      </c>
      <c r="B10" s="295"/>
      <c r="C10" s="286"/>
      <c r="D10" s="296"/>
      <c r="E10" s="296"/>
      <c r="F10" s="296"/>
      <c r="G10" s="296"/>
      <c r="H10" s="296"/>
    </row>
    <row r="11" spans="1:14" s="212" customFormat="1">
      <c r="A11" s="294"/>
      <c r="B11" s="297" t="s">
        <v>350</v>
      </c>
      <c r="C11" s="298" t="s">
        <v>352</v>
      </c>
      <c r="D11" s="299" t="s">
        <v>354</v>
      </c>
      <c r="E11" s="299" t="s">
        <v>356</v>
      </c>
      <c r="F11" s="299" t="s">
        <v>357</v>
      </c>
      <c r="G11" s="299" t="s">
        <v>359</v>
      </c>
      <c r="H11" s="299" t="s">
        <v>361</v>
      </c>
      <c r="M11" s="300"/>
      <c r="N11" s="300"/>
    </row>
    <row r="12" spans="1:14" s="212" customFormat="1">
      <c r="A12" s="294"/>
      <c r="B12" s="296"/>
      <c r="C12" s="301"/>
      <c r="D12" s="302"/>
      <c r="E12" s="302"/>
      <c r="F12" s="302" t="s">
        <v>617</v>
      </c>
      <c r="G12" s="303"/>
      <c r="H12" s="303"/>
    </row>
    <row r="13" spans="1:14" s="212" customFormat="1">
      <c r="A13" s="294"/>
      <c r="B13" s="302" t="s">
        <v>618</v>
      </c>
      <c r="C13" s="302"/>
      <c r="D13" s="302" t="s">
        <v>619</v>
      </c>
      <c r="E13" s="302"/>
      <c r="F13" s="302" t="s">
        <v>620</v>
      </c>
      <c r="G13" s="302" t="s">
        <v>621</v>
      </c>
      <c r="H13" s="304" t="s">
        <v>622</v>
      </c>
    </row>
    <row r="14" spans="1:14" s="212" customFormat="1">
      <c r="A14" s="294"/>
      <c r="B14" s="302" t="s">
        <v>623</v>
      </c>
      <c r="C14" s="302"/>
      <c r="D14" s="302" t="s">
        <v>624</v>
      </c>
      <c r="E14" s="302"/>
      <c r="F14" s="302" t="s">
        <v>625</v>
      </c>
      <c r="G14" s="302" t="s">
        <v>626</v>
      </c>
      <c r="H14" s="304" t="s">
        <v>627</v>
      </c>
    </row>
    <row r="15" spans="1:14" s="212" customFormat="1" ht="15.75">
      <c r="A15" s="294"/>
      <c r="B15" s="299" t="s">
        <v>628</v>
      </c>
      <c r="C15" s="299" t="s">
        <v>629</v>
      </c>
      <c r="D15" s="299" t="s">
        <v>630</v>
      </c>
      <c r="E15" s="300" t="s">
        <v>631</v>
      </c>
      <c r="F15" s="302" t="s">
        <v>632</v>
      </c>
      <c r="G15" s="299" t="s">
        <v>633</v>
      </c>
      <c r="H15" s="299" t="s">
        <v>634</v>
      </c>
    </row>
    <row r="16" spans="1:14" s="212" customFormat="1">
      <c r="A16" s="294">
        <v>2</v>
      </c>
      <c r="B16" s="611"/>
      <c r="C16" s="611"/>
      <c r="D16" s="305">
        <v>0</v>
      </c>
      <c r="E16" s="306">
        <v>0</v>
      </c>
      <c r="F16" s="307">
        <f t="shared" ref="F16:F21" si="0">D16-E16</f>
        <v>0</v>
      </c>
      <c r="G16" s="308">
        <v>0</v>
      </c>
      <c r="H16" s="309">
        <f t="shared" ref="H16:H21" si="1">+F16+G16</f>
        <v>0</v>
      </c>
    </row>
    <row r="17" spans="1:14" s="212" customFormat="1">
      <c r="A17" s="294" t="s">
        <v>635</v>
      </c>
      <c r="B17" s="310"/>
      <c r="C17" s="310"/>
      <c r="D17" s="311">
        <v>0</v>
      </c>
      <c r="E17" s="312">
        <v>0</v>
      </c>
      <c r="F17" s="313">
        <f t="shared" si="0"/>
        <v>0</v>
      </c>
      <c r="G17" s="314">
        <v>0</v>
      </c>
      <c r="H17" s="313">
        <f t="shared" si="1"/>
        <v>0</v>
      </c>
    </row>
    <row r="18" spans="1:14" s="212" customFormat="1">
      <c r="A18" s="294" t="s">
        <v>636</v>
      </c>
      <c r="B18" s="310"/>
      <c r="C18" s="310"/>
      <c r="D18" s="311">
        <v>0</v>
      </c>
      <c r="E18" s="312">
        <v>0</v>
      </c>
      <c r="F18" s="313">
        <f t="shared" si="0"/>
        <v>0</v>
      </c>
      <c r="G18" s="314">
        <v>0</v>
      </c>
      <c r="H18" s="313">
        <f t="shared" si="1"/>
        <v>0</v>
      </c>
    </row>
    <row r="19" spans="1:14" s="212" customFormat="1">
      <c r="A19" s="294" t="s">
        <v>637</v>
      </c>
      <c r="B19" s="310"/>
      <c r="C19" s="310"/>
      <c r="D19" s="311">
        <v>0</v>
      </c>
      <c r="E19" s="312">
        <v>0</v>
      </c>
      <c r="F19" s="313">
        <f t="shared" si="0"/>
        <v>0</v>
      </c>
      <c r="G19" s="314">
        <v>0</v>
      </c>
      <c r="H19" s="313">
        <f t="shared" si="1"/>
        <v>0</v>
      </c>
    </row>
    <row r="20" spans="1:14" s="212" customFormat="1">
      <c r="A20" s="294" t="s">
        <v>638</v>
      </c>
      <c r="B20" s="310"/>
      <c r="C20" s="310"/>
      <c r="D20" s="311">
        <v>0</v>
      </c>
      <c r="E20" s="312">
        <v>0</v>
      </c>
      <c r="F20" s="313">
        <f t="shared" si="0"/>
        <v>0</v>
      </c>
      <c r="G20" s="314">
        <v>0</v>
      </c>
      <c r="H20" s="313">
        <f t="shared" si="1"/>
        <v>0</v>
      </c>
    </row>
    <row r="21" spans="1:14" s="212" customFormat="1">
      <c r="A21" s="294"/>
      <c r="B21" s="315"/>
      <c r="C21" s="315"/>
      <c r="D21" s="316">
        <v>0</v>
      </c>
      <c r="E21" s="317">
        <v>0</v>
      </c>
      <c r="F21" s="318">
        <f t="shared" si="0"/>
        <v>0</v>
      </c>
      <c r="G21" s="319">
        <v>0</v>
      </c>
      <c r="H21" s="318">
        <f t="shared" si="1"/>
        <v>0</v>
      </c>
    </row>
    <row r="22" spans="1:14" s="212" customFormat="1">
      <c r="A22" s="294"/>
      <c r="B22" s="286"/>
      <c r="C22" s="320"/>
      <c r="D22" s="320"/>
      <c r="E22" s="320"/>
      <c r="F22" s="320"/>
      <c r="G22" s="320"/>
      <c r="H22" s="321"/>
      <c r="J22" s="320"/>
      <c r="K22" s="320"/>
    </row>
    <row r="23" spans="1:14" s="212" customFormat="1">
      <c r="A23" s="294">
        <v>3</v>
      </c>
      <c r="B23" s="322" t="s">
        <v>21</v>
      </c>
      <c r="C23" s="320"/>
      <c r="D23" s="320">
        <f>SUM(D16:D21)</f>
        <v>0</v>
      </c>
      <c r="E23" s="320">
        <f t="shared" ref="E23" si="2">SUM(E16:E21)</f>
        <v>0</v>
      </c>
      <c r="F23" s="320">
        <f>SUM(F16:F21)</f>
        <v>0</v>
      </c>
      <c r="G23" s="320">
        <f>SUM(G16:G21)</f>
        <v>0</v>
      </c>
      <c r="H23" s="320">
        <f>SUM(H16:H21)</f>
        <v>0</v>
      </c>
      <c r="J23" s="320"/>
      <c r="K23" s="320"/>
    </row>
    <row r="24" spans="1:14" s="212" customFormat="1">
      <c r="A24" s="294"/>
      <c r="B24" s="286"/>
      <c r="C24" s="320"/>
      <c r="D24" s="320"/>
      <c r="E24" s="320"/>
      <c r="F24" s="320"/>
      <c r="G24" s="320"/>
      <c r="H24" s="320"/>
      <c r="I24" s="321"/>
      <c r="J24" s="320"/>
      <c r="K24" s="320"/>
    </row>
    <row r="25" spans="1:14" s="212" customFormat="1">
      <c r="A25" s="322"/>
      <c r="B25" s="286"/>
      <c r="C25" s="320"/>
      <c r="D25" s="320"/>
      <c r="E25" s="320"/>
      <c r="F25" s="320"/>
      <c r="G25" s="320"/>
      <c r="H25" s="320"/>
      <c r="I25" s="321"/>
      <c r="J25" s="320"/>
      <c r="K25" s="320"/>
    </row>
    <row r="26" spans="1:14" s="212" customFormat="1" ht="15">
      <c r="A26" s="322"/>
      <c r="B26" s="323"/>
      <c r="C26" s="2"/>
      <c r="D26" s="2"/>
      <c r="E26" s="2"/>
      <c r="F26" s="35"/>
      <c r="G26" s="35"/>
      <c r="H26" s="2"/>
      <c r="I26" s="324"/>
      <c r="J26" s="21"/>
      <c r="K26" s="325"/>
      <c r="L26" s="325"/>
    </row>
    <row r="27" spans="1:14" s="212" customFormat="1">
      <c r="A27" s="322"/>
      <c r="B27" s="2" t="s">
        <v>1081</v>
      </c>
      <c r="C27" s="2"/>
      <c r="D27" s="2"/>
      <c r="E27" s="2"/>
      <c r="F27" s="2"/>
      <c r="G27" s="2"/>
      <c r="H27" s="2"/>
      <c r="I27" s="286"/>
      <c r="J27" s="286"/>
      <c r="K27" s="286"/>
      <c r="L27" s="286"/>
      <c r="M27" s="286"/>
      <c r="N27" s="286"/>
    </row>
    <row r="28" spans="1:14" s="212" customFormat="1">
      <c r="A28" s="322"/>
      <c r="B28" s="2" t="s">
        <v>1092</v>
      </c>
      <c r="C28" s="2"/>
      <c r="D28" s="2"/>
      <c r="E28" s="2"/>
      <c r="F28" s="2"/>
      <c r="G28" s="2"/>
      <c r="H28" s="2"/>
      <c r="I28" s="286"/>
      <c r="J28" s="286"/>
      <c r="K28" s="286"/>
      <c r="L28" s="286"/>
      <c r="M28" s="286"/>
      <c r="N28" s="286"/>
    </row>
    <row r="29" spans="1:14" s="212" customFormat="1">
      <c r="A29" s="322"/>
      <c r="B29" s="2" t="s">
        <v>1086</v>
      </c>
      <c r="C29" s="2"/>
      <c r="D29" s="2"/>
      <c r="E29" s="2"/>
      <c r="F29" s="2"/>
      <c r="G29" s="2"/>
      <c r="H29" s="2"/>
      <c r="I29" s="286"/>
      <c r="J29" s="286"/>
      <c r="K29" s="286"/>
      <c r="L29" s="286"/>
      <c r="M29" s="286"/>
      <c r="N29" s="286"/>
    </row>
    <row r="30" spans="1:14" s="212" customFormat="1">
      <c r="A30" s="322"/>
      <c r="B30" s="2"/>
      <c r="C30" s="2"/>
      <c r="D30" s="2"/>
      <c r="E30" s="2"/>
      <c r="F30" s="2"/>
      <c r="G30" s="2"/>
      <c r="H30" s="2"/>
      <c r="I30" s="286"/>
      <c r="J30" s="286"/>
      <c r="K30" s="286"/>
      <c r="L30" s="286"/>
      <c r="M30" s="286"/>
      <c r="N30" s="286"/>
    </row>
    <row r="31" spans="1:14" s="212" customFormat="1" ht="57.75" customHeight="1">
      <c r="A31" s="326"/>
      <c r="B31" s="735" t="s">
        <v>1082</v>
      </c>
      <c r="C31" s="735"/>
      <c r="D31" s="735"/>
      <c r="E31" s="735"/>
      <c r="F31" s="735"/>
      <c r="G31" s="735"/>
      <c r="H31" s="735"/>
      <c r="I31" s="735"/>
      <c r="J31" s="735"/>
      <c r="K31" s="326"/>
      <c r="L31" s="326"/>
      <c r="M31" s="326"/>
      <c r="N31" s="326"/>
    </row>
    <row r="32" spans="1:14">
      <c r="A32" s="594"/>
      <c r="E32" s="211"/>
      <c r="F32" s="211"/>
      <c r="G32" s="211"/>
      <c r="I32" s="167"/>
      <c r="J32" s="167"/>
      <c r="K32" s="327"/>
      <c r="L32" s="327"/>
      <c r="M32" s="212"/>
      <c r="N32" s="212"/>
    </row>
    <row r="33" spans="1:12">
      <c r="A33" s="328"/>
      <c r="B33" s="595"/>
      <c r="C33" s="595"/>
      <c r="D33" s="595"/>
      <c r="E33" s="595"/>
      <c r="F33" s="595"/>
      <c r="G33" s="595"/>
      <c r="H33" s="595"/>
      <c r="I33" s="595"/>
      <c r="J33" s="595"/>
      <c r="L33" s="212"/>
    </row>
    <row r="34" spans="1:12">
      <c r="A34" s="328" t="s">
        <v>642</v>
      </c>
      <c r="K34" s="212"/>
      <c r="L34" s="212"/>
    </row>
    <row r="35" spans="1:12">
      <c r="K35" s="212"/>
      <c r="L35" s="212"/>
    </row>
    <row r="36" spans="1:12">
      <c r="B36" s="595" t="s">
        <v>336</v>
      </c>
      <c r="C36" s="595" t="s">
        <v>337</v>
      </c>
      <c r="D36" s="595" t="s">
        <v>338</v>
      </c>
      <c r="E36" s="595" t="s">
        <v>339</v>
      </c>
      <c r="K36" s="212"/>
      <c r="L36" s="212"/>
    </row>
    <row r="37" spans="1:12" ht="25.5">
      <c r="A37" s="329">
        <v>4</v>
      </c>
      <c r="B37" s="330" t="s">
        <v>643</v>
      </c>
      <c r="C37" s="598" t="s">
        <v>644</v>
      </c>
      <c r="D37" s="598" t="s">
        <v>615</v>
      </c>
      <c r="E37" s="331" t="s">
        <v>645</v>
      </c>
      <c r="K37" s="212"/>
      <c r="L37" s="212"/>
    </row>
    <row r="38" spans="1:12">
      <c r="A38" s="329">
        <v>5</v>
      </c>
      <c r="C38" s="330" t="s">
        <v>646</v>
      </c>
      <c r="D38" s="243">
        <v>0</v>
      </c>
      <c r="E38" s="243">
        <v>0</v>
      </c>
      <c r="F38" s="21"/>
      <c r="G38" s="21"/>
      <c r="H38" s="21"/>
      <c r="K38" s="212"/>
      <c r="L38" s="212"/>
    </row>
    <row r="39" spans="1:12">
      <c r="A39" s="329">
        <v>6</v>
      </c>
      <c r="C39" s="330" t="s">
        <v>647</v>
      </c>
      <c r="D39" s="243">
        <v>0</v>
      </c>
      <c r="E39" s="243">
        <v>0</v>
      </c>
      <c r="F39" s="21"/>
      <c r="G39" s="21"/>
      <c r="H39" s="21"/>
      <c r="K39" s="212"/>
      <c r="L39" s="212"/>
    </row>
    <row r="40" spans="1:12">
      <c r="A40" s="329">
        <v>7</v>
      </c>
      <c r="C40" s="330" t="s">
        <v>648</v>
      </c>
      <c r="D40" s="243">
        <v>0</v>
      </c>
      <c r="E40" s="243">
        <v>0</v>
      </c>
      <c r="F40" s="21"/>
      <c r="G40" s="21"/>
      <c r="H40" s="21"/>
      <c r="K40" s="212"/>
      <c r="L40" s="212"/>
    </row>
    <row r="41" spans="1:12">
      <c r="A41" s="329">
        <v>8</v>
      </c>
      <c r="C41" s="330" t="s">
        <v>649</v>
      </c>
      <c r="D41" s="243">
        <v>0</v>
      </c>
      <c r="E41" s="243">
        <v>0</v>
      </c>
      <c r="F41" s="21"/>
      <c r="G41" s="21"/>
      <c r="H41" s="21"/>
      <c r="K41" s="212"/>
      <c r="L41" s="212"/>
    </row>
    <row r="42" spans="1:12">
      <c r="A42" s="329">
        <v>9</v>
      </c>
      <c r="C42" s="330" t="s">
        <v>650</v>
      </c>
      <c r="D42" s="243">
        <v>0</v>
      </c>
      <c r="E42" s="243">
        <v>0</v>
      </c>
      <c r="F42" s="21"/>
      <c r="G42" s="21"/>
      <c r="H42" s="21"/>
      <c r="K42" s="212"/>
      <c r="L42" s="212"/>
    </row>
    <row r="43" spans="1:12">
      <c r="A43" s="329">
        <v>10</v>
      </c>
      <c r="C43" s="330" t="s">
        <v>647</v>
      </c>
      <c r="D43" s="243">
        <v>0</v>
      </c>
      <c r="E43" s="243">
        <v>0</v>
      </c>
      <c r="F43" s="21"/>
      <c r="G43" s="21"/>
      <c r="H43" s="21"/>
      <c r="K43" s="212"/>
      <c r="L43" s="212"/>
    </row>
    <row r="44" spans="1:12">
      <c r="A44" s="329">
        <v>11</v>
      </c>
      <c r="C44" s="330" t="s">
        <v>648</v>
      </c>
      <c r="D44" s="243">
        <f>+D43</f>
        <v>0</v>
      </c>
      <c r="E44" s="243">
        <v>0</v>
      </c>
      <c r="F44" s="21"/>
      <c r="G44" s="21"/>
      <c r="H44" s="21"/>
      <c r="K44" s="212"/>
      <c r="L44" s="212"/>
    </row>
    <row r="45" spans="1:12">
      <c r="A45" s="329">
        <v>12</v>
      </c>
      <c r="C45" s="162" t="s">
        <v>651</v>
      </c>
      <c r="D45" s="21"/>
      <c r="E45" s="332">
        <f>SUM(E38:E44)</f>
        <v>0</v>
      </c>
      <c r="F45" s="21"/>
      <c r="G45" s="21"/>
      <c r="H45" s="21"/>
      <c r="K45" s="212"/>
      <c r="L45" s="212"/>
    </row>
    <row r="46" spans="1:12">
      <c r="A46" s="329"/>
      <c r="C46" s="330"/>
      <c r="D46" s="21"/>
      <c r="E46" s="21"/>
      <c r="F46" s="21"/>
      <c r="G46" s="21"/>
      <c r="H46" s="21"/>
      <c r="K46" s="212"/>
      <c r="L46" s="212"/>
    </row>
    <row r="47" spans="1:12">
      <c r="A47" s="329">
        <v>13</v>
      </c>
      <c r="B47" s="263" t="s">
        <v>652</v>
      </c>
      <c r="C47" s="162" t="s">
        <v>653</v>
      </c>
      <c r="D47" s="21"/>
      <c r="E47" s="21">
        <f>E45/7</f>
        <v>0</v>
      </c>
      <c r="F47" s="21"/>
      <c r="G47" s="21"/>
      <c r="H47" s="21"/>
      <c r="K47" s="212"/>
      <c r="L47" s="212"/>
    </row>
    <row r="48" spans="1:12">
      <c r="A48" s="111"/>
      <c r="D48" s="21"/>
      <c r="E48" s="21"/>
      <c r="F48" s="21"/>
      <c r="G48" s="21"/>
      <c r="H48" s="21"/>
      <c r="K48" s="212"/>
      <c r="L48" s="212"/>
    </row>
    <row r="49" spans="1:12">
      <c r="A49" s="333"/>
      <c r="C49" s="2"/>
      <c r="D49" s="334"/>
      <c r="E49" s="334"/>
      <c r="F49" s="334"/>
      <c r="G49" s="334"/>
      <c r="H49" s="334"/>
      <c r="I49" s="334"/>
      <c r="K49" s="212"/>
      <c r="L49" s="212"/>
    </row>
  </sheetData>
  <mergeCells count="1">
    <mergeCell ref="B31:J31"/>
  </mergeCells>
  <pageMargins left="0.25" right="0.25" top="0.75" bottom="0.75" header="0.3" footer="0.3"/>
  <pageSetup scale="44"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3527-0B11-4909-B9A0-46688BFA0C18}">
  <dimension ref="A1:V317"/>
  <sheetViews>
    <sheetView workbookViewId="0"/>
  </sheetViews>
  <sheetFormatPr defaultColWidth="8.88671875" defaultRowHeight="12.75"/>
  <cols>
    <col min="1" max="1" width="5.77734375" style="2" customWidth="1"/>
    <col min="2" max="2" width="54.21875" style="2" customWidth="1"/>
    <col min="3" max="3" width="47.44140625" style="2" bestFit="1" customWidth="1"/>
    <col min="4" max="4" width="16.33203125" style="2" customWidth="1"/>
    <col min="5" max="5" width="5.77734375" style="2" customWidth="1"/>
    <col min="6" max="6" width="8.21875" style="2" customWidth="1"/>
    <col min="7" max="7" width="10" style="2" customWidth="1"/>
    <col min="8" max="8" width="4.88671875" style="2" customWidth="1"/>
    <col min="9" max="9" width="16.33203125" style="2" customWidth="1"/>
    <col min="10" max="10" width="2.6640625" style="2" customWidth="1"/>
    <col min="11" max="11" width="11.44140625" style="2" customWidth="1"/>
    <col min="12" max="12" width="14.44140625" style="2" bestFit="1" customWidth="1"/>
    <col min="13" max="13" width="14.6640625" style="2" bestFit="1" customWidth="1"/>
    <col min="14" max="14" width="10.44140625" style="2" bestFit="1" customWidth="1"/>
    <col min="15" max="16384" width="8.88671875" style="2"/>
  </cols>
  <sheetData>
    <row r="1" spans="1:11">
      <c r="A1" s="1"/>
      <c r="B1" s="1"/>
      <c r="C1" s="1"/>
      <c r="E1" s="1"/>
      <c r="F1" s="1"/>
      <c r="G1" s="1"/>
      <c r="H1" s="1"/>
      <c r="I1" s="1"/>
      <c r="J1" s="1"/>
      <c r="K1" s="3" t="s">
        <v>0</v>
      </c>
    </row>
    <row r="2" spans="1:11">
      <c r="A2" s="1"/>
      <c r="B2" s="1"/>
      <c r="C2" s="1"/>
      <c r="D2" s="1"/>
      <c r="E2" s="1"/>
      <c r="F2" s="1"/>
      <c r="G2" s="1"/>
      <c r="H2" s="1"/>
      <c r="I2" s="1"/>
      <c r="J2" s="1"/>
      <c r="K2" s="3" t="s">
        <v>1</v>
      </c>
    </row>
    <row r="3" spans="1:11">
      <c r="A3" s="4"/>
      <c r="B3" s="5" t="s">
        <v>2</v>
      </c>
      <c r="C3" s="5"/>
      <c r="D3" s="6" t="s">
        <v>3</v>
      </c>
      <c r="E3" s="5"/>
      <c r="F3" s="5"/>
      <c r="G3" s="5"/>
      <c r="H3" s="5"/>
      <c r="I3" s="7"/>
      <c r="J3" s="8"/>
      <c r="K3" s="9" t="s">
        <v>1179</v>
      </c>
    </row>
    <row r="4" spans="1:11">
      <c r="A4" s="4"/>
      <c r="C4" s="10"/>
      <c r="D4" s="11" t="s">
        <v>4</v>
      </c>
      <c r="E4" s="10"/>
      <c r="F4" s="10"/>
      <c r="G4" s="10"/>
      <c r="H4" s="5"/>
      <c r="I4" s="5"/>
      <c r="J4" s="12"/>
      <c r="K4" s="12"/>
    </row>
    <row r="5" spans="1:11" ht="13.5">
      <c r="A5" s="4"/>
      <c r="B5" s="13"/>
      <c r="C5" s="12"/>
      <c r="D5" s="14" t="s">
        <v>5</v>
      </c>
      <c r="E5" s="12"/>
      <c r="F5" s="12"/>
      <c r="G5" s="12"/>
      <c r="H5" s="12"/>
      <c r="I5" s="12"/>
      <c r="J5" s="12"/>
      <c r="K5" s="12"/>
    </row>
    <row r="6" spans="1:11" ht="13.5">
      <c r="B6" s="13"/>
      <c r="J6" s="15"/>
      <c r="K6" s="15"/>
    </row>
    <row r="7" spans="1:11">
      <c r="A7" s="6"/>
      <c r="C7" s="12"/>
      <c r="D7" s="16"/>
      <c r="E7" s="12"/>
      <c r="F7" s="12"/>
      <c r="G7" s="12"/>
      <c r="H7" s="12"/>
      <c r="I7" s="12"/>
      <c r="J7" s="12"/>
      <c r="K7" s="12"/>
    </row>
    <row r="8" spans="1:11">
      <c r="A8" s="6"/>
      <c r="B8" s="17" t="s">
        <v>6</v>
      </c>
      <c r="C8" s="17" t="s">
        <v>7</v>
      </c>
      <c r="D8" s="17" t="s">
        <v>8</v>
      </c>
      <c r="E8" s="10" t="s">
        <v>9</v>
      </c>
      <c r="F8" s="10"/>
      <c r="G8" s="16" t="s">
        <v>10</v>
      </c>
      <c r="H8" s="10"/>
      <c r="I8" s="16" t="s">
        <v>11</v>
      </c>
      <c r="J8" s="12"/>
      <c r="K8" s="12"/>
    </row>
    <row r="9" spans="1:11">
      <c r="A9" s="6" t="s">
        <v>12</v>
      </c>
      <c r="B9" s="12"/>
      <c r="C9" s="12"/>
      <c r="D9" s="15"/>
      <c r="E9" s="12"/>
      <c r="F9" s="12"/>
      <c r="G9" s="12"/>
      <c r="H9" s="12"/>
      <c r="I9" s="6" t="s">
        <v>13</v>
      </c>
      <c r="J9" s="12"/>
      <c r="K9" s="12"/>
    </row>
    <row r="10" spans="1:11" ht="13.5" thickBot="1">
      <c r="A10" s="18" t="s">
        <v>14</v>
      </c>
      <c r="B10" s="12"/>
      <c r="C10" s="18" t="s">
        <v>15</v>
      </c>
      <c r="D10" s="12"/>
      <c r="E10" s="12"/>
      <c r="F10" s="12"/>
      <c r="G10" s="12"/>
      <c r="H10" s="12"/>
      <c r="I10" s="18" t="s">
        <v>16</v>
      </c>
      <c r="J10" s="12"/>
      <c r="K10" s="12"/>
    </row>
    <row r="11" spans="1:11">
      <c r="A11" s="6">
        <v>1</v>
      </c>
      <c r="B11" s="12" t="s">
        <v>17</v>
      </c>
      <c r="C11" s="12" t="s">
        <v>18</v>
      </c>
      <c r="D11" s="10"/>
      <c r="E11" s="12"/>
      <c r="F11" s="12"/>
      <c r="G11" s="12"/>
      <c r="H11" s="12"/>
      <c r="I11" s="19">
        <f>+I189</f>
        <v>6736655.8696627254</v>
      </c>
      <c r="J11" s="12"/>
      <c r="K11" s="12"/>
    </row>
    <row r="12" spans="1:11">
      <c r="A12" s="6"/>
      <c r="B12" s="12"/>
      <c r="C12" s="12"/>
      <c r="D12" s="12"/>
      <c r="E12" s="12"/>
      <c r="F12" s="12"/>
      <c r="G12" s="12"/>
      <c r="H12" s="12"/>
      <c r="I12" s="10"/>
      <c r="J12" s="12"/>
      <c r="K12" s="12"/>
    </row>
    <row r="13" spans="1:11" ht="13.5" thickBot="1">
      <c r="A13" s="6" t="s">
        <v>9</v>
      </c>
      <c r="B13" s="12" t="s">
        <v>19</v>
      </c>
      <c r="C13" s="571" t="s">
        <v>20</v>
      </c>
      <c r="D13" s="18" t="s">
        <v>21</v>
      </c>
      <c r="E13" s="10"/>
      <c r="F13" s="20" t="s">
        <v>22</v>
      </c>
      <c r="G13" s="20"/>
      <c r="H13" s="12"/>
      <c r="I13" s="10"/>
      <c r="J13" s="12"/>
      <c r="K13" s="12"/>
    </row>
    <row r="14" spans="1:11">
      <c r="A14" s="6">
        <f>+A11+1</f>
        <v>2</v>
      </c>
      <c r="B14" s="12" t="s">
        <v>23</v>
      </c>
      <c r="C14" s="571" t="str">
        <f>"(Page 4, Line "&amp;A240&amp;")"</f>
        <v>(Page 4, Line 34)</v>
      </c>
      <c r="D14" s="21">
        <f>I240</f>
        <v>0</v>
      </c>
      <c r="E14" s="10"/>
      <c r="F14" s="571" t="s">
        <v>39</v>
      </c>
      <c r="G14" s="580">
        <v>1</v>
      </c>
      <c r="H14" s="22"/>
      <c r="I14" s="21">
        <f>+G14*D14</f>
        <v>0</v>
      </c>
      <c r="J14" s="12"/>
      <c r="K14" s="12"/>
    </row>
    <row r="15" spans="1:11">
      <c r="A15" s="6" t="s">
        <v>635</v>
      </c>
      <c r="B15" s="12" t="s">
        <v>1015</v>
      </c>
      <c r="C15" s="571" t="str">
        <f>"(Page 4, Line "&amp;A242&amp;")"</f>
        <v>(Page 4, Line 34a)</v>
      </c>
      <c r="D15" s="21">
        <f>I242</f>
        <v>0</v>
      </c>
      <c r="E15" s="10"/>
      <c r="F15" s="571" t="s">
        <v>39</v>
      </c>
      <c r="G15" s="580">
        <v>1</v>
      </c>
      <c r="H15" s="22"/>
      <c r="I15" s="21">
        <f>+G15*D15</f>
        <v>0</v>
      </c>
      <c r="J15" s="12"/>
      <c r="K15" s="12"/>
    </row>
    <row r="16" spans="1:11">
      <c r="A16" s="6">
        <f>+A14+1</f>
        <v>3</v>
      </c>
      <c r="B16" s="12" t="s">
        <v>25</v>
      </c>
      <c r="C16" s="571" t="str">
        <f>"(Page 4, Line "&amp;A249&amp;")"</f>
        <v>(Page 4, Line 37)</v>
      </c>
      <c r="D16" s="21">
        <f>I249</f>
        <v>0</v>
      </c>
      <c r="E16" s="10"/>
      <c r="F16" s="571" t="s">
        <v>39</v>
      </c>
      <c r="G16" s="580">
        <v>1</v>
      </c>
      <c r="H16" s="22"/>
      <c r="I16" s="21">
        <f>+G16*D16</f>
        <v>0</v>
      </c>
      <c r="J16" s="12"/>
      <c r="K16" s="12"/>
    </row>
    <row r="17" spans="1:13">
      <c r="A17" s="6">
        <f>+A16+1</f>
        <v>4</v>
      </c>
      <c r="B17" s="10" t="s">
        <v>26</v>
      </c>
      <c r="C17" s="572" t="s">
        <v>27</v>
      </c>
      <c r="D17" s="21">
        <v>0</v>
      </c>
      <c r="E17" s="10"/>
      <c r="F17" s="571" t="s">
        <v>39</v>
      </c>
      <c r="G17" s="580">
        <v>1</v>
      </c>
      <c r="H17" s="22"/>
      <c r="I17" s="21">
        <f>+G17*D17</f>
        <v>0</v>
      </c>
      <c r="J17" s="12"/>
      <c r="K17" s="12"/>
    </row>
    <row r="18" spans="1:13" ht="13.5" thickBot="1">
      <c r="A18" s="6">
        <f>+A17+1</f>
        <v>5</v>
      </c>
      <c r="B18" s="10" t="s">
        <v>28</v>
      </c>
      <c r="C18" s="23" t="s">
        <v>29</v>
      </c>
      <c r="D18" s="21">
        <v>0</v>
      </c>
      <c r="E18" s="10"/>
      <c r="F18" s="571" t="s">
        <v>39</v>
      </c>
      <c r="G18" s="580">
        <v>1</v>
      </c>
      <c r="H18" s="22"/>
      <c r="I18" s="24">
        <f>+G18*D18</f>
        <v>0</v>
      </c>
      <c r="J18" s="12"/>
      <c r="K18" s="12"/>
    </row>
    <row r="19" spans="1:13">
      <c r="A19" s="6">
        <f>+A18+1</f>
        <v>6</v>
      </c>
      <c r="B19" s="12" t="s">
        <v>30</v>
      </c>
      <c r="C19" s="12" t="s">
        <v>31</v>
      </c>
      <c r="D19" s="25" t="s">
        <v>9</v>
      </c>
      <c r="E19" s="10"/>
      <c r="F19" s="10"/>
      <c r="G19" s="26"/>
      <c r="H19" s="22"/>
      <c r="I19" s="21">
        <f>SUM(I14:I18)</f>
        <v>0</v>
      </c>
      <c r="J19" s="12"/>
      <c r="K19" s="12"/>
    </row>
    <row r="20" spans="1:13">
      <c r="A20" s="6"/>
      <c r="B20" s="4"/>
      <c r="C20" s="12"/>
      <c r="D20" s="10" t="s">
        <v>9</v>
      </c>
      <c r="E20" s="12"/>
      <c r="F20" s="12"/>
      <c r="G20" s="27"/>
      <c r="H20" s="12"/>
      <c r="I20" s="4"/>
      <c r="J20" s="12"/>
      <c r="K20" s="12"/>
    </row>
    <row r="21" spans="1:13">
      <c r="A21" s="6" t="s">
        <v>32</v>
      </c>
      <c r="B21" s="4" t="s">
        <v>33</v>
      </c>
      <c r="C21" s="12"/>
      <c r="D21" s="10"/>
      <c r="E21" s="12"/>
      <c r="F21" s="12"/>
      <c r="G21" s="27"/>
      <c r="H21" s="12"/>
      <c r="I21" s="43">
        <v>0</v>
      </c>
      <c r="J21" s="12"/>
      <c r="K21" s="12"/>
    </row>
    <row r="22" spans="1:13">
      <c r="A22" s="6"/>
      <c r="B22" s="4"/>
      <c r="C22" s="12"/>
      <c r="D22" s="10"/>
      <c r="E22" s="12"/>
      <c r="F22" s="12"/>
      <c r="G22" s="27"/>
      <c r="H22" s="12"/>
      <c r="I22" s="4"/>
      <c r="J22" s="12"/>
      <c r="K22" s="12"/>
    </row>
    <row r="23" spans="1:13" ht="13.5" thickBot="1">
      <c r="A23" s="6" t="s">
        <v>34</v>
      </c>
      <c r="B23" s="12" t="s">
        <v>35</v>
      </c>
      <c r="C23" s="12" t="s">
        <v>36</v>
      </c>
      <c r="D23" s="28" t="s">
        <v>9</v>
      </c>
      <c r="E23" s="10"/>
      <c r="F23" s="10"/>
      <c r="G23" s="10"/>
      <c r="H23" s="10"/>
      <c r="I23" s="29">
        <f>I11-I19-I21</f>
        <v>6736655.8696627254</v>
      </c>
      <c r="J23" s="12"/>
      <c r="K23" s="12"/>
      <c r="M23" s="30"/>
    </row>
    <row r="24" spans="1:13" ht="13.5" thickTop="1">
      <c r="A24" s="6"/>
      <c r="B24" s="4"/>
      <c r="C24" s="12"/>
      <c r="D24" s="28"/>
      <c r="E24" s="10"/>
      <c r="F24" s="10"/>
      <c r="G24" s="10"/>
      <c r="H24" s="10"/>
      <c r="I24" s="4"/>
      <c r="J24" s="12"/>
      <c r="K24" s="12"/>
      <c r="M24" s="31"/>
    </row>
    <row r="25" spans="1:13">
      <c r="A25" s="32" t="s">
        <v>37</v>
      </c>
      <c r="B25" s="33" t="s">
        <v>38</v>
      </c>
      <c r="C25" s="34" t="s">
        <v>1087</v>
      </c>
      <c r="D25" s="21">
        <f>+'3-Project True-up'!H23</f>
        <v>0</v>
      </c>
      <c r="E25" s="33"/>
      <c r="F25" s="33" t="s">
        <v>39</v>
      </c>
      <c r="G25" s="21">
        <v>1</v>
      </c>
      <c r="H25" s="33"/>
      <c r="I25" s="35">
        <f>+G25*D25</f>
        <v>0</v>
      </c>
      <c r="K25" s="12"/>
    </row>
    <row r="26" spans="1:13">
      <c r="A26" s="32"/>
      <c r="B26" s="33"/>
      <c r="C26" s="33"/>
      <c r="D26" s="33"/>
      <c r="E26" s="33"/>
      <c r="F26" s="33"/>
      <c r="G26" s="33"/>
      <c r="H26" s="33"/>
      <c r="I26" s="36"/>
      <c r="K26" s="12"/>
    </row>
    <row r="27" spans="1:13" ht="13.5" thickBot="1">
      <c r="A27" s="32">
        <v>7</v>
      </c>
      <c r="B27" s="33" t="s">
        <v>35</v>
      </c>
      <c r="C27" s="33" t="s">
        <v>40</v>
      </c>
      <c r="D27" s="33"/>
      <c r="E27" s="36"/>
      <c r="F27" s="36"/>
      <c r="G27" s="36"/>
      <c r="H27" s="36"/>
      <c r="I27" s="37">
        <f>+I23+I25</f>
        <v>6736655.8696627254</v>
      </c>
      <c r="K27" s="12"/>
    </row>
    <row r="28" spans="1:13" ht="13.5" thickTop="1">
      <c r="A28" s="6"/>
      <c r="B28" s="10"/>
      <c r="C28" s="12"/>
      <c r="D28" s="12"/>
      <c r="E28" s="12"/>
      <c r="F28" s="4"/>
      <c r="G28" s="5"/>
      <c r="H28" s="12"/>
      <c r="I28" s="10"/>
      <c r="J28" s="12"/>
      <c r="K28" s="12"/>
    </row>
    <row r="29" spans="1:13">
      <c r="A29" s="6"/>
      <c r="B29" s="12"/>
      <c r="C29" s="12"/>
      <c r="D29" s="12"/>
      <c r="E29" s="12"/>
      <c r="F29" s="4"/>
      <c r="G29" s="5"/>
      <c r="H29" s="12"/>
      <c r="I29" s="10"/>
      <c r="J29" s="12"/>
      <c r="K29" s="12"/>
    </row>
    <row r="30" spans="1:13" ht="15.75">
      <c r="A30" s="38"/>
      <c r="B30" s="39" t="s">
        <v>41</v>
      </c>
      <c r="C30" s="39"/>
      <c r="D30" s="40"/>
      <c r="E30" s="39"/>
      <c r="F30" s="39"/>
      <c r="G30" s="39"/>
      <c r="H30" s="39"/>
      <c r="I30" s="21"/>
      <c r="J30" s="39"/>
      <c r="L30" s="41"/>
    </row>
    <row r="31" spans="1:13" ht="15.75">
      <c r="A31" s="38">
        <v>8</v>
      </c>
      <c r="B31" s="39" t="s">
        <v>42</v>
      </c>
      <c r="D31" s="40"/>
      <c r="E31" s="39"/>
      <c r="F31" s="39"/>
      <c r="G31" s="42" t="s">
        <v>43</v>
      </c>
      <c r="H31" s="39"/>
      <c r="I31" s="43">
        <v>0</v>
      </c>
      <c r="J31" s="39"/>
      <c r="L31" s="41"/>
    </row>
    <row r="32" spans="1:13" ht="15.75">
      <c r="A32" s="38">
        <v>9</v>
      </c>
      <c r="B32" s="39" t="s">
        <v>44</v>
      </c>
      <c r="C32" s="40"/>
      <c r="D32" s="40"/>
      <c r="E32" s="40"/>
      <c r="F32" s="40"/>
      <c r="G32" s="40" t="s">
        <v>45</v>
      </c>
      <c r="H32" s="40"/>
      <c r="I32" s="43">
        <v>0</v>
      </c>
      <c r="J32" s="39"/>
      <c r="L32" s="41"/>
    </row>
    <row r="33" spans="1:12" ht="15.75">
      <c r="A33" s="38">
        <v>10</v>
      </c>
      <c r="B33" s="40" t="s">
        <v>46</v>
      </c>
      <c r="C33" s="39"/>
      <c r="D33" s="39"/>
      <c r="E33" s="39"/>
      <c r="G33" s="42" t="s">
        <v>47</v>
      </c>
      <c r="H33" s="39"/>
      <c r="I33" s="43">
        <v>0</v>
      </c>
      <c r="J33" s="39"/>
      <c r="L33" s="41"/>
    </row>
    <row r="34" spans="1:12" ht="15.75">
      <c r="A34" s="38">
        <v>11</v>
      </c>
      <c r="B34" s="39" t="s">
        <v>48</v>
      </c>
      <c r="C34" s="39"/>
      <c r="D34" s="39"/>
      <c r="E34" s="39"/>
      <c r="G34" s="42" t="s">
        <v>49</v>
      </c>
      <c r="H34" s="39"/>
      <c r="I34" s="43">
        <v>0</v>
      </c>
      <c r="J34" s="39"/>
      <c r="L34" s="41"/>
    </row>
    <row r="35" spans="1:12" ht="15.75">
      <c r="A35" s="38">
        <v>12</v>
      </c>
      <c r="B35" s="40" t="s">
        <v>50</v>
      </c>
      <c r="C35" s="39"/>
      <c r="D35" s="39"/>
      <c r="E35" s="39"/>
      <c r="F35" s="39"/>
      <c r="G35" s="42"/>
      <c r="H35" s="39"/>
      <c r="I35" s="43">
        <v>0</v>
      </c>
      <c r="J35" s="39"/>
      <c r="L35" s="41"/>
    </row>
    <row r="36" spans="1:12" ht="15.75">
      <c r="A36" s="38">
        <v>13</v>
      </c>
      <c r="B36" s="40" t="s">
        <v>51</v>
      </c>
      <c r="C36" s="39"/>
      <c r="D36" s="39"/>
      <c r="E36" s="39"/>
      <c r="F36" s="39"/>
      <c r="G36" s="42" t="s">
        <v>27</v>
      </c>
      <c r="H36" s="39"/>
      <c r="I36" s="43">
        <v>0</v>
      </c>
      <c r="J36" s="39"/>
      <c r="L36" s="41"/>
    </row>
    <row r="37" spans="1:12" ht="16.5" thickBot="1">
      <c r="A37" s="38">
        <v>14</v>
      </c>
      <c r="B37" s="40" t="s">
        <v>52</v>
      </c>
      <c r="C37" s="39"/>
      <c r="D37" s="39"/>
      <c r="E37" s="39"/>
      <c r="F37" s="39"/>
      <c r="G37" s="42"/>
      <c r="H37" s="39"/>
      <c r="I37" s="44">
        <v>0</v>
      </c>
      <c r="J37" s="39"/>
      <c r="L37" s="41"/>
    </row>
    <row r="38" spans="1:12" ht="15.75">
      <c r="A38" s="38">
        <v>15</v>
      </c>
      <c r="B38" s="42" t="s">
        <v>53</v>
      </c>
      <c r="C38" s="39"/>
      <c r="D38" s="39"/>
      <c r="E38" s="39"/>
      <c r="F38" s="39"/>
      <c r="G38" s="39"/>
      <c r="H38" s="39"/>
      <c r="I38" s="21">
        <f>SUM(I31:I37)</f>
        <v>0</v>
      </c>
      <c r="J38" s="39"/>
      <c r="L38" s="41"/>
    </row>
    <row r="39" spans="1:12" ht="15.75">
      <c r="A39" s="38"/>
      <c r="B39" s="39"/>
      <c r="C39" s="39"/>
      <c r="D39" s="39"/>
      <c r="E39" s="39"/>
      <c r="F39" s="39"/>
      <c r="G39" s="39"/>
      <c r="H39" s="39"/>
      <c r="I39" s="21"/>
      <c r="J39" s="39"/>
      <c r="L39" s="41"/>
    </row>
    <row r="40" spans="1:12" ht="15.75">
      <c r="A40" s="38">
        <v>16</v>
      </c>
      <c r="B40" s="39" t="s">
        <v>54</v>
      </c>
      <c r="C40" s="39" t="s">
        <v>55</v>
      </c>
      <c r="D40" s="21">
        <f>IF(I38&gt;0,I27/I38,0)</f>
        <v>0</v>
      </c>
      <c r="E40" s="21"/>
      <c r="F40" s="21"/>
      <c r="G40" s="21"/>
      <c r="H40" s="21"/>
      <c r="I40" s="21"/>
      <c r="J40" s="39"/>
      <c r="L40" s="41"/>
    </row>
    <row r="41" spans="1:12" ht="15.75">
      <c r="A41" s="38">
        <v>17</v>
      </c>
      <c r="B41" s="39" t="s">
        <v>56</v>
      </c>
      <c r="C41" s="39" t="s">
        <v>57</v>
      </c>
      <c r="D41" s="21">
        <f>+D40/12</f>
        <v>0</v>
      </c>
      <c r="E41" s="21"/>
      <c r="F41" s="21"/>
      <c r="G41" s="21"/>
      <c r="H41" s="21"/>
      <c r="I41" s="21"/>
      <c r="J41" s="39"/>
      <c r="L41" s="41"/>
    </row>
    <row r="42" spans="1:12" ht="15.75">
      <c r="A42" s="38"/>
      <c r="B42" s="39"/>
      <c r="C42" s="39"/>
      <c r="D42" s="21"/>
      <c r="E42" s="21"/>
      <c r="F42" s="21"/>
      <c r="G42" s="21"/>
      <c r="H42" s="21"/>
      <c r="I42" s="21"/>
      <c r="J42" s="39"/>
      <c r="L42" s="41"/>
    </row>
    <row r="43" spans="1:12" ht="15.75">
      <c r="A43" s="38"/>
      <c r="B43" s="39"/>
      <c r="C43" s="39"/>
      <c r="D43" s="45" t="s">
        <v>58</v>
      </c>
      <c r="E43" s="21"/>
      <c r="F43" s="21"/>
      <c r="G43" s="21"/>
      <c r="H43" s="21"/>
      <c r="I43" s="45" t="s">
        <v>59</v>
      </c>
      <c r="J43" s="39"/>
      <c r="L43" s="41"/>
    </row>
    <row r="44" spans="1:12" ht="15.75">
      <c r="A44" s="38"/>
      <c r="B44" s="39"/>
      <c r="C44" s="39"/>
      <c r="D44" s="21"/>
      <c r="E44" s="21"/>
      <c r="F44" s="21"/>
      <c r="G44" s="21"/>
      <c r="H44" s="21"/>
      <c r="I44" s="21"/>
      <c r="J44" s="39"/>
      <c r="L44" s="41"/>
    </row>
    <row r="45" spans="1:12" ht="15.75">
      <c r="A45" s="38">
        <v>18</v>
      </c>
      <c r="B45" s="39" t="s">
        <v>60</v>
      </c>
      <c r="C45" s="46" t="s">
        <v>61</v>
      </c>
      <c r="D45" s="21">
        <f>+D40/52</f>
        <v>0</v>
      </c>
      <c r="E45" s="21"/>
      <c r="F45" s="21"/>
      <c r="G45" s="21"/>
      <c r="H45" s="21"/>
      <c r="I45" s="21">
        <f>+D40/52</f>
        <v>0</v>
      </c>
      <c r="J45" s="39"/>
      <c r="L45" s="41"/>
    </row>
    <row r="46" spans="1:12" ht="15.75">
      <c r="A46" s="38">
        <v>19</v>
      </c>
      <c r="B46" s="39" t="s">
        <v>62</v>
      </c>
      <c r="C46" s="46" t="s">
        <v>63</v>
      </c>
      <c r="D46" s="21">
        <f>+D40/260</f>
        <v>0</v>
      </c>
      <c r="E46" s="21" t="s">
        <v>64</v>
      </c>
      <c r="F46" s="21"/>
      <c r="G46" s="21"/>
      <c r="H46" s="21"/>
      <c r="I46" s="21">
        <f>+D40/365</f>
        <v>0</v>
      </c>
      <c r="J46" s="39"/>
      <c r="L46" s="41"/>
    </row>
    <row r="47" spans="1:12" ht="15.75">
      <c r="A47" s="38">
        <v>20</v>
      </c>
      <c r="B47" s="39" t="s">
        <v>65</v>
      </c>
      <c r="C47" s="46" t="s">
        <v>66</v>
      </c>
      <c r="D47" s="21">
        <f>+D40/4160*1000</f>
        <v>0</v>
      </c>
      <c r="E47" s="21" t="s">
        <v>67</v>
      </c>
      <c r="F47" s="21"/>
      <c r="G47" s="21"/>
      <c r="H47" s="21"/>
      <c r="I47" s="21">
        <f>+D40/8760*1000</f>
        <v>0</v>
      </c>
      <c r="J47" s="39"/>
      <c r="L47" s="41" t="s">
        <v>9</v>
      </c>
    </row>
    <row r="48" spans="1:12" ht="15.75">
      <c r="A48" s="38"/>
      <c r="B48" s="39"/>
      <c r="C48" s="39" t="s">
        <v>68</v>
      </c>
      <c r="D48" s="21"/>
      <c r="E48" s="21" t="s">
        <v>69</v>
      </c>
      <c r="F48" s="21"/>
      <c r="G48" s="21"/>
      <c r="H48" s="21"/>
      <c r="I48" s="21"/>
      <c r="J48" s="39"/>
      <c r="L48" s="41" t="s">
        <v>9</v>
      </c>
    </row>
    <row r="49" spans="1:12" ht="15.75">
      <c r="A49" s="38"/>
      <c r="B49" s="39"/>
      <c r="C49" s="39"/>
      <c r="D49" s="21"/>
      <c r="E49" s="21"/>
      <c r="F49" s="21"/>
      <c r="G49" s="21"/>
      <c r="H49" s="21"/>
      <c r="I49" s="21"/>
      <c r="J49" s="39"/>
      <c r="L49" s="41" t="s">
        <v>9</v>
      </c>
    </row>
    <row r="50" spans="1:12" ht="15.75">
      <c r="A50" s="38">
        <v>21</v>
      </c>
      <c r="B50" s="39" t="s">
        <v>70</v>
      </c>
      <c r="C50" s="39" t="s">
        <v>71</v>
      </c>
      <c r="D50" s="47">
        <v>0</v>
      </c>
      <c r="E50" s="48" t="s">
        <v>72</v>
      </c>
      <c r="F50" s="48"/>
      <c r="G50" s="48"/>
      <c r="H50" s="48"/>
      <c r="I50" s="48">
        <f>D50</f>
        <v>0</v>
      </c>
      <c r="J50" s="49" t="s">
        <v>72</v>
      </c>
      <c r="L50" s="41"/>
    </row>
    <row r="51" spans="1:12" ht="15.75">
      <c r="A51" s="38">
        <v>22</v>
      </c>
      <c r="B51" s="39"/>
      <c r="C51" s="39"/>
      <c r="D51" s="47">
        <v>0</v>
      </c>
      <c r="E51" s="48" t="s">
        <v>73</v>
      </c>
      <c r="F51" s="48"/>
      <c r="G51" s="48"/>
      <c r="H51" s="48"/>
      <c r="I51" s="48">
        <f>D51</f>
        <v>0</v>
      </c>
      <c r="J51" s="49" t="s">
        <v>73</v>
      </c>
      <c r="L51" s="41"/>
    </row>
    <row r="52" spans="1:12" ht="15.75">
      <c r="A52" s="38"/>
      <c r="C52" s="39"/>
      <c r="D52" s="39"/>
      <c r="E52" s="49"/>
      <c r="F52" s="49"/>
      <c r="G52" s="49"/>
      <c r="H52" s="49"/>
      <c r="I52" s="49"/>
      <c r="J52" s="49"/>
      <c r="K52" s="49"/>
      <c r="L52" s="41"/>
    </row>
    <row r="53" spans="1:12">
      <c r="A53" s="6"/>
      <c r="B53" s="12"/>
      <c r="C53" s="12"/>
      <c r="D53" s="50"/>
      <c r="E53" s="50"/>
      <c r="F53" s="50"/>
      <c r="G53" s="50"/>
      <c r="H53" s="50"/>
      <c r="I53" s="50"/>
      <c r="J53" s="50"/>
      <c r="K53" s="51" t="str">
        <f>+K1</f>
        <v>Attachment O-GLH</v>
      </c>
    </row>
    <row r="54" spans="1:12">
      <c r="A54" s="4"/>
      <c r="B54" s="12"/>
      <c r="C54" s="12"/>
      <c r="D54" s="12"/>
      <c r="E54" s="12"/>
      <c r="F54" s="12"/>
      <c r="G54" s="12"/>
      <c r="H54" s="12"/>
      <c r="I54" s="52"/>
      <c r="J54" s="12"/>
      <c r="K54" s="51" t="s">
        <v>74</v>
      </c>
    </row>
    <row r="55" spans="1:12">
      <c r="A55" s="4"/>
      <c r="B55" s="12"/>
      <c r="C55" s="12"/>
      <c r="D55" s="12"/>
      <c r="E55" s="12"/>
      <c r="F55" s="12"/>
      <c r="G55" s="12"/>
      <c r="H55" s="12"/>
      <c r="I55" s="12"/>
      <c r="J55" s="12"/>
      <c r="K55" s="12"/>
    </row>
    <row r="56" spans="1:12">
      <c r="A56" s="4"/>
      <c r="B56" s="12" t="s">
        <v>2</v>
      </c>
      <c r="C56" s="12"/>
      <c r="D56" s="17" t="s">
        <v>3</v>
      </c>
      <c r="E56" s="12"/>
      <c r="F56" s="12"/>
      <c r="G56" s="12"/>
      <c r="H56" s="12"/>
      <c r="I56" s="1"/>
      <c r="J56" s="12"/>
      <c r="K56" s="51" t="str">
        <f>K3</f>
        <v>For the 12 months ended 12/31/2020</v>
      </c>
    </row>
    <row r="57" spans="1:12">
      <c r="A57" s="4"/>
      <c r="B57" s="53"/>
      <c r="C57" s="10"/>
      <c r="D57" s="11" t="s">
        <v>4</v>
      </c>
      <c r="E57" s="10"/>
      <c r="F57" s="10"/>
      <c r="G57" s="10"/>
      <c r="H57" s="10"/>
      <c r="I57" s="10"/>
      <c r="J57" s="10"/>
      <c r="K57" s="10"/>
    </row>
    <row r="58" spans="1:12">
      <c r="A58" s="4"/>
      <c r="B58" s="12"/>
      <c r="C58" s="10"/>
      <c r="D58" s="11" t="str">
        <f>+D5</f>
        <v>GridLiance Heartland LLC</v>
      </c>
      <c r="E58" s="10"/>
      <c r="F58" s="10"/>
      <c r="G58" s="10" t="s">
        <v>9</v>
      </c>
      <c r="H58" s="10"/>
      <c r="I58" s="10"/>
      <c r="J58" s="10"/>
      <c r="K58" s="10"/>
    </row>
    <row r="59" spans="1:12">
      <c r="A59" s="729"/>
      <c r="B59" s="729"/>
      <c r="C59" s="729"/>
      <c r="D59" s="729"/>
      <c r="E59" s="729"/>
      <c r="F59" s="729"/>
      <c r="G59" s="729"/>
      <c r="H59" s="729"/>
      <c r="I59" s="729"/>
      <c r="J59" s="729"/>
      <c r="K59" s="729"/>
    </row>
    <row r="60" spans="1:12">
      <c r="A60" s="4"/>
      <c r="B60" s="17" t="s">
        <v>6</v>
      </c>
      <c r="C60" s="17" t="s">
        <v>7</v>
      </c>
      <c r="D60" s="17" t="s">
        <v>8</v>
      </c>
      <c r="E60" s="10" t="s">
        <v>9</v>
      </c>
      <c r="F60" s="10"/>
      <c r="G60" s="16" t="s">
        <v>10</v>
      </c>
      <c r="H60" s="10"/>
      <c r="I60" s="16" t="s">
        <v>11</v>
      </c>
      <c r="J60" s="10"/>
      <c r="K60" s="17"/>
    </row>
    <row r="61" spans="1:12">
      <c r="A61" s="4"/>
      <c r="B61" s="12"/>
      <c r="C61" s="54"/>
      <c r="D61" s="10"/>
      <c r="E61" s="10"/>
      <c r="F61" s="10"/>
      <c r="G61" s="6"/>
      <c r="H61" s="10"/>
      <c r="I61" s="55" t="s">
        <v>75</v>
      </c>
      <c r="J61" s="10"/>
      <c r="K61" s="17"/>
    </row>
    <row r="62" spans="1:12">
      <c r="A62" s="6" t="s">
        <v>12</v>
      </c>
      <c r="B62" s="12"/>
      <c r="C62" s="56" t="s">
        <v>15</v>
      </c>
      <c r="D62" s="55" t="s">
        <v>76</v>
      </c>
      <c r="E62" s="57"/>
      <c r="F62" s="55" t="s">
        <v>77</v>
      </c>
      <c r="G62" s="4"/>
      <c r="H62" s="57"/>
      <c r="I62" s="6" t="s">
        <v>78</v>
      </c>
      <c r="J62" s="10"/>
      <c r="K62" s="17"/>
    </row>
    <row r="63" spans="1:12" ht="13.5" thickBot="1">
      <c r="A63" s="18" t="s">
        <v>14</v>
      </c>
      <c r="B63" s="58" t="s">
        <v>79</v>
      </c>
      <c r="C63" s="10"/>
      <c r="D63" s="10"/>
      <c r="E63" s="10"/>
      <c r="F63" s="10"/>
      <c r="G63" s="10"/>
      <c r="H63" s="10"/>
      <c r="I63" s="10"/>
      <c r="J63" s="10"/>
      <c r="K63" s="10"/>
    </row>
    <row r="64" spans="1:12">
      <c r="A64" s="6"/>
      <c r="B64" s="12" t="s">
        <v>80</v>
      </c>
      <c r="C64" s="10"/>
      <c r="D64" s="10"/>
      <c r="E64" s="10"/>
      <c r="F64" s="10"/>
      <c r="G64" s="10"/>
      <c r="H64" s="10"/>
      <c r="I64" s="10"/>
      <c r="J64" s="10"/>
      <c r="K64" s="10"/>
    </row>
    <row r="65" spans="1:11">
      <c r="A65" s="6">
        <v>1</v>
      </c>
      <c r="B65" s="12" t="s">
        <v>81</v>
      </c>
      <c r="C65" s="22" t="s">
        <v>82</v>
      </c>
      <c r="D65" s="35">
        <f>'4- Rate Base'!C23</f>
        <v>0</v>
      </c>
      <c r="E65" s="10"/>
      <c r="F65" s="10" t="s">
        <v>83</v>
      </c>
      <c r="G65" s="59">
        <v>0</v>
      </c>
      <c r="H65" s="10"/>
      <c r="I65" s="35">
        <f>+G65*D65</f>
        <v>0</v>
      </c>
      <c r="J65" s="10"/>
      <c r="K65" s="10"/>
    </row>
    <row r="66" spans="1:11">
      <c r="A66" s="6">
        <f>+A65+1</f>
        <v>2</v>
      </c>
      <c r="B66" s="12" t="s">
        <v>84</v>
      </c>
      <c r="C66" s="22" t="s">
        <v>85</v>
      </c>
      <c r="D66" s="35">
        <f>'4- Rate Base'!D23</f>
        <v>24588103.606495105</v>
      </c>
      <c r="E66" s="10"/>
      <c r="F66" s="10" t="s">
        <v>24</v>
      </c>
      <c r="G66" s="59">
        <f>I209</f>
        <v>0.76738237337416204</v>
      </c>
      <c r="H66" s="22"/>
      <c r="I66" s="35">
        <f>+G66*D66</f>
        <v>18868477.302322008</v>
      </c>
      <c r="J66" s="10"/>
      <c r="K66" s="10"/>
    </row>
    <row r="67" spans="1:11">
      <c r="A67" s="6">
        <f>+A66+1</f>
        <v>3</v>
      </c>
      <c r="B67" s="12" t="s">
        <v>86</v>
      </c>
      <c r="C67" s="22" t="s">
        <v>87</v>
      </c>
      <c r="D67" s="35">
        <f>'4- Rate Base'!E23</f>
        <v>0</v>
      </c>
      <c r="E67" s="10"/>
      <c r="F67" s="10" t="s">
        <v>83</v>
      </c>
      <c r="G67" s="59">
        <v>0</v>
      </c>
      <c r="H67" s="22"/>
      <c r="I67" s="35">
        <f>+G67*D67</f>
        <v>0</v>
      </c>
      <c r="J67" s="10"/>
      <c r="K67" s="10"/>
    </row>
    <row r="68" spans="1:11">
      <c r="A68" s="6">
        <f>+A67+1</f>
        <v>4</v>
      </c>
      <c r="B68" s="12" t="s">
        <v>88</v>
      </c>
      <c r="C68" s="22" t="s">
        <v>89</v>
      </c>
      <c r="D68" s="35">
        <f>'4- Rate Base'!F23</f>
        <v>0</v>
      </c>
      <c r="E68" s="10"/>
      <c r="F68" s="10" t="s">
        <v>90</v>
      </c>
      <c r="G68" s="59">
        <f>I217</f>
        <v>0.76738237337416204</v>
      </c>
      <c r="H68" s="22"/>
      <c r="I68" s="35">
        <f>+G68*D68</f>
        <v>0</v>
      </c>
      <c r="J68" s="10"/>
      <c r="K68" s="10"/>
    </row>
    <row r="69" spans="1:11" ht="13.5" thickBot="1">
      <c r="A69" s="6">
        <f>+A68+1</f>
        <v>5</v>
      </c>
      <c r="B69" s="12" t="s">
        <v>91</v>
      </c>
      <c r="C69" s="22" t="s">
        <v>92</v>
      </c>
      <c r="D69" s="60">
        <f>'4- Rate Base'!G23</f>
        <v>0</v>
      </c>
      <c r="E69" s="10"/>
      <c r="F69" s="10" t="s">
        <v>93</v>
      </c>
      <c r="G69" s="59">
        <f>K221</f>
        <v>0.76738237337416204</v>
      </c>
      <c r="H69" s="22"/>
      <c r="I69" s="60">
        <f>+G69*D69</f>
        <v>0</v>
      </c>
      <c r="J69" s="10"/>
      <c r="K69" s="10"/>
    </row>
    <row r="70" spans="1:11">
      <c r="A70" s="6">
        <f>+A69+1</f>
        <v>6</v>
      </c>
      <c r="B70" s="5" t="s">
        <v>94</v>
      </c>
      <c r="C70" s="10" t="s">
        <v>95</v>
      </c>
      <c r="D70" s="35">
        <f>SUM(D65:D69)</f>
        <v>24588103.606495105</v>
      </c>
      <c r="E70" s="10"/>
      <c r="F70" s="10" t="s">
        <v>96</v>
      </c>
      <c r="G70" s="59">
        <f>IF(I70&gt;0,I70/D70,0)</f>
        <v>0.76738237337416204</v>
      </c>
      <c r="H70" s="22"/>
      <c r="I70" s="35">
        <f>SUM(I65:I69)</f>
        <v>18868477.302322008</v>
      </c>
      <c r="J70" s="10"/>
      <c r="K70" s="61"/>
    </row>
    <row r="71" spans="1:11">
      <c r="A71" s="6"/>
      <c r="B71" s="12"/>
      <c r="C71" s="10"/>
      <c r="D71" s="35"/>
      <c r="E71" s="10"/>
      <c r="F71" s="10"/>
      <c r="G71" s="59"/>
      <c r="H71" s="10"/>
      <c r="I71" s="35"/>
      <c r="J71" s="10"/>
      <c r="K71" s="61"/>
    </row>
    <row r="72" spans="1:11">
      <c r="A72" s="6"/>
      <c r="B72" s="12" t="s">
        <v>97</v>
      </c>
      <c r="C72" s="10"/>
      <c r="D72" s="35"/>
      <c r="E72" s="10"/>
      <c r="F72" s="10"/>
      <c r="G72" s="59"/>
      <c r="H72" s="10"/>
      <c r="I72" s="35"/>
      <c r="J72" s="10"/>
      <c r="K72" s="10"/>
    </row>
    <row r="73" spans="1:11">
      <c r="A73" s="6">
        <f>+A70+1</f>
        <v>7</v>
      </c>
      <c r="B73" s="12" t="s">
        <v>81</v>
      </c>
      <c r="C73" s="22" t="s">
        <v>98</v>
      </c>
      <c r="D73" s="35">
        <f>'4- Rate Base'!L23</f>
        <v>0</v>
      </c>
      <c r="E73" s="10"/>
      <c r="F73" s="10" t="s">
        <v>83</v>
      </c>
      <c r="G73" s="59">
        <f>+G65</f>
        <v>0</v>
      </c>
      <c r="H73" s="10"/>
      <c r="I73" s="35">
        <f>+G73*D73</f>
        <v>0</v>
      </c>
      <c r="J73" s="10"/>
      <c r="K73" s="10"/>
    </row>
    <row r="74" spans="1:11">
      <c r="A74" s="6">
        <f>+A73+1</f>
        <v>8</v>
      </c>
      <c r="B74" s="12" t="s">
        <v>84</v>
      </c>
      <c r="C74" s="22" t="s">
        <v>99</v>
      </c>
      <c r="D74" s="35">
        <f>'4- Rate Base'!M23</f>
        <v>12309448.412136594</v>
      </c>
      <c r="E74" s="10"/>
      <c r="F74" s="10" t="s">
        <v>24</v>
      </c>
      <c r="G74" s="59">
        <f>+G66</f>
        <v>0.76738237337416204</v>
      </c>
      <c r="H74" s="22"/>
      <c r="I74" s="35">
        <f>+G74*D74</f>
        <v>9446053.7374321893</v>
      </c>
      <c r="J74" s="10"/>
      <c r="K74" s="10"/>
    </row>
    <row r="75" spans="1:11">
      <c r="A75" s="6">
        <f>+A74+1</f>
        <v>9</v>
      </c>
      <c r="B75" s="12" t="s">
        <v>86</v>
      </c>
      <c r="C75" s="22" t="s">
        <v>100</v>
      </c>
      <c r="D75" s="35">
        <f>'4- Rate Base'!N23</f>
        <v>0</v>
      </c>
      <c r="E75" s="10"/>
      <c r="F75" s="10" t="s">
        <v>83</v>
      </c>
      <c r="G75" s="59">
        <f>+G67</f>
        <v>0</v>
      </c>
      <c r="H75" s="22"/>
      <c r="I75" s="35">
        <f>+G75*D75</f>
        <v>0</v>
      </c>
      <c r="J75" s="10"/>
      <c r="K75" s="10"/>
    </row>
    <row r="76" spans="1:11">
      <c r="A76" s="6">
        <f>+A75+1</f>
        <v>10</v>
      </c>
      <c r="B76" s="12" t="s">
        <v>88</v>
      </c>
      <c r="C76" s="22" t="s">
        <v>101</v>
      </c>
      <c r="D76" s="35">
        <f>'4- Rate Base'!O23</f>
        <v>0</v>
      </c>
      <c r="E76" s="10"/>
      <c r="F76" s="10" t="s">
        <v>90</v>
      </c>
      <c r="G76" s="59">
        <f>+G68</f>
        <v>0.76738237337416204</v>
      </c>
      <c r="H76" s="22"/>
      <c r="I76" s="35">
        <f>+G76*D76</f>
        <v>0</v>
      </c>
      <c r="J76" s="10"/>
      <c r="K76" s="10"/>
    </row>
    <row r="77" spans="1:11" ht="13.5" thickBot="1">
      <c r="A77" s="6">
        <f>+A76+1</f>
        <v>11</v>
      </c>
      <c r="B77" s="12" t="s">
        <v>91</v>
      </c>
      <c r="C77" s="22" t="s">
        <v>102</v>
      </c>
      <c r="D77" s="60">
        <f>'4- Rate Base'!P23</f>
        <v>0</v>
      </c>
      <c r="E77" s="10"/>
      <c r="F77" s="10" t="s">
        <v>93</v>
      </c>
      <c r="G77" s="59">
        <f>+G69</f>
        <v>0.76738237337416204</v>
      </c>
      <c r="H77" s="22"/>
      <c r="I77" s="60">
        <f>+G77*D77</f>
        <v>0</v>
      </c>
      <c r="J77" s="10"/>
      <c r="K77" s="10"/>
    </row>
    <row r="78" spans="1:11">
      <c r="A78" s="6">
        <f>+A77+1</f>
        <v>12</v>
      </c>
      <c r="B78" s="12" t="s">
        <v>103</v>
      </c>
      <c r="C78" s="10" t="s">
        <v>104</v>
      </c>
      <c r="D78" s="35">
        <f>SUM(D73:D77)</f>
        <v>12309448.412136594</v>
      </c>
      <c r="E78" s="10"/>
      <c r="F78" s="10"/>
      <c r="G78" s="59"/>
      <c r="H78" s="22"/>
      <c r="I78" s="35">
        <f>SUM(I73:I77)</f>
        <v>9446053.7374321893</v>
      </c>
      <c r="J78" s="10"/>
      <c r="K78" s="10"/>
    </row>
    <row r="79" spans="1:11">
      <c r="A79" s="6"/>
      <c r="B79" s="4"/>
      <c r="C79" s="10" t="s">
        <v>9</v>
      </c>
      <c r="D79" s="35"/>
      <c r="E79" s="10"/>
      <c r="F79" s="10"/>
      <c r="G79" s="59"/>
      <c r="H79" s="10"/>
      <c r="I79" s="35"/>
      <c r="J79" s="10"/>
      <c r="K79" s="61"/>
    </row>
    <row r="80" spans="1:11">
      <c r="A80" s="6"/>
      <c r="B80" s="12" t="s">
        <v>105</v>
      </c>
      <c r="C80" s="10"/>
      <c r="D80" s="35"/>
      <c r="E80" s="10"/>
      <c r="F80" s="10"/>
      <c r="G80" s="59"/>
      <c r="H80" s="10"/>
      <c r="I80" s="35"/>
      <c r="J80" s="10"/>
      <c r="K80" s="10"/>
    </row>
    <row r="81" spans="1:11">
      <c r="A81" s="6">
        <f>+A78+1</f>
        <v>13</v>
      </c>
      <c r="B81" s="12" t="s">
        <v>81</v>
      </c>
      <c r="C81" s="10" t="str">
        <f>"(Line "&amp;A65&amp;" - Line "&amp;A73&amp;")"</f>
        <v>(Line 1 - Line 7)</v>
      </c>
      <c r="D81" s="35">
        <f>D65-D73</f>
        <v>0</v>
      </c>
      <c r="E81" s="22"/>
      <c r="F81" s="22"/>
      <c r="G81" s="59"/>
      <c r="H81" s="22"/>
      <c r="I81" s="35">
        <f>I65-I73</f>
        <v>0</v>
      </c>
      <c r="J81" s="10"/>
      <c r="K81" s="61"/>
    </row>
    <row r="82" spans="1:11">
      <c r="A82" s="6">
        <f>+A81+1</f>
        <v>14</v>
      </c>
      <c r="B82" s="12" t="s">
        <v>84</v>
      </c>
      <c r="C82" s="10" t="str">
        <f>"(Line "&amp;A66&amp;" - Line "&amp;A74&amp;")"</f>
        <v>(Line 2 - Line 8)</v>
      </c>
      <c r="D82" s="35">
        <f>D66-D74</f>
        <v>12278655.194358511</v>
      </c>
      <c r="E82" s="22"/>
      <c r="F82" s="22"/>
      <c r="G82" s="59"/>
      <c r="H82" s="22"/>
      <c r="I82" s="35">
        <f>I66-I74</f>
        <v>9422423.5648898184</v>
      </c>
      <c r="J82" s="10"/>
      <c r="K82" s="61"/>
    </row>
    <row r="83" spans="1:11">
      <c r="A83" s="6">
        <f>+A82+1</f>
        <v>15</v>
      </c>
      <c r="B83" s="12" t="s">
        <v>86</v>
      </c>
      <c r="C83" s="10" t="str">
        <f>"(Line "&amp;A67&amp;" - Line "&amp;A75&amp;")"</f>
        <v>(Line 3 - Line 9)</v>
      </c>
      <c r="D83" s="35">
        <f>D67-D75</f>
        <v>0</v>
      </c>
      <c r="E83" s="22"/>
      <c r="F83" s="22"/>
      <c r="G83" s="59"/>
      <c r="H83" s="22"/>
      <c r="I83" s="35">
        <f>I67-I75</f>
        <v>0</v>
      </c>
      <c r="J83" s="10"/>
      <c r="K83" s="61"/>
    </row>
    <row r="84" spans="1:11">
      <c r="A84" s="6">
        <f>+A83+1</f>
        <v>16</v>
      </c>
      <c r="B84" s="12" t="s">
        <v>88</v>
      </c>
      <c r="C84" s="10" t="str">
        <f>"(Line "&amp;A68&amp;" - Line "&amp;A76&amp;")"</f>
        <v>(Line 4 - Line 10)</v>
      </c>
      <c r="D84" s="35">
        <f>D68-D76</f>
        <v>0</v>
      </c>
      <c r="E84" s="22"/>
      <c r="F84" s="22"/>
      <c r="G84" s="59"/>
      <c r="H84" s="22"/>
      <c r="I84" s="35">
        <f>I68-I76</f>
        <v>0</v>
      </c>
      <c r="J84" s="10"/>
      <c r="K84" s="61"/>
    </row>
    <row r="85" spans="1:11" ht="13.5" thickBot="1">
      <c r="A85" s="6">
        <f>+A84+1</f>
        <v>17</v>
      </c>
      <c r="B85" s="12" t="s">
        <v>91</v>
      </c>
      <c r="C85" s="10" t="str">
        <f>"(Line "&amp;A69&amp;" - Line "&amp;A77&amp;")"</f>
        <v>(Line 5 - Line 11)</v>
      </c>
      <c r="D85" s="60">
        <f>D69-D77</f>
        <v>0</v>
      </c>
      <c r="E85" s="22"/>
      <c r="F85" s="22"/>
      <c r="G85" s="59"/>
      <c r="H85" s="22"/>
      <c r="I85" s="60">
        <f>I69-I77</f>
        <v>0</v>
      </c>
      <c r="J85" s="10"/>
      <c r="K85" s="61"/>
    </row>
    <row r="86" spans="1:11">
      <c r="A86" s="6">
        <f>+A85+1</f>
        <v>18</v>
      </c>
      <c r="B86" s="12" t="s">
        <v>106</v>
      </c>
      <c r="C86" s="10" t="s">
        <v>107</v>
      </c>
      <c r="D86" s="35">
        <f>SUM(D81:D85)</f>
        <v>12278655.194358511</v>
      </c>
      <c r="E86" s="22"/>
      <c r="F86" s="22" t="s">
        <v>108</v>
      </c>
      <c r="G86" s="59">
        <f>IF(I86&gt;0,I86/D86,0)</f>
        <v>0.76738237337416215</v>
      </c>
      <c r="H86" s="22"/>
      <c r="I86" s="35">
        <f>SUM(I81:I85)</f>
        <v>9422423.5648898184</v>
      </c>
      <c r="J86" s="10"/>
      <c r="K86" s="10"/>
    </row>
    <row r="87" spans="1:11">
      <c r="A87" s="6"/>
      <c r="B87" s="12"/>
      <c r="C87" s="10"/>
      <c r="D87" s="35"/>
      <c r="E87" s="22"/>
      <c r="F87" s="22"/>
      <c r="G87" s="59"/>
      <c r="H87" s="22"/>
      <c r="I87" s="35"/>
      <c r="J87" s="10"/>
      <c r="K87" s="10"/>
    </row>
    <row r="88" spans="1:11">
      <c r="A88" s="6" t="s">
        <v>109</v>
      </c>
      <c r="B88" s="33" t="s">
        <v>110</v>
      </c>
      <c r="C88" s="36" t="s">
        <v>111</v>
      </c>
      <c r="D88" s="35">
        <f>+'4- Rate Base'!H23</f>
        <v>0</v>
      </c>
      <c r="E88" s="36"/>
      <c r="F88" s="36" t="str">
        <f>+F96</f>
        <v>DA</v>
      </c>
      <c r="G88" s="59">
        <v>1</v>
      </c>
      <c r="H88" s="36"/>
      <c r="I88" s="35">
        <f>+G88*D88</f>
        <v>0</v>
      </c>
      <c r="J88" s="10"/>
      <c r="K88" s="10"/>
    </row>
    <row r="89" spans="1:11">
      <c r="A89" s="6"/>
      <c r="B89" s="4"/>
      <c r="C89" s="10"/>
      <c r="D89" s="35"/>
      <c r="E89" s="10"/>
      <c r="F89" s="4"/>
      <c r="G89" s="59"/>
      <c r="H89" s="10"/>
      <c r="I89" s="35"/>
      <c r="J89" s="10"/>
      <c r="K89" s="61"/>
    </row>
    <row r="90" spans="1:11">
      <c r="A90" s="6"/>
      <c r="B90" s="5" t="s">
        <v>112</v>
      </c>
      <c r="C90" s="10"/>
      <c r="D90" s="35"/>
      <c r="E90" s="10"/>
      <c r="F90" s="10"/>
      <c r="G90" s="59"/>
      <c r="H90" s="10"/>
      <c r="I90" s="35"/>
      <c r="J90" s="10"/>
      <c r="K90" s="10"/>
    </row>
    <row r="91" spans="1:11">
      <c r="A91" s="6">
        <f>+A86+1</f>
        <v>19</v>
      </c>
      <c r="B91" s="12" t="s">
        <v>113</v>
      </c>
      <c r="C91" s="10"/>
      <c r="D91" s="35">
        <f>+'4- Rate Base'!E42</f>
        <v>0</v>
      </c>
      <c r="E91" s="10"/>
      <c r="F91" s="10" t="s">
        <v>83</v>
      </c>
      <c r="G91" s="59" t="s">
        <v>114</v>
      </c>
      <c r="H91" s="22"/>
      <c r="I91" s="35">
        <v>0</v>
      </c>
      <c r="J91" s="10"/>
      <c r="K91" s="61"/>
    </row>
    <row r="92" spans="1:11">
      <c r="A92" s="6">
        <f>+A91+1</f>
        <v>20</v>
      </c>
      <c r="B92" s="12" t="s">
        <v>113</v>
      </c>
      <c r="C92" s="10"/>
      <c r="D92" s="35">
        <f>+'4- Rate Base'!F42</f>
        <v>0</v>
      </c>
      <c r="E92" s="10"/>
      <c r="F92" s="10" t="s">
        <v>83</v>
      </c>
      <c r="G92" s="59" t="s">
        <v>114</v>
      </c>
      <c r="H92" s="22"/>
      <c r="I92" s="35">
        <v>0</v>
      </c>
      <c r="J92" s="10"/>
      <c r="K92" s="61"/>
    </row>
    <row r="93" spans="1:11">
      <c r="A93" s="6">
        <f>+A92+1</f>
        <v>21</v>
      </c>
      <c r="B93" s="12" t="s">
        <v>113</v>
      </c>
      <c r="C93" s="10"/>
      <c r="D93" s="35">
        <f>+'4- Rate Base'!G42</f>
        <v>0</v>
      </c>
      <c r="E93" s="10"/>
      <c r="F93" s="10" t="s">
        <v>83</v>
      </c>
      <c r="G93" s="59" t="s">
        <v>114</v>
      </c>
      <c r="H93" s="22"/>
      <c r="I93" s="35">
        <v>0</v>
      </c>
      <c r="J93" s="10"/>
      <c r="K93" s="61"/>
    </row>
    <row r="94" spans="1:11">
      <c r="A94" s="6">
        <f>+A93+1</f>
        <v>22</v>
      </c>
      <c r="B94" s="12" t="s">
        <v>115</v>
      </c>
      <c r="C94" s="10" t="s">
        <v>116</v>
      </c>
      <c r="D94" s="35">
        <f>'8a-ADIT Projection'!H16</f>
        <v>-30705.936986301367</v>
      </c>
      <c r="E94" s="10"/>
      <c r="F94" s="571" t="s">
        <v>119</v>
      </c>
      <c r="G94" s="569">
        <f>G86</f>
        <v>0.76738237337416215</v>
      </c>
      <c r="H94" s="22"/>
      <c r="I94" s="35">
        <f>D94*G94</f>
        <v>-23563.194801225411</v>
      </c>
      <c r="J94" s="10"/>
      <c r="K94" s="61"/>
    </row>
    <row r="95" spans="1:11">
      <c r="A95" s="6">
        <f>+A94+1</f>
        <v>23</v>
      </c>
      <c r="B95" s="4" t="s">
        <v>117</v>
      </c>
      <c r="C95" s="4" t="s">
        <v>118</v>
      </c>
      <c r="D95" s="35">
        <f>+'4- Rate Base'!I42</f>
        <v>0</v>
      </c>
      <c r="E95" s="10"/>
      <c r="F95" s="10" t="s">
        <v>119</v>
      </c>
      <c r="G95" s="59">
        <f>+G86</f>
        <v>0.76738237337416215</v>
      </c>
      <c r="H95" s="22"/>
      <c r="I95" s="35">
        <f>D95*G95</f>
        <v>0</v>
      </c>
      <c r="J95" s="10"/>
      <c r="K95" s="61"/>
    </row>
    <row r="96" spans="1:11">
      <c r="A96" s="6" t="s">
        <v>120</v>
      </c>
      <c r="B96" s="33" t="s">
        <v>121</v>
      </c>
      <c r="C96" s="36" t="s">
        <v>122</v>
      </c>
      <c r="D96" s="35">
        <f>+'4- Rate Base'!C42</f>
        <v>0</v>
      </c>
      <c r="E96" s="36"/>
      <c r="F96" s="570" t="str">
        <f>+F97</f>
        <v>DA</v>
      </c>
      <c r="G96" s="569">
        <v>1</v>
      </c>
      <c r="H96" s="36"/>
      <c r="I96" s="35">
        <f>+G96*D96</f>
        <v>0</v>
      </c>
      <c r="K96" s="61"/>
    </row>
    <row r="97" spans="1:11">
      <c r="A97" s="6" t="s">
        <v>123</v>
      </c>
      <c r="B97" s="33" t="s">
        <v>124</v>
      </c>
      <c r="C97" s="36" t="s">
        <v>125</v>
      </c>
      <c r="D97" s="35">
        <f>+'4- Rate Base'!D42</f>
        <v>0</v>
      </c>
      <c r="E97" s="36"/>
      <c r="F97" s="36" t="s">
        <v>39</v>
      </c>
      <c r="G97" s="59">
        <v>1</v>
      </c>
      <c r="H97" s="36"/>
      <c r="I97" s="35">
        <f>+G97*D97</f>
        <v>0</v>
      </c>
      <c r="K97" s="61"/>
    </row>
    <row r="98" spans="1:11" ht="13.5" thickBot="1">
      <c r="A98" s="6" t="s">
        <v>126</v>
      </c>
      <c r="B98" s="33" t="s">
        <v>127</v>
      </c>
      <c r="C98" s="36" t="s">
        <v>128</v>
      </c>
      <c r="D98" s="60">
        <f>+'4- Rate Base'!I59</f>
        <v>0</v>
      </c>
      <c r="E98" s="36"/>
      <c r="F98" s="36" t="str">
        <f>+F97</f>
        <v>DA</v>
      </c>
      <c r="G98" s="59">
        <f>+G97</f>
        <v>1</v>
      </c>
      <c r="H98" s="36"/>
      <c r="I98" s="60">
        <f>+D98*G98</f>
        <v>0</v>
      </c>
      <c r="K98" s="61"/>
    </row>
    <row r="99" spans="1:11">
      <c r="A99" s="6">
        <v>24</v>
      </c>
      <c r="B99" s="12" t="s">
        <v>129</v>
      </c>
      <c r="C99" s="10" t="s">
        <v>130</v>
      </c>
      <c r="D99" s="35">
        <f>SUM(D91:D98)</f>
        <v>-30705.936986301367</v>
      </c>
      <c r="E99" s="10"/>
      <c r="F99" s="10"/>
      <c r="G99" s="59"/>
      <c r="H99" s="22"/>
      <c r="I99" s="35">
        <f>SUM(I91:I98)</f>
        <v>-23563.194801225411</v>
      </c>
      <c r="J99" s="10"/>
      <c r="K99" s="10"/>
    </row>
    <row r="100" spans="1:11">
      <c r="A100" s="6"/>
      <c r="B100" s="4"/>
      <c r="C100" s="10"/>
      <c r="D100" s="35"/>
      <c r="E100" s="10"/>
      <c r="F100" s="10"/>
      <c r="G100" s="59"/>
      <c r="H100" s="10"/>
      <c r="I100" s="35"/>
      <c r="J100" s="10"/>
      <c r="K100" s="61"/>
    </row>
    <row r="101" spans="1:11">
      <c r="A101" s="6">
        <f>+A99+1</f>
        <v>25</v>
      </c>
      <c r="B101" s="5" t="s">
        <v>131</v>
      </c>
      <c r="C101" s="62" t="s">
        <v>132</v>
      </c>
      <c r="D101" s="63">
        <f>+'4- Rate Base'!I23</f>
        <v>0</v>
      </c>
      <c r="E101" s="10"/>
      <c r="F101" s="10" t="s">
        <v>24</v>
      </c>
      <c r="G101" s="59">
        <f>+G74</f>
        <v>0.76738237337416204</v>
      </c>
      <c r="H101" s="22"/>
      <c r="I101" s="35">
        <f>+G101*D101</f>
        <v>0</v>
      </c>
      <c r="J101" s="10"/>
      <c r="K101" s="10"/>
    </row>
    <row r="102" spans="1:11">
      <c r="A102" s="6"/>
      <c r="B102" s="12"/>
      <c r="C102" s="10"/>
      <c r="D102" s="35"/>
      <c r="E102" s="10"/>
      <c r="F102" s="10"/>
      <c r="G102" s="59"/>
      <c r="H102" s="22"/>
      <c r="I102" s="35"/>
      <c r="J102" s="10"/>
      <c r="K102" s="10"/>
    </row>
    <row r="103" spans="1:11">
      <c r="A103" s="6"/>
      <c r="B103" s="12" t="s">
        <v>133</v>
      </c>
      <c r="C103" s="10" t="s">
        <v>134</v>
      </c>
      <c r="D103" s="35"/>
      <c r="E103" s="10"/>
      <c r="F103" s="10"/>
      <c r="G103" s="59"/>
      <c r="H103" s="22"/>
      <c r="I103" s="35"/>
      <c r="J103" s="10"/>
      <c r="K103" s="10"/>
    </row>
    <row r="104" spans="1:11">
      <c r="A104" s="6">
        <f>+A101+1</f>
        <v>26</v>
      </c>
      <c r="B104" s="12" t="s">
        <v>135</v>
      </c>
      <c r="C104" s="4" t="s">
        <v>136</v>
      </c>
      <c r="D104" s="35">
        <f>(D138-D135)/8</f>
        <v>800092.72625673236</v>
      </c>
      <c r="E104" s="10"/>
      <c r="F104" s="10"/>
      <c r="G104" s="59"/>
      <c r="H104" s="22"/>
      <c r="I104" s="35">
        <f>(I138-I135)/8</f>
        <v>613977.05519429501</v>
      </c>
      <c r="J104" s="12"/>
      <c r="K104" s="61"/>
    </row>
    <row r="105" spans="1:11">
      <c r="A105" s="6">
        <f>+A104+1</f>
        <v>27</v>
      </c>
      <c r="B105" s="12" t="s">
        <v>137</v>
      </c>
      <c r="C105" s="62" t="s">
        <v>138</v>
      </c>
      <c r="D105" s="35">
        <f>+'4- Rate Base'!J23</f>
        <v>0</v>
      </c>
      <c r="E105" s="10"/>
      <c r="F105" s="10" t="s">
        <v>24</v>
      </c>
      <c r="G105" s="59">
        <f>+G122</f>
        <v>0.76738237337416204</v>
      </c>
      <c r="H105" s="22"/>
      <c r="I105" s="35">
        <f>+G105*D105</f>
        <v>0</v>
      </c>
      <c r="J105" s="10" t="s">
        <v>9</v>
      </c>
      <c r="K105" s="61"/>
    </row>
    <row r="106" spans="1:11" ht="13.5" thickBot="1">
      <c r="A106" s="6">
        <f>+A105+1</f>
        <v>28</v>
      </c>
      <c r="B106" s="12" t="s">
        <v>139</v>
      </c>
      <c r="C106" s="22" t="s">
        <v>140</v>
      </c>
      <c r="D106" s="60">
        <f>+'4- Rate Base'!K23</f>
        <v>1500000</v>
      </c>
      <c r="E106" s="10"/>
      <c r="F106" s="10" t="s">
        <v>141</v>
      </c>
      <c r="G106" s="59">
        <f>+G70</f>
        <v>0.76738237337416204</v>
      </c>
      <c r="H106" s="22"/>
      <c r="I106" s="60">
        <f>+G106*D106</f>
        <v>1151073.5600612431</v>
      </c>
      <c r="J106" s="10"/>
      <c r="K106" s="61"/>
    </row>
    <row r="107" spans="1:11">
      <c r="A107" s="6">
        <f>+A106+1</f>
        <v>29</v>
      </c>
      <c r="B107" s="12" t="s">
        <v>142</v>
      </c>
      <c r="C107" s="12" t="s">
        <v>143</v>
      </c>
      <c r="D107" s="35">
        <f>SUM(D104:D106)</f>
        <v>2300092.7262567324</v>
      </c>
      <c r="E107" s="12"/>
      <c r="F107" s="12"/>
      <c r="G107" s="1"/>
      <c r="H107" s="1"/>
      <c r="I107" s="35">
        <f>I104+I105+I106</f>
        <v>1765050.6152555381</v>
      </c>
      <c r="J107" s="12"/>
      <c r="K107" s="12"/>
    </row>
    <row r="108" spans="1:11" ht="13.5" thickBot="1">
      <c r="A108" s="6"/>
      <c r="B108" s="4"/>
      <c r="C108" s="10"/>
      <c r="D108" s="60"/>
      <c r="E108" s="10"/>
      <c r="F108" s="10"/>
      <c r="G108" s="10"/>
      <c r="H108" s="10"/>
      <c r="I108" s="60"/>
      <c r="J108" s="10"/>
      <c r="K108" s="10"/>
    </row>
    <row r="109" spans="1:11" ht="13.5" thickBot="1">
      <c r="A109" s="6">
        <f>+A107+1</f>
        <v>30</v>
      </c>
      <c r="B109" s="12" t="s">
        <v>144</v>
      </c>
      <c r="C109" s="10" t="s">
        <v>145</v>
      </c>
      <c r="D109" s="64">
        <f>+D107+D101+D99+D86+D88</f>
        <v>14548041.983628942</v>
      </c>
      <c r="E109" s="22"/>
      <c r="F109" s="22"/>
      <c r="G109" s="65"/>
      <c r="H109" s="22"/>
      <c r="I109" s="66">
        <f>+I107+I101+I99+I86+I88</f>
        <v>11163910.985344131</v>
      </c>
      <c r="J109" s="10"/>
      <c r="K109" s="61"/>
    </row>
    <row r="110" spans="1:11" ht="13.5" thickTop="1">
      <c r="A110" s="6"/>
      <c r="B110" s="12"/>
      <c r="C110" s="10"/>
      <c r="D110" s="22"/>
      <c r="E110" s="22"/>
      <c r="F110" s="22"/>
      <c r="G110" s="65"/>
      <c r="H110" s="22"/>
      <c r="I110" s="22"/>
      <c r="J110" s="10"/>
      <c r="K110" s="61"/>
    </row>
    <row r="111" spans="1:11">
      <c r="A111" s="6"/>
      <c r="B111" s="12"/>
      <c r="C111" s="10"/>
      <c r="D111" s="22"/>
      <c r="E111" s="22"/>
      <c r="F111" s="22"/>
      <c r="G111" s="65"/>
      <c r="H111" s="22"/>
      <c r="I111" s="22"/>
      <c r="J111" s="10"/>
      <c r="K111" s="61"/>
    </row>
    <row r="112" spans="1:11">
      <c r="A112" s="6"/>
      <c r="B112" s="12"/>
      <c r="C112" s="10"/>
      <c r="D112" s="10"/>
      <c r="E112" s="10"/>
      <c r="F112" s="10"/>
      <c r="G112" s="10"/>
      <c r="H112" s="10"/>
      <c r="I112" s="10"/>
      <c r="J112" s="10"/>
      <c r="K112" s="51" t="str">
        <f>+K1</f>
        <v>Attachment O-GLH</v>
      </c>
    </row>
    <row r="113" spans="1:11">
      <c r="A113" s="6"/>
      <c r="B113" s="12"/>
      <c r="C113" s="10"/>
      <c r="D113" s="10"/>
      <c r="E113" s="10"/>
      <c r="F113" s="10"/>
      <c r="G113" s="10"/>
      <c r="H113" s="10"/>
      <c r="I113" s="10"/>
      <c r="J113" s="10"/>
      <c r="K113" s="51" t="s">
        <v>146</v>
      </c>
    </row>
    <row r="114" spans="1:11">
      <c r="A114" s="6"/>
      <c r="B114" s="12" t="s">
        <v>2</v>
      </c>
      <c r="C114" s="10"/>
      <c r="D114" s="11" t="s">
        <v>3</v>
      </c>
      <c r="E114" s="10"/>
      <c r="F114" s="10"/>
      <c r="G114" s="10"/>
      <c r="H114" s="10"/>
      <c r="I114" s="1"/>
      <c r="J114" s="10"/>
      <c r="K114" s="67" t="str">
        <f>K3</f>
        <v>For the 12 months ended 12/31/2020</v>
      </c>
    </row>
    <row r="115" spans="1:11">
      <c r="A115" s="6"/>
      <c r="B115" s="12"/>
      <c r="C115" s="10"/>
      <c r="D115" s="11" t="s">
        <v>4</v>
      </c>
      <c r="E115" s="10"/>
      <c r="F115" s="10"/>
      <c r="G115" s="10"/>
      <c r="H115" s="10"/>
      <c r="I115" s="10"/>
      <c r="J115" s="10"/>
      <c r="K115" s="10"/>
    </row>
    <row r="116" spans="1:11">
      <c r="A116" s="6"/>
      <c r="B116" s="4"/>
      <c r="C116" s="10"/>
      <c r="D116" s="11" t="str">
        <f>+D58</f>
        <v>GridLiance Heartland LLC</v>
      </c>
      <c r="E116" s="10"/>
      <c r="F116" s="10"/>
      <c r="G116" s="10"/>
      <c r="H116" s="10"/>
      <c r="I116" s="10"/>
      <c r="J116" s="10"/>
      <c r="K116" s="10"/>
    </row>
    <row r="117" spans="1:11">
      <c r="A117" s="730"/>
      <c r="B117" s="730"/>
      <c r="C117" s="730"/>
      <c r="D117" s="730"/>
      <c r="E117" s="730"/>
      <c r="F117" s="730"/>
      <c r="G117" s="730"/>
      <c r="H117" s="730"/>
      <c r="I117" s="730"/>
      <c r="J117" s="730"/>
      <c r="K117" s="730"/>
    </row>
    <row r="118" spans="1:11">
      <c r="A118" s="6"/>
      <c r="B118" s="17" t="s">
        <v>6</v>
      </c>
      <c r="C118" s="17" t="s">
        <v>7</v>
      </c>
      <c r="D118" s="17" t="s">
        <v>8</v>
      </c>
      <c r="E118" s="10" t="s">
        <v>9</v>
      </c>
      <c r="F118" s="10"/>
      <c r="G118" s="16" t="s">
        <v>10</v>
      </c>
      <c r="H118" s="10"/>
      <c r="I118" s="16" t="s">
        <v>11</v>
      </c>
      <c r="J118" s="10"/>
      <c r="K118" s="10"/>
    </row>
    <row r="119" spans="1:11">
      <c r="A119" s="6" t="s">
        <v>12</v>
      </c>
      <c r="B119" s="12"/>
      <c r="C119" s="54"/>
      <c r="D119" s="10"/>
      <c r="E119" s="10"/>
      <c r="F119" s="10"/>
      <c r="G119" s="6"/>
      <c r="H119" s="10"/>
      <c r="I119" s="55" t="s">
        <v>75</v>
      </c>
      <c r="J119" s="10"/>
      <c r="K119" s="55"/>
    </row>
    <row r="120" spans="1:11" ht="13.5" thickBot="1">
      <c r="A120" s="18" t="s">
        <v>14</v>
      </c>
      <c r="B120" s="12"/>
      <c r="C120" s="56" t="s">
        <v>15</v>
      </c>
      <c r="D120" s="55" t="s">
        <v>76</v>
      </c>
      <c r="E120" s="57"/>
      <c r="F120" s="55" t="s">
        <v>77</v>
      </c>
      <c r="G120" s="4"/>
      <c r="H120" s="57"/>
      <c r="I120" s="6" t="s">
        <v>78</v>
      </c>
      <c r="J120" s="10"/>
      <c r="K120" s="55"/>
    </row>
    <row r="121" spans="1:11">
      <c r="A121" s="6"/>
      <c r="B121" s="12" t="s">
        <v>147</v>
      </c>
      <c r="C121" s="10" t="s">
        <v>148</v>
      </c>
      <c r="D121" s="10"/>
      <c r="E121" s="10"/>
      <c r="F121" s="10"/>
      <c r="G121" s="10"/>
      <c r="H121" s="10"/>
      <c r="I121" s="10"/>
      <c r="J121" s="10"/>
      <c r="K121" s="10"/>
    </row>
    <row r="122" spans="1:11">
      <c r="A122" s="6">
        <v>1</v>
      </c>
      <c r="B122" s="12" t="s">
        <v>149</v>
      </c>
      <c r="C122" s="10" t="s">
        <v>150</v>
      </c>
      <c r="D122" s="35">
        <f>+'5-P3 Support'!C22</f>
        <v>3113156.0784874111</v>
      </c>
      <c r="E122" s="10"/>
      <c r="F122" s="10" t="s">
        <v>24</v>
      </c>
      <c r="G122" s="59">
        <f>+I209</f>
        <v>0.76738237337416204</v>
      </c>
      <c r="H122" s="22"/>
      <c r="I122" s="35">
        <f t="shared" ref="I122:I133" si="0">+G122*D122</f>
        <v>2388981.1001938689</v>
      </c>
      <c r="J122" s="12"/>
      <c r="K122" s="10"/>
    </row>
    <row r="123" spans="1:11">
      <c r="A123" s="32" t="s">
        <v>151</v>
      </c>
      <c r="B123" s="577" t="s">
        <v>1004</v>
      </c>
      <c r="C123" s="10" t="s">
        <v>152</v>
      </c>
      <c r="D123" s="35">
        <f>+'5-P3 Support'!N22</f>
        <v>844417.99999999988</v>
      </c>
      <c r="E123" s="36"/>
      <c r="F123" s="36" t="str">
        <f>+F122</f>
        <v>TP</v>
      </c>
      <c r="G123" s="59">
        <f>+G122</f>
        <v>0.76738237337416204</v>
      </c>
      <c r="H123" s="36"/>
      <c r="I123" s="35">
        <f t="shared" si="0"/>
        <v>647991.48895986308</v>
      </c>
      <c r="K123" s="10"/>
    </row>
    <row r="124" spans="1:11">
      <c r="A124" s="32" t="s">
        <v>153</v>
      </c>
      <c r="B124" s="150" t="s">
        <v>154</v>
      </c>
      <c r="C124" s="10" t="s">
        <v>155</v>
      </c>
      <c r="D124" s="35">
        <f>+'5-P3 Support'!D22</f>
        <v>0</v>
      </c>
      <c r="E124" s="36"/>
      <c r="F124" s="36" t="str">
        <f>+F123</f>
        <v>TP</v>
      </c>
      <c r="G124" s="59">
        <f>+G123</f>
        <v>0.76738237337416204</v>
      </c>
      <c r="H124" s="36"/>
      <c r="I124" s="35">
        <f t="shared" si="0"/>
        <v>0</v>
      </c>
      <c r="K124" s="10"/>
    </row>
    <row r="125" spans="1:11">
      <c r="A125" s="32">
        <v>2</v>
      </c>
      <c r="B125" s="12" t="s">
        <v>156</v>
      </c>
      <c r="C125" s="10" t="s">
        <v>157</v>
      </c>
      <c r="D125" s="35">
        <f>+'5-P3 Support'!E22</f>
        <v>0</v>
      </c>
      <c r="E125" s="10"/>
      <c r="F125" s="10" t="str">
        <f>+F123</f>
        <v>TP</v>
      </c>
      <c r="G125" s="59">
        <f>+G124</f>
        <v>0.76738237337416204</v>
      </c>
      <c r="H125" s="22"/>
      <c r="I125" s="35">
        <f t="shared" si="0"/>
        <v>0</v>
      </c>
      <c r="J125" s="12"/>
      <c r="K125" s="10"/>
    </row>
    <row r="126" spans="1:11">
      <c r="A126" s="32">
        <f>+A125+1</f>
        <v>3</v>
      </c>
      <c r="B126" s="12" t="s">
        <v>158</v>
      </c>
      <c r="C126" s="10" t="s">
        <v>159</v>
      </c>
      <c r="D126" s="35">
        <f>+'5-P3 Support'!F22-D149</f>
        <v>4132003.7315664473</v>
      </c>
      <c r="E126" s="10"/>
      <c r="F126" s="10" t="s">
        <v>90</v>
      </c>
      <c r="G126" s="59">
        <f>+I217</f>
        <v>0.76738237337416204</v>
      </c>
      <c r="H126" s="22"/>
      <c r="I126" s="35">
        <f t="shared" si="0"/>
        <v>3170826.8303203541</v>
      </c>
      <c r="J126" s="10"/>
      <c r="K126" s="10" t="s">
        <v>9</v>
      </c>
    </row>
    <row r="127" spans="1:11">
      <c r="A127" s="32">
        <f>+A126+1</f>
        <v>4</v>
      </c>
      <c r="B127" s="12" t="s">
        <v>160</v>
      </c>
      <c r="C127" s="10" t="s">
        <v>161</v>
      </c>
      <c r="D127" s="35">
        <f>'5-P3 Support'!G22</f>
        <v>0</v>
      </c>
      <c r="E127" s="10"/>
      <c r="F127" s="10" t="s">
        <v>90</v>
      </c>
      <c r="G127" s="59">
        <f>+G126</f>
        <v>0.76738237337416204</v>
      </c>
      <c r="H127" s="22"/>
      <c r="I127" s="35">
        <f t="shared" si="0"/>
        <v>0</v>
      </c>
      <c r="J127" s="10"/>
      <c r="K127" s="10"/>
    </row>
    <row r="128" spans="1:11">
      <c r="A128" s="32">
        <f>+A127+1</f>
        <v>5</v>
      </c>
      <c r="B128" s="12" t="s">
        <v>162</v>
      </c>
      <c r="C128" s="10" t="s">
        <v>163</v>
      </c>
      <c r="D128" s="35">
        <f>'5-P3 Support'!H22</f>
        <v>0</v>
      </c>
      <c r="E128" s="10"/>
      <c r="F128" s="10" t="s">
        <v>90</v>
      </c>
      <c r="G128" s="59">
        <f>+G127</f>
        <v>0.76738237337416204</v>
      </c>
      <c r="H128" s="22"/>
      <c r="I128" s="35">
        <f t="shared" si="0"/>
        <v>0</v>
      </c>
      <c r="J128" s="10"/>
      <c r="K128" s="10"/>
    </row>
    <row r="129" spans="1:11">
      <c r="A129" s="32" t="s">
        <v>164</v>
      </c>
      <c r="B129" s="12" t="s">
        <v>165</v>
      </c>
      <c r="C129" s="10" t="s">
        <v>166</v>
      </c>
      <c r="D129" s="35">
        <f>'5-P3 Support'!I22</f>
        <v>0</v>
      </c>
      <c r="E129" s="10"/>
      <c r="F129" s="68" t="s">
        <v>24</v>
      </c>
      <c r="G129" s="59">
        <f>+G122</f>
        <v>0.76738237337416204</v>
      </c>
      <c r="H129" s="22"/>
      <c r="I129" s="35">
        <f t="shared" si="0"/>
        <v>0</v>
      </c>
      <c r="J129" s="10"/>
      <c r="K129" s="10"/>
    </row>
    <row r="130" spans="1:11" s="72" customFormat="1">
      <c r="A130" s="32" t="s">
        <v>167</v>
      </c>
      <c r="B130" s="12" t="s">
        <v>168</v>
      </c>
      <c r="C130" s="10" t="s">
        <v>169</v>
      </c>
      <c r="D130" s="69">
        <f>+'7 - PBOP'!D13</f>
        <v>0</v>
      </c>
      <c r="E130" s="70"/>
      <c r="F130" s="10" t="str">
        <f>+F128</f>
        <v>W/S</v>
      </c>
      <c r="G130" s="59">
        <f>+G128</f>
        <v>0.76738237337416204</v>
      </c>
      <c r="H130" s="71"/>
      <c r="I130" s="35">
        <f t="shared" si="0"/>
        <v>0</v>
      </c>
      <c r="J130" s="70"/>
      <c r="K130" s="70"/>
    </row>
    <row r="131" spans="1:11" s="72" customFormat="1">
      <c r="A131" s="32" t="s">
        <v>170</v>
      </c>
      <c r="B131" s="12" t="s">
        <v>171</v>
      </c>
      <c r="C131" s="10" t="s">
        <v>172</v>
      </c>
      <c r="D131" s="69">
        <f>+'7 - PBOP'!D16</f>
        <v>0</v>
      </c>
      <c r="E131" s="70"/>
      <c r="F131" s="68" t="str">
        <f>+F128</f>
        <v>W/S</v>
      </c>
      <c r="G131" s="59">
        <f>+G128</f>
        <v>0.76738237337416204</v>
      </c>
      <c r="H131" s="71"/>
      <c r="I131" s="35">
        <f t="shared" si="0"/>
        <v>0</v>
      </c>
      <c r="J131" s="70"/>
      <c r="K131" s="70"/>
    </row>
    <row r="132" spans="1:11">
      <c r="A132" s="32">
        <v>6</v>
      </c>
      <c r="B132" s="12" t="s">
        <v>91</v>
      </c>
      <c r="C132" s="10" t="s">
        <v>173</v>
      </c>
      <c r="D132" s="73">
        <v>0</v>
      </c>
      <c r="E132" s="10"/>
      <c r="F132" s="10" t="s">
        <v>93</v>
      </c>
      <c r="G132" s="59">
        <f>+G77</f>
        <v>0.76738237337416204</v>
      </c>
      <c r="H132" s="22"/>
      <c r="I132" s="35">
        <f t="shared" si="0"/>
        <v>0</v>
      </c>
      <c r="J132" s="10"/>
      <c r="K132" s="10"/>
    </row>
    <row r="133" spans="1:11">
      <c r="A133" s="32">
        <f>+A132+1</f>
        <v>7</v>
      </c>
      <c r="B133" s="12" t="s">
        <v>174</v>
      </c>
      <c r="C133" s="10" t="s">
        <v>175</v>
      </c>
      <c r="D133" s="35">
        <f>'5-P3 Support'!J22</f>
        <v>0</v>
      </c>
      <c r="E133" s="10"/>
      <c r="F133" s="10" t="str">
        <f>+F135</f>
        <v>DA</v>
      </c>
      <c r="G133" s="59">
        <v>1</v>
      </c>
      <c r="H133" s="22"/>
      <c r="I133" s="35">
        <f t="shared" si="0"/>
        <v>0</v>
      </c>
      <c r="J133" s="10"/>
      <c r="K133" s="10"/>
    </row>
    <row r="134" spans="1:11">
      <c r="A134" s="32" t="s">
        <v>176</v>
      </c>
      <c r="B134" s="33" t="s">
        <v>177</v>
      </c>
      <c r="C134" s="36"/>
      <c r="D134" s="35"/>
      <c r="E134" s="36"/>
      <c r="F134" s="36"/>
      <c r="G134" s="59"/>
      <c r="H134" s="36"/>
      <c r="I134" s="35"/>
      <c r="K134" s="10"/>
    </row>
    <row r="135" spans="1:11">
      <c r="A135" s="32" t="s">
        <v>178</v>
      </c>
      <c r="B135" s="33" t="s">
        <v>179</v>
      </c>
      <c r="C135" s="36" t="s">
        <v>180</v>
      </c>
      <c r="D135" s="35">
        <f>'5-P3 Support'!K22</f>
        <v>0</v>
      </c>
      <c r="E135" s="36"/>
      <c r="F135" s="570" t="s">
        <v>39</v>
      </c>
      <c r="G135" s="569">
        <v>1</v>
      </c>
      <c r="H135" s="36"/>
      <c r="I135" s="35">
        <f>+G135*D135</f>
        <v>0</v>
      </c>
      <c r="K135" s="10"/>
    </row>
    <row r="136" spans="1:11">
      <c r="A136" s="32" t="s">
        <v>181</v>
      </c>
      <c r="B136" s="33" t="s">
        <v>182</v>
      </c>
      <c r="C136" s="10" t="s">
        <v>183</v>
      </c>
      <c r="D136" s="35">
        <f>'5-P3 Support'!L22</f>
        <v>0</v>
      </c>
      <c r="E136" s="36"/>
      <c r="F136" s="36" t="s">
        <v>24</v>
      </c>
      <c r="G136" s="59">
        <f>+G122</f>
        <v>0.76738237337416204</v>
      </c>
      <c r="H136" s="36"/>
      <c r="I136" s="35">
        <f>+G136*D136</f>
        <v>0</v>
      </c>
      <c r="K136" s="10"/>
    </row>
    <row r="137" spans="1:11" ht="13.5" thickBot="1">
      <c r="A137" s="32" t="s">
        <v>184</v>
      </c>
      <c r="B137" s="33" t="s">
        <v>185</v>
      </c>
      <c r="C137" s="36" t="s">
        <v>186</v>
      </c>
      <c r="D137" s="60">
        <f>SUM(D135:D136)</f>
        <v>0</v>
      </c>
      <c r="E137" s="36"/>
      <c r="F137" s="36"/>
      <c r="G137" s="59"/>
      <c r="H137" s="36"/>
      <c r="I137" s="60">
        <f>SUM(I135:I136)</f>
        <v>0</v>
      </c>
      <c r="K137" s="10"/>
    </row>
    <row r="138" spans="1:11">
      <c r="A138" s="32">
        <v>8</v>
      </c>
      <c r="B138" s="74" t="s">
        <v>187</v>
      </c>
      <c r="C138" s="75" t="s">
        <v>188</v>
      </c>
      <c r="D138" s="35">
        <f>+D122-D125-D123+D126-D127-D128-D130+D129+D131+D132+D133+D137-D124</f>
        <v>6400741.8100538589</v>
      </c>
      <c r="E138" s="35"/>
      <c r="F138" s="35"/>
      <c r="G138" s="59"/>
      <c r="H138" s="35"/>
      <c r="I138" s="35">
        <f>+I122-I125-I123+I126-I127-I128-I130+I129+I131+I132+I133+I137-I124</f>
        <v>4911816.4415543601</v>
      </c>
      <c r="J138" s="10"/>
      <c r="K138" s="10"/>
    </row>
    <row r="139" spans="1:11">
      <c r="A139" s="32"/>
      <c r="B139" s="4"/>
      <c r="C139" s="10"/>
      <c r="D139" s="35"/>
      <c r="E139" s="35"/>
      <c r="F139" s="35"/>
      <c r="G139" s="59"/>
      <c r="H139" s="35"/>
      <c r="I139" s="35"/>
      <c r="J139" s="10"/>
      <c r="K139" s="10"/>
    </row>
    <row r="140" spans="1:11">
      <c r="A140" s="32"/>
      <c r="B140" s="12" t="s">
        <v>189</v>
      </c>
      <c r="C140" s="10" t="s">
        <v>190</v>
      </c>
      <c r="D140" s="35"/>
      <c r="E140" s="35"/>
      <c r="F140" s="35"/>
      <c r="G140" s="59"/>
      <c r="H140" s="35"/>
      <c r="I140" s="35"/>
      <c r="J140" s="10"/>
      <c r="K140" s="10"/>
    </row>
    <row r="141" spans="1:11">
      <c r="A141" s="32">
        <v>9</v>
      </c>
      <c r="B141" s="12" t="s">
        <v>149</v>
      </c>
      <c r="C141" s="62" t="s">
        <v>191</v>
      </c>
      <c r="D141" s="35">
        <f>'5-P3 Support'!M22</f>
        <v>488269.21141922707</v>
      </c>
      <c r="E141" s="35"/>
      <c r="F141" s="35" t="s">
        <v>24</v>
      </c>
      <c r="G141" s="59">
        <f>+G101</f>
        <v>0.76738237337416204</v>
      </c>
      <c r="H141" s="35"/>
      <c r="I141" s="35">
        <f>+G141*D141</f>
        <v>374689.18630441697</v>
      </c>
      <c r="J141" s="10"/>
      <c r="K141" s="61"/>
    </row>
    <row r="142" spans="1:11">
      <c r="A142" s="32">
        <f>+A141+1</f>
        <v>10</v>
      </c>
      <c r="B142" s="76" t="s">
        <v>88</v>
      </c>
      <c r="C142" s="62" t="s">
        <v>192</v>
      </c>
      <c r="D142" s="35">
        <f>'5-P3 Support'!C41</f>
        <v>0</v>
      </c>
      <c r="E142" s="35"/>
      <c r="F142" s="35" t="s">
        <v>90</v>
      </c>
      <c r="G142" s="59">
        <f>+G126</f>
        <v>0.76738237337416204</v>
      </c>
      <c r="H142" s="35"/>
      <c r="I142" s="35">
        <f>+G142*D142</f>
        <v>0</v>
      </c>
      <c r="J142" s="10"/>
      <c r="K142" s="61"/>
    </row>
    <row r="143" spans="1:11">
      <c r="A143" s="32">
        <f>+A142+1</f>
        <v>11</v>
      </c>
      <c r="B143" s="12" t="s">
        <v>91</v>
      </c>
      <c r="C143" s="62" t="s">
        <v>193</v>
      </c>
      <c r="D143" s="35">
        <f>'5-P3 Support'!N41</f>
        <v>0</v>
      </c>
      <c r="E143" s="35"/>
      <c r="F143" s="35" t="s">
        <v>93</v>
      </c>
      <c r="G143" s="59">
        <f>+G132</f>
        <v>0.76738237337416204</v>
      </c>
      <c r="H143" s="35"/>
      <c r="I143" s="35">
        <f>+G143*D143</f>
        <v>0</v>
      </c>
      <c r="J143" s="10"/>
      <c r="K143" s="61"/>
    </row>
    <row r="144" spans="1:11" ht="13.5" thickBot="1">
      <c r="A144" s="32" t="s">
        <v>194</v>
      </c>
      <c r="B144" s="33" t="s">
        <v>195</v>
      </c>
      <c r="C144" s="23" t="s">
        <v>196</v>
      </c>
      <c r="D144" s="60">
        <f>'5-P3 Support'!D41</f>
        <v>0</v>
      </c>
      <c r="E144" s="35"/>
      <c r="F144" s="35" t="s">
        <v>39</v>
      </c>
      <c r="G144" s="59">
        <v>1</v>
      </c>
      <c r="H144" s="35"/>
      <c r="I144" s="60">
        <f>+G144*D144</f>
        <v>0</v>
      </c>
      <c r="J144" s="10"/>
      <c r="K144" s="61"/>
    </row>
    <row r="145" spans="1:11">
      <c r="A145" s="32">
        <v>12</v>
      </c>
      <c r="B145" s="12" t="s">
        <v>197</v>
      </c>
      <c r="C145" s="10" t="s">
        <v>198</v>
      </c>
      <c r="D145" s="35">
        <f>SUM(D141:D144)</f>
        <v>488269.21141922707</v>
      </c>
      <c r="E145" s="35"/>
      <c r="F145" s="35"/>
      <c r="G145" s="59"/>
      <c r="H145" s="35"/>
      <c r="I145" s="35">
        <f>SUM(I141:I144)</f>
        <v>374689.18630441697</v>
      </c>
      <c r="J145" s="10"/>
      <c r="K145" s="10"/>
    </row>
    <row r="146" spans="1:11">
      <c r="A146" s="32"/>
      <c r="B146" s="12"/>
      <c r="C146" s="10"/>
      <c r="D146" s="35"/>
      <c r="E146" s="35"/>
      <c r="F146" s="35"/>
      <c r="G146" s="59"/>
      <c r="H146" s="35"/>
      <c r="I146" s="35"/>
      <c r="J146" s="10"/>
      <c r="K146" s="10"/>
    </row>
    <row r="147" spans="1:11">
      <c r="A147" s="32"/>
      <c r="B147" s="12" t="s">
        <v>199</v>
      </c>
      <c r="C147" s="4" t="s">
        <v>200</v>
      </c>
      <c r="D147" s="35"/>
      <c r="E147" s="35"/>
      <c r="F147" s="35"/>
      <c r="G147" s="59"/>
      <c r="H147" s="35"/>
      <c r="I147" s="35"/>
      <c r="J147" s="10"/>
      <c r="K147" s="10"/>
    </row>
    <row r="148" spans="1:11">
      <c r="A148" s="32"/>
      <c r="B148" s="12" t="s">
        <v>201</v>
      </c>
      <c r="C148" s="4"/>
      <c r="D148" s="35"/>
      <c r="E148" s="35"/>
      <c r="F148" s="35"/>
      <c r="G148" s="59"/>
      <c r="H148" s="35"/>
      <c r="I148" s="35"/>
      <c r="J148" s="10"/>
      <c r="K148" s="61"/>
    </row>
    <row r="149" spans="1:11">
      <c r="A149" s="32">
        <f>+A145+1</f>
        <v>13</v>
      </c>
      <c r="B149" s="12" t="s">
        <v>202</v>
      </c>
      <c r="C149" s="10" t="s">
        <v>203</v>
      </c>
      <c r="D149" s="35">
        <f>'5-P3 Support'!E41</f>
        <v>0</v>
      </c>
      <c r="E149" s="35"/>
      <c r="F149" s="35" t="s">
        <v>90</v>
      </c>
      <c r="G149" s="59">
        <f>+G142</f>
        <v>0.76738237337416204</v>
      </c>
      <c r="H149" s="35"/>
      <c r="I149" s="35">
        <f>+G149*D149</f>
        <v>0</v>
      </c>
      <c r="J149" s="10"/>
      <c r="K149" s="61"/>
    </row>
    <row r="150" spans="1:11">
      <c r="A150" s="32">
        <f t="shared" ref="A150:A156" si="1">+A149+1</f>
        <v>14</v>
      </c>
      <c r="B150" s="12" t="s">
        <v>204</v>
      </c>
      <c r="C150" s="10" t="s">
        <v>205</v>
      </c>
      <c r="D150" s="35">
        <f>'5-P3 Support'!F41</f>
        <v>0</v>
      </c>
      <c r="E150" s="35"/>
      <c r="F150" s="35" t="s">
        <v>90</v>
      </c>
      <c r="G150" s="59">
        <f>+G149</f>
        <v>0.76738237337416204</v>
      </c>
      <c r="H150" s="35"/>
      <c r="I150" s="35">
        <f>+G150*D150</f>
        <v>0</v>
      </c>
      <c r="J150" s="10"/>
      <c r="K150" s="61"/>
    </row>
    <row r="151" spans="1:11">
      <c r="A151" s="32">
        <f t="shared" si="1"/>
        <v>15</v>
      </c>
      <c r="B151" s="12" t="s">
        <v>206</v>
      </c>
      <c r="C151" s="10" t="s">
        <v>9</v>
      </c>
      <c r="D151" s="35"/>
      <c r="E151" s="35"/>
      <c r="F151" s="35"/>
      <c r="G151" s="59"/>
      <c r="H151" s="35"/>
      <c r="I151" s="35"/>
      <c r="J151" s="10"/>
      <c r="K151" s="61"/>
    </row>
    <row r="152" spans="1:11">
      <c r="A152" s="32">
        <f t="shared" si="1"/>
        <v>16</v>
      </c>
      <c r="B152" s="12" t="s">
        <v>207</v>
      </c>
      <c r="C152" s="10" t="s">
        <v>208</v>
      </c>
      <c r="D152" s="35">
        <f>'5-P3 Support'!G41</f>
        <v>434115.45933297253</v>
      </c>
      <c r="E152" s="35"/>
      <c r="F152" s="35" t="s">
        <v>141</v>
      </c>
      <c r="G152" s="59">
        <f>+G70</f>
        <v>0.76738237337416204</v>
      </c>
      <c r="H152" s="35"/>
      <c r="I152" s="35">
        <f>+G152*D152</f>
        <v>333132.551501351</v>
      </c>
      <c r="J152" s="10"/>
      <c r="K152" s="61"/>
    </row>
    <row r="153" spans="1:11">
      <c r="A153" s="32">
        <f t="shared" si="1"/>
        <v>17</v>
      </c>
      <c r="B153" s="12" t="s">
        <v>209</v>
      </c>
      <c r="C153" s="10" t="s">
        <v>210</v>
      </c>
      <c r="D153" s="35">
        <f>'5-P3 Support'!H41</f>
        <v>0</v>
      </c>
      <c r="E153" s="35"/>
      <c r="F153" s="35" t="s">
        <v>83</v>
      </c>
      <c r="G153" s="59" t="s">
        <v>114</v>
      </c>
      <c r="H153" s="35"/>
      <c r="I153" s="35">
        <v>0</v>
      </c>
      <c r="J153" s="10"/>
      <c r="K153" s="61"/>
    </row>
    <row r="154" spans="1:11">
      <c r="A154" s="32">
        <f t="shared" si="1"/>
        <v>18</v>
      </c>
      <c r="B154" s="12" t="s">
        <v>211</v>
      </c>
      <c r="C154" s="10" t="s">
        <v>212</v>
      </c>
      <c r="D154" s="35">
        <f>'5-P3 Support'!I41</f>
        <v>0</v>
      </c>
      <c r="E154" s="35"/>
      <c r="F154" s="35" t="s">
        <v>141</v>
      </c>
      <c r="G154" s="59">
        <f>+G152</f>
        <v>0.76738237337416204</v>
      </c>
      <c r="H154" s="35"/>
      <c r="I154" s="35">
        <f>+G154*D154</f>
        <v>0</v>
      </c>
      <c r="J154" s="10"/>
      <c r="K154" s="61"/>
    </row>
    <row r="155" spans="1:11" ht="13.5" thickBot="1">
      <c r="A155" s="32">
        <f t="shared" si="1"/>
        <v>19</v>
      </c>
      <c r="B155" s="12" t="s">
        <v>213</v>
      </c>
      <c r="C155" s="10" t="s">
        <v>214</v>
      </c>
      <c r="D155" s="60">
        <f>'5-P3 Support'!J41</f>
        <v>0</v>
      </c>
      <c r="E155" s="35"/>
      <c r="F155" s="35" t="s">
        <v>141</v>
      </c>
      <c r="G155" s="59">
        <f>+G152</f>
        <v>0.76738237337416204</v>
      </c>
      <c r="H155" s="35"/>
      <c r="I155" s="60">
        <f>+G155*D155</f>
        <v>0</v>
      </c>
      <c r="J155" s="10"/>
      <c r="K155" s="61"/>
    </row>
    <row r="156" spans="1:11">
      <c r="A156" s="32">
        <f t="shared" si="1"/>
        <v>20</v>
      </c>
      <c r="B156" s="12" t="s">
        <v>215</v>
      </c>
      <c r="C156" s="10" t="s">
        <v>216</v>
      </c>
      <c r="D156" s="35">
        <f>SUM(D149:D155)</f>
        <v>434115.45933297253</v>
      </c>
      <c r="E156" s="35"/>
      <c r="F156" s="35"/>
      <c r="G156" s="59"/>
      <c r="H156" s="35"/>
      <c r="I156" s="35">
        <f>SUM(I149:I155)</f>
        <v>333132.551501351</v>
      </c>
      <c r="J156" s="10"/>
      <c r="K156" s="10"/>
    </row>
    <row r="157" spans="1:11">
      <c r="A157" s="32"/>
      <c r="B157" s="12"/>
      <c r="C157" s="10"/>
      <c r="D157" s="10"/>
      <c r="E157" s="10"/>
      <c r="F157" s="10"/>
      <c r="G157" s="59"/>
      <c r="H157" s="10"/>
      <c r="I157" s="10"/>
      <c r="J157" s="10"/>
      <c r="K157" s="10"/>
    </row>
    <row r="158" spans="1:11">
      <c r="A158" s="32"/>
      <c r="B158" s="12" t="s">
        <v>217</v>
      </c>
      <c r="C158" s="10" t="str">
        <f>"(Note "&amp;A$278&amp;")"</f>
        <v>(Note K)</v>
      </c>
      <c r="D158" s="10"/>
      <c r="E158" s="10"/>
      <c r="F158" s="4"/>
      <c r="G158" s="59"/>
      <c r="H158" s="10"/>
      <c r="I158" s="4"/>
      <c r="J158" s="10"/>
      <c r="K158" s="4"/>
    </row>
    <row r="159" spans="1:11">
      <c r="A159" s="32">
        <v>21</v>
      </c>
      <c r="B159" s="706" t="s">
        <v>1171</v>
      </c>
      <c r="C159" s="571" t="s">
        <v>1174</v>
      </c>
      <c r="D159" s="707">
        <f>'10 - Income Tax Allowance '!M28</f>
        <v>0.20652455397773772</v>
      </c>
      <c r="E159" s="571"/>
      <c r="F159" s="708"/>
      <c r="G159" s="569"/>
      <c r="H159" s="571"/>
      <c r="I159" s="708"/>
      <c r="J159" s="10"/>
      <c r="K159" s="4"/>
    </row>
    <row r="160" spans="1:11">
      <c r="A160" s="32">
        <f>+A159+1</f>
        <v>22</v>
      </c>
      <c r="B160" s="708" t="s">
        <v>218</v>
      </c>
      <c r="C160" s="571" t="s">
        <v>1175</v>
      </c>
      <c r="D160" s="707">
        <f>IF(I228&gt;0,(D159/(1-D159))*(1-I228/I231),0)</f>
        <v>0.20319276356543281</v>
      </c>
      <c r="E160" s="571"/>
      <c r="F160" s="708"/>
      <c r="G160" s="569"/>
      <c r="H160" s="571"/>
      <c r="I160" s="708"/>
      <c r="J160" s="10"/>
      <c r="K160" s="4"/>
    </row>
    <row r="161" spans="1:11" ht="14.25" customHeight="1">
      <c r="A161" s="32"/>
      <c r="B161" s="574" t="s">
        <v>219</v>
      </c>
      <c r="C161" s="571" t="s">
        <v>220</v>
      </c>
      <c r="D161" s="571"/>
      <c r="E161" s="571"/>
      <c r="F161" s="708"/>
      <c r="G161" s="569"/>
      <c r="H161" s="571"/>
      <c r="I161" s="708"/>
      <c r="J161" s="10"/>
      <c r="K161" s="4"/>
    </row>
    <row r="162" spans="1:11">
      <c r="A162" s="32"/>
      <c r="B162" s="574"/>
      <c r="C162" s="152"/>
      <c r="D162" s="571"/>
      <c r="E162" s="571"/>
      <c r="F162" s="708"/>
      <c r="G162" s="569"/>
      <c r="H162" s="571"/>
      <c r="I162" s="708"/>
      <c r="J162" s="10"/>
      <c r="K162" s="4"/>
    </row>
    <row r="163" spans="1:11">
      <c r="A163" s="32">
        <f>+A160+1</f>
        <v>23</v>
      </c>
      <c r="B163" s="706" t="str">
        <f>"      1 / (1 - T)  =  (from Line "&amp;A159&amp;")"</f>
        <v xml:space="preserve">      1 / (1 - T)  =  (from Line 21)</v>
      </c>
      <c r="C163" s="571" t="s">
        <v>221</v>
      </c>
      <c r="D163" s="707">
        <f>IF(D159&gt;0,1/(1-D159),0)</f>
        <v>1.2602784434137906</v>
      </c>
      <c r="E163" s="571"/>
      <c r="F163" s="708"/>
      <c r="G163" s="569"/>
      <c r="H163" s="571"/>
      <c r="I163" s="63"/>
      <c r="J163" s="10"/>
      <c r="K163" s="4"/>
    </row>
    <row r="164" spans="1:11">
      <c r="A164" s="32">
        <f>+A163+1</f>
        <v>24</v>
      </c>
      <c r="B164" s="574" t="s">
        <v>222</v>
      </c>
      <c r="C164" s="571" t="s">
        <v>223</v>
      </c>
      <c r="D164" s="63">
        <f>-'5-P3 Support'!K41</f>
        <v>0</v>
      </c>
      <c r="E164" s="571"/>
      <c r="F164" s="708"/>
      <c r="G164" s="569"/>
      <c r="H164" s="571"/>
      <c r="I164" s="63"/>
      <c r="J164" s="10"/>
      <c r="K164" s="4"/>
    </row>
    <row r="165" spans="1:11">
      <c r="A165" s="32" t="s">
        <v>224</v>
      </c>
      <c r="B165" s="574" t="s">
        <v>225</v>
      </c>
      <c r="C165" s="571" t="s">
        <v>226</v>
      </c>
      <c r="D165" s="63">
        <f>-'5-P3 Support'!L41</f>
        <v>0</v>
      </c>
      <c r="E165" s="571"/>
      <c r="F165" s="708"/>
      <c r="G165" s="569"/>
      <c r="H165" s="571"/>
      <c r="I165" s="63"/>
      <c r="J165" s="10"/>
      <c r="K165" s="4"/>
    </row>
    <row r="166" spans="1:11">
      <c r="A166" s="32" t="s">
        <v>227</v>
      </c>
      <c r="B166" s="574" t="s">
        <v>228</v>
      </c>
      <c r="C166" s="571" t="s">
        <v>229</v>
      </c>
      <c r="D166" s="63">
        <f>+'5-P3 Support'!M41</f>
        <v>0</v>
      </c>
      <c r="E166" s="571"/>
      <c r="F166" s="708"/>
      <c r="G166" s="569"/>
      <c r="H166" s="571"/>
      <c r="I166" s="63"/>
      <c r="J166" s="10"/>
      <c r="K166" s="4"/>
    </row>
    <row r="167" spans="1:11">
      <c r="A167" s="32">
        <v>25</v>
      </c>
      <c r="B167" s="706" t="s">
        <v>230</v>
      </c>
      <c r="C167" s="709" t="s">
        <v>1176</v>
      </c>
      <c r="D167" s="710">
        <f>(I231)*D109*D160</f>
        <v>245822.28860635473</v>
      </c>
      <c r="E167" s="711"/>
      <c r="F167" s="711"/>
      <c r="G167" s="569"/>
      <c r="H167" s="711"/>
      <c r="I167" s="710">
        <f>($I$231)*I109*$D$160</f>
        <v>188639.69125901273</v>
      </c>
      <c r="J167" s="10"/>
      <c r="K167" s="23" t="s">
        <v>9</v>
      </c>
    </row>
    <row r="168" spans="1:11">
      <c r="A168" s="32">
        <v>26</v>
      </c>
      <c r="B168" s="4" t="s">
        <v>231</v>
      </c>
      <c r="C168" s="79" t="s">
        <v>232</v>
      </c>
      <c r="D168" s="69">
        <f>+D$163*D164</f>
        <v>0</v>
      </c>
      <c r="E168" s="22"/>
      <c r="F168" s="1" t="s">
        <v>119</v>
      </c>
      <c r="G168" s="59">
        <f>G86</f>
        <v>0.76738237337416215</v>
      </c>
      <c r="H168" s="22"/>
      <c r="I168" s="69">
        <f>+D168*G168</f>
        <v>0</v>
      </c>
      <c r="J168" s="10"/>
      <c r="K168" s="23"/>
    </row>
    <row r="169" spans="1:11">
      <c r="A169" s="32" t="s">
        <v>233</v>
      </c>
      <c r="B169" s="4" t="s">
        <v>234</v>
      </c>
      <c r="C169" s="79" t="s">
        <v>235</v>
      </c>
      <c r="D169" s="69">
        <f>+D$163*D165</f>
        <v>0</v>
      </c>
      <c r="E169" s="22"/>
      <c r="F169" s="1" t="s">
        <v>119</v>
      </c>
      <c r="G169" s="59">
        <f>G168</f>
        <v>0.76738237337416215</v>
      </c>
      <c r="H169" s="22"/>
      <c r="I169" s="69">
        <f>+D169*G169</f>
        <v>0</v>
      </c>
      <c r="J169" s="10"/>
      <c r="K169" s="23"/>
    </row>
    <row r="170" spans="1:11" ht="13.5" thickBot="1">
      <c r="A170" s="32" t="s">
        <v>236</v>
      </c>
      <c r="B170" s="4" t="s">
        <v>237</v>
      </c>
      <c r="C170" s="79" t="s">
        <v>238</v>
      </c>
      <c r="D170" s="80">
        <f>+D$163*D166</f>
        <v>0</v>
      </c>
      <c r="E170" s="22"/>
      <c r="F170" s="1" t="s">
        <v>119</v>
      </c>
      <c r="G170" s="59">
        <f>G169</f>
        <v>0.76738237337416215</v>
      </c>
      <c r="H170" s="22"/>
      <c r="I170" s="80">
        <f>+D170*G170</f>
        <v>0</v>
      </c>
      <c r="J170" s="10"/>
      <c r="K170" s="23"/>
    </row>
    <row r="171" spans="1:11">
      <c r="A171" s="32">
        <v>27</v>
      </c>
      <c r="B171" s="81" t="s">
        <v>239</v>
      </c>
      <c r="C171" s="4" t="s">
        <v>240</v>
      </c>
      <c r="D171" s="69">
        <f>SUM(D167:D170)</f>
        <v>245822.28860635473</v>
      </c>
      <c r="E171" s="22"/>
      <c r="F171" s="22" t="s">
        <v>9</v>
      </c>
      <c r="G171" s="26" t="s">
        <v>9</v>
      </c>
      <c r="H171" s="22"/>
      <c r="I171" s="69">
        <f>SUM(I167:I170)</f>
        <v>188639.69125901273</v>
      </c>
      <c r="J171" s="10"/>
      <c r="K171" s="10"/>
    </row>
    <row r="172" spans="1:11">
      <c r="A172" s="32"/>
      <c r="B172" s="4"/>
      <c r="C172" s="82"/>
      <c r="D172" s="35"/>
      <c r="E172" s="10"/>
      <c r="F172" s="10"/>
      <c r="G172" s="27"/>
      <c r="H172" s="10"/>
      <c r="I172" s="35"/>
      <c r="J172" s="10"/>
      <c r="K172" s="10"/>
    </row>
    <row r="173" spans="1:11">
      <c r="A173" s="32"/>
      <c r="B173" s="12" t="s">
        <v>241</v>
      </c>
      <c r="J173" s="10"/>
      <c r="K173" s="4"/>
    </row>
    <row r="174" spans="1:11">
      <c r="A174" s="32">
        <v>28</v>
      </c>
      <c r="B174" s="81" t="s">
        <v>242</v>
      </c>
      <c r="C174" s="77" t="s">
        <v>243</v>
      </c>
      <c r="D174" s="63">
        <f>+$I231*D109</f>
        <v>1209798.4411103018</v>
      </c>
      <c r="E174" s="22"/>
      <c r="F174" s="22" t="s">
        <v>83</v>
      </c>
      <c r="G174" s="83"/>
      <c r="H174" s="22"/>
      <c r="I174" s="35">
        <f>+$I231*I109</f>
        <v>928377.9990435848</v>
      </c>
      <c r="K174" s="61"/>
    </row>
    <row r="175" spans="1:11">
      <c r="A175" s="32"/>
      <c r="B175" s="12"/>
      <c r="C175" s="4"/>
      <c r="D175" s="35"/>
      <c r="E175" s="22"/>
      <c r="F175" s="22"/>
      <c r="G175" s="83"/>
      <c r="H175" s="22"/>
      <c r="I175" s="35"/>
      <c r="J175" s="10"/>
      <c r="K175" s="61"/>
    </row>
    <row r="176" spans="1:11" ht="13.5" thickBot="1">
      <c r="A176" s="32">
        <f>A174+1</f>
        <v>29</v>
      </c>
      <c r="B176" s="12" t="s">
        <v>244</v>
      </c>
      <c r="C176" s="10" t="s">
        <v>245</v>
      </c>
      <c r="D176" s="84">
        <f>+D138+D145+D156+D171+D174</f>
        <v>8778747.210522715</v>
      </c>
      <c r="E176" s="22"/>
      <c r="F176" s="22"/>
      <c r="G176" s="22"/>
      <c r="H176" s="22"/>
      <c r="I176" s="84">
        <f>+I174+I171+I156+I145+I138</f>
        <v>6736655.8696627254</v>
      </c>
      <c r="J176" s="12"/>
      <c r="K176" s="12"/>
    </row>
    <row r="177" spans="1:13" ht="13.5" thickTop="1">
      <c r="A177" s="32"/>
      <c r="B177" s="12"/>
      <c r="C177" s="10"/>
      <c r="D177" s="22"/>
      <c r="E177" s="22"/>
      <c r="F177" s="22"/>
      <c r="G177" s="22"/>
      <c r="H177" s="22"/>
      <c r="I177" s="35"/>
      <c r="J177" s="12"/>
      <c r="K177" s="12"/>
    </row>
    <row r="178" spans="1:13">
      <c r="A178" s="38">
        <v>30</v>
      </c>
      <c r="B178" s="39" t="s">
        <v>246</v>
      </c>
      <c r="C178" s="40"/>
      <c r="D178" s="35"/>
      <c r="E178" s="35"/>
      <c r="F178" s="35"/>
      <c r="G178" s="35"/>
      <c r="H178" s="35"/>
      <c r="I178" s="35"/>
      <c r="K178" s="39"/>
    </row>
    <row r="179" spans="1:13" ht="13.5" customHeight="1">
      <c r="B179" s="46" t="s">
        <v>247</v>
      </c>
      <c r="C179" s="85"/>
      <c r="D179" s="35"/>
      <c r="E179" s="35"/>
      <c r="F179" s="35"/>
      <c r="G179" s="35"/>
      <c r="H179" s="35"/>
      <c r="I179" s="35"/>
      <c r="K179" s="39"/>
    </row>
    <row r="180" spans="1:13">
      <c r="A180" s="38"/>
      <c r="B180" s="39" t="s">
        <v>248</v>
      </c>
      <c r="C180" s="40"/>
      <c r="D180" s="86">
        <v>0</v>
      </c>
      <c r="E180" s="35"/>
      <c r="F180" s="35" t="s">
        <v>39</v>
      </c>
      <c r="G180" s="45">
        <v>1</v>
      </c>
      <c r="H180" s="35"/>
      <c r="I180" s="73">
        <f>+D180</f>
        <v>0</v>
      </c>
      <c r="K180" s="39"/>
    </row>
    <row r="181" spans="1:13">
      <c r="A181" s="38"/>
      <c r="B181" s="39"/>
      <c r="C181" s="40"/>
      <c r="D181" s="35"/>
      <c r="E181" s="35"/>
      <c r="F181" s="35"/>
      <c r="G181" s="21"/>
      <c r="H181" s="35"/>
      <c r="I181" s="35"/>
      <c r="K181" s="39"/>
    </row>
    <row r="182" spans="1:13">
      <c r="A182" s="38" t="s">
        <v>249</v>
      </c>
      <c r="B182" s="39" t="s">
        <v>250</v>
      </c>
      <c r="C182" s="40"/>
      <c r="D182" s="35"/>
      <c r="E182" s="35"/>
      <c r="F182" s="35"/>
      <c r="G182" s="21"/>
      <c r="H182" s="35"/>
      <c r="I182" s="35"/>
      <c r="K182" s="39"/>
    </row>
    <row r="183" spans="1:13" ht="15.75" customHeight="1">
      <c r="B183" s="46" t="s">
        <v>247</v>
      </c>
      <c r="C183" s="85"/>
      <c r="D183" s="35"/>
      <c r="E183" s="35"/>
      <c r="F183" s="35"/>
      <c r="G183" s="21"/>
      <c r="H183" s="35"/>
      <c r="I183" s="35"/>
      <c r="K183" s="39"/>
    </row>
    <row r="184" spans="1:13">
      <c r="A184" s="38"/>
      <c r="B184" s="39" t="s">
        <v>251</v>
      </c>
      <c r="C184" s="40"/>
      <c r="D184" s="86">
        <v>0</v>
      </c>
      <c r="E184" s="35"/>
      <c r="F184" s="35" t="s">
        <v>39</v>
      </c>
      <c r="G184" s="45">
        <v>1</v>
      </c>
      <c r="H184" s="35"/>
      <c r="I184" s="73">
        <f>+D184</f>
        <v>0</v>
      </c>
      <c r="K184" s="39"/>
    </row>
    <row r="185" spans="1:13">
      <c r="A185" s="38"/>
      <c r="B185" s="39"/>
      <c r="C185" s="40"/>
      <c r="D185" s="35"/>
      <c r="E185" s="35"/>
      <c r="F185" s="35"/>
      <c r="G185" s="45"/>
      <c r="H185" s="35"/>
      <c r="I185" s="35"/>
      <c r="K185" s="39"/>
    </row>
    <row r="186" spans="1:13">
      <c r="A186" s="38" t="s">
        <v>252</v>
      </c>
      <c r="B186" s="39" t="s">
        <v>253</v>
      </c>
      <c r="C186" s="40" t="s">
        <v>254</v>
      </c>
      <c r="D186" s="35">
        <f>+'1-Project Rev Req'!R99</f>
        <v>0</v>
      </c>
      <c r="E186" s="35"/>
      <c r="F186" s="35"/>
      <c r="G186" s="87"/>
      <c r="H186" s="35"/>
      <c r="I186" s="35">
        <f>+'1-Project Rev Req'!R99</f>
        <v>0</v>
      </c>
      <c r="K186" s="39"/>
    </row>
    <row r="187" spans="1:13">
      <c r="A187" s="38"/>
      <c r="B187" s="39" t="s">
        <v>255</v>
      </c>
      <c r="C187" s="40"/>
      <c r="D187" s="35"/>
      <c r="E187" s="35"/>
      <c r="F187" s="35"/>
      <c r="G187" s="87"/>
      <c r="H187" s="35"/>
      <c r="I187" s="35"/>
      <c r="K187" s="39"/>
    </row>
    <row r="188" spans="1:13" ht="13.5" thickBot="1">
      <c r="A188" s="38"/>
      <c r="B188" s="39"/>
      <c r="C188" s="40"/>
      <c r="D188" s="35"/>
      <c r="E188" s="35"/>
      <c r="F188" s="35"/>
      <c r="G188" s="87"/>
      <c r="H188" s="35"/>
      <c r="I188" s="35"/>
      <c r="K188" s="39"/>
    </row>
    <row r="189" spans="1:13" ht="13.5" thickBot="1">
      <c r="A189" s="38">
        <v>31</v>
      </c>
      <c r="B189" s="39" t="s">
        <v>256</v>
      </c>
      <c r="C189" s="40"/>
      <c r="D189" s="88">
        <f>+D176-D180-D184+D186</f>
        <v>8778747.210522715</v>
      </c>
      <c r="E189" s="35"/>
      <c r="F189" s="35"/>
      <c r="G189" s="35"/>
      <c r="H189" s="35"/>
      <c r="I189" s="89">
        <f>+I176-I180-I184+I186</f>
        <v>6736655.8696627254</v>
      </c>
      <c r="K189" s="39"/>
      <c r="L189" s="90"/>
      <c r="M189" s="90"/>
    </row>
    <row r="190" spans="1:13" ht="13.5" thickTop="1">
      <c r="A190" s="38"/>
      <c r="B190" s="39" t="s">
        <v>257</v>
      </c>
      <c r="C190" s="40"/>
      <c r="D190" s="35"/>
      <c r="E190" s="35"/>
      <c r="F190" s="35"/>
      <c r="G190" s="35"/>
      <c r="H190" s="35"/>
      <c r="I190" s="35"/>
      <c r="K190" s="39"/>
    </row>
    <row r="191" spans="1:13">
      <c r="A191" s="32"/>
      <c r="B191" s="12"/>
      <c r="C191" s="10"/>
      <c r="D191" s="22"/>
      <c r="E191" s="22"/>
      <c r="F191" s="22"/>
      <c r="G191" s="22"/>
      <c r="H191" s="22"/>
      <c r="I191" s="35"/>
      <c r="J191" s="12"/>
      <c r="K191" s="12"/>
    </row>
    <row r="192" spans="1:13">
      <c r="A192" s="32"/>
      <c r="B192" s="1"/>
      <c r="C192" s="22"/>
      <c r="D192" s="22"/>
      <c r="E192" s="22"/>
      <c r="F192" s="22"/>
      <c r="G192" s="22"/>
      <c r="H192" s="22"/>
      <c r="I192" s="22"/>
      <c r="J192" s="12"/>
      <c r="K192" s="12"/>
    </row>
    <row r="193" spans="1:11">
      <c r="A193" s="6"/>
      <c r="B193" s="4"/>
      <c r="C193" s="4"/>
      <c r="D193" s="4"/>
      <c r="E193" s="4"/>
      <c r="F193" s="4"/>
      <c r="G193" s="4"/>
      <c r="H193" s="4"/>
      <c r="I193" s="4"/>
      <c r="J193" s="10"/>
      <c r="K193" s="67" t="str">
        <f>+K1</f>
        <v>Attachment O-GLH</v>
      </c>
    </row>
    <row r="194" spans="1:11">
      <c r="A194" s="6"/>
      <c r="B194" s="4"/>
      <c r="C194" s="4"/>
      <c r="D194" s="4"/>
      <c r="E194" s="4"/>
      <c r="F194" s="4"/>
      <c r="G194" s="4"/>
      <c r="H194" s="4"/>
      <c r="I194" s="4"/>
      <c r="J194" s="10"/>
      <c r="K194" s="67" t="s">
        <v>258</v>
      </c>
    </row>
    <row r="195" spans="1:11">
      <c r="A195" s="6"/>
      <c r="B195" s="12" t="s">
        <v>2</v>
      </c>
      <c r="C195" s="4"/>
      <c r="D195" s="91" t="s">
        <v>3</v>
      </c>
      <c r="E195" s="4"/>
      <c r="F195" s="4"/>
      <c r="G195" s="4"/>
      <c r="H195" s="4"/>
      <c r="I195" s="1"/>
      <c r="J195" s="10"/>
      <c r="K195" s="92" t="str">
        <f>K3</f>
        <v>For the 12 months ended 12/31/2020</v>
      </c>
    </row>
    <row r="196" spans="1:11">
      <c r="A196" s="6"/>
      <c r="B196" s="12"/>
      <c r="C196" s="4"/>
      <c r="D196" s="91" t="s">
        <v>4</v>
      </c>
      <c r="E196" s="4"/>
      <c r="F196" s="4"/>
      <c r="G196" s="4"/>
      <c r="H196" s="4"/>
      <c r="I196" s="4"/>
      <c r="J196" s="10"/>
      <c r="K196" s="10"/>
    </row>
    <row r="197" spans="1:11">
      <c r="A197" s="6"/>
      <c r="B197" s="4"/>
      <c r="C197" s="4"/>
      <c r="D197" s="91" t="str">
        <f>+D116</f>
        <v>GridLiance Heartland LLC</v>
      </c>
      <c r="E197" s="4"/>
      <c r="F197" s="4"/>
      <c r="G197" s="4"/>
      <c r="H197" s="4"/>
      <c r="I197" s="4"/>
      <c r="J197" s="10"/>
      <c r="K197" s="10"/>
    </row>
    <row r="198" spans="1:11">
      <c r="A198" s="730"/>
      <c r="B198" s="730"/>
      <c r="C198" s="730"/>
      <c r="D198" s="730"/>
      <c r="E198" s="730"/>
      <c r="F198" s="730"/>
      <c r="G198" s="730"/>
      <c r="H198" s="730"/>
      <c r="I198" s="730"/>
      <c r="J198" s="730"/>
      <c r="K198" s="730"/>
    </row>
    <row r="199" spans="1:11" s="72" customFormat="1">
      <c r="A199" s="93"/>
      <c r="B199" s="17" t="s">
        <v>6</v>
      </c>
      <c r="C199" s="17" t="s">
        <v>7</v>
      </c>
      <c r="D199" s="17" t="s">
        <v>8</v>
      </c>
      <c r="E199" s="10" t="s">
        <v>9</v>
      </c>
      <c r="F199" s="10"/>
      <c r="G199" s="16" t="s">
        <v>10</v>
      </c>
      <c r="H199" s="10"/>
      <c r="I199" s="16" t="s">
        <v>11</v>
      </c>
      <c r="J199" s="70"/>
      <c r="K199" s="70"/>
    </row>
    <row r="200" spans="1:11">
      <c r="A200" s="6"/>
      <c r="B200" s="4"/>
      <c r="C200" s="12"/>
      <c r="D200" s="12"/>
      <c r="E200" s="12"/>
      <c r="F200" s="12"/>
      <c r="G200" s="12"/>
      <c r="H200" s="12"/>
      <c r="I200" s="12"/>
      <c r="J200" s="12"/>
      <c r="K200" s="12"/>
    </row>
    <row r="201" spans="1:11">
      <c r="A201" s="6"/>
      <c r="B201" s="4"/>
      <c r="C201" s="58" t="s">
        <v>259</v>
      </c>
      <c r="D201" s="4"/>
      <c r="E201" s="12"/>
      <c r="F201" s="12"/>
      <c r="G201" s="12"/>
      <c r="H201" s="12"/>
      <c r="I201" s="12"/>
      <c r="J201" s="10"/>
      <c r="K201" s="10"/>
    </row>
    <row r="202" spans="1:11">
      <c r="A202" s="6" t="s">
        <v>12</v>
      </c>
      <c r="B202" s="58"/>
      <c r="C202" s="12"/>
      <c r="D202" s="12"/>
      <c r="E202" s="12"/>
      <c r="F202" s="12"/>
      <c r="G202" s="12"/>
      <c r="H202" s="12"/>
      <c r="I202" s="12"/>
      <c r="J202" s="10"/>
      <c r="K202" s="10"/>
    </row>
    <row r="203" spans="1:11" ht="13.5" thickBot="1">
      <c r="A203" s="18" t="s">
        <v>14</v>
      </c>
      <c r="B203" s="5" t="s">
        <v>260</v>
      </c>
      <c r="C203" s="12"/>
      <c r="D203" s="12"/>
      <c r="E203" s="12"/>
      <c r="F203" s="12"/>
      <c r="G203" s="12"/>
      <c r="H203" s="4"/>
      <c r="I203" s="4"/>
      <c r="J203" s="10"/>
      <c r="K203" s="10"/>
    </row>
    <row r="204" spans="1:11">
      <c r="A204" s="6">
        <v>1</v>
      </c>
      <c r="B204" s="5" t="s">
        <v>261</v>
      </c>
      <c r="C204" s="12" t="s">
        <v>262</v>
      </c>
      <c r="D204" s="10"/>
      <c r="E204" s="10"/>
      <c r="F204" s="10"/>
      <c r="G204" s="10"/>
      <c r="H204" s="10"/>
      <c r="I204" s="35">
        <f>D66</f>
        <v>24588103.606495105</v>
      </c>
      <c r="J204" s="10"/>
      <c r="K204" s="10"/>
    </row>
    <row r="205" spans="1:11">
      <c r="A205" s="6">
        <f>+A204+1</f>
        <v>2</v>
      </c>
      <c r="B205" s="5" t="s">
        <v>263</v>
      </c>
      <c r="C205" s="4" t="s">
        <v>264</v>
      </c>
      <c r="D205" s="4"/>
      <c r="E205" s="4"/>
      <c r="F205" s="4"/>
      <c r="G205" s="4"/>
      <c r="H205" s="4"/>
      <c r="I205" s="73">
        <v>5719626.3041730979</v>
      </c>
      <c r="J205" s="10"/>
      <c r="K205" s="10"/>
    </row>
    <row r="206" spans="1:11" ht="13.5" thickBot="1">
      <c r="A206" s="6">
        <f>+A205+1</f>
        <v>3</v>
      </c>
      <c r="B206" s="94" t="s">
        <v>265</v>
      </c>
      <c r="C206" s="95" t="s">
        <v>266</v>
      </c>
      <c r="D206" s="1"/>
      <c r="E206" s="10"/>
      <c r="F206" s="10"/>
      <c r="G206" s="11"/>
      <c r="H206" s="10"/>
      <c r="I206" s="96">
        <v>0</v>
      </c>
      <c r="J206" s="10"/>
      <c r="K206" s="10"/>
    </row>
    <row r="207" spans="1:11">
      <c r="A207" s="6">
        <f>+A206+1</f>
        <v>4</v>
      </c>
      <c r="B207" s="5" t="s">
        <v>267</v>
      </c>
      <c r="C207" s="12" t="s">
        <v>268</v>
      </c>
      <c r="D207" s="10"/>
      <c r="E207" s="10"/>
      <c r="F207" s="10"/>
      <c r="G207" s="11"/>
      <c r="H207" s="10"/>
      <c r="I207" s="35">
        <f>I204-I205-I206</f>
        <v>18868477.302322008</v>
      </c>
      <c r="J207" s="10"/>
      <c r="K207" s="10"/>
    </row>
    <row r="208" spans="1:11">
      <c r="A208" s="6"/>
      <c r="B208" s="4"/>
      <c r="C208" s="12"/>
      <c r="D208" s="10"/>
      <c r="E208" s="10"/>
      <c r="F208" s="10"/>
      <c r="G208" s="11"/>
      <c r="H208" s="10"/>
      <c r="I208" s="35"/>
      <c r="J208" s="10"/>
      <c r="K208" s="10"/>
    </row>
    <row r="209" spans="1:15">
      <c r="A209" s="6">
        <f>+A207+1</f>
        <v>5</v>
      </c>
      <c r="B209" s="5" t="s">
        <v>269</v>
      </c>
      <c r="C209" s="15" t="s">
        <v>270</v>
      </c>
      <c r="D209" s="15"/>
      <c r="E209" s="15"/>
      <c r="F209" s="15"/>
      <c r="G209" s="16"/>
      <c r="H209" s="10" t="s">
        <v>271</v>
      </c>
      <c r="I209" s="97">
        <f>IF(I207&gt;0,I207/I204,0)</f>
        <v>0.76738237337416204</v>
      </c>
      <c r="J209" s="10"/>
      <c r="K209" s="10"/>
    </row>
    <row r="210" spans="1:15">
      <c r="A210" s="6"/>
      <c r="B210" s="4"/>
      <c r="C210" s="4"/>
      <c r="D210" s="4"/>
      <c r="E210" s="4"/>
      <c r="F210" s="4"/>
      <c r="G210" s="4"/>
      <c r="H210" s="4"/>
      <c r="I210" s="4"/>
      <c r="J210" s="4"/>
      <c r="K210" s="4"/>
    </row>
    <row r="211" spans="1:15">
      <c r="A211" s="98" t="s">
        <v>272</v>
      </c>
      <c r="B211" s="12" t="s">
        <v>273</v>
      </c>
      <c r="C211" s="10"/>
      <c r="D211" s="10"/>
      <c r="E211" s="10"/>
      <c r="F211" s="10"/>
      <c r="G211" s="10"/>
      <c r="H211" s="10"/>
      <c r="I211" s="10"/>
      <c r="J211" s="10"/>
      <c r="K211" s="10"/>
    </row>
    <row r="212" spans="1:15" ht="13.5" thickBot="1">
      <c r="A212" s="6"/>
      <c r="B212" s="12"/>
      <c r="C212" s="99" t="s">
        <v>274</v>
      </c>
      <c r="D212" s="100" t="s">
        <v>275</v>
      </c>
      <c r="E212" s="100" t="s">
        <v>24</v>
      </c>
      <c r="F212" s="10"/>
      <c r="G212" s="100" t="s">
        <v>276</v>
      </c>
      <c r="H212" s="10"/>
      <c r="I212" s="10"/>
      <c r="J212" s="10"/>
      <c r="K212" s="10"/>
    </row>
    <row r="213" spans="1:15">
      <c r="A213" s="6">
        <v>12</v>
      </c>
      <c r="B213" s="12" t="s">
        <v>81</v>
      </c>
      <c r="C213" s="10" t="s">
        <v>277</v>
      </c>
      <c r="D213" s="86">
        <v>0</v>
      </c>
      <c r="E213" s="21">
        <v>0</v>
      </c>
      <c r="F213" s="101"/>
      <c r="G213" s="35">
        <f>D213*E213</f>
        <v>0</v>
      </c>
      <c r="H213" s="22"/>
      <c r="I213" s="22"/>
      <c r="J213" s="10"/>
      <c r="K213" s="10"/>
    </row>
    <row r="214" spans="1:15">
      <c r="A214" s="6">
        <f>+A213+1</f>
        <v>13</v>
      </c>
      <c r="B214" s="12" t="s">
        <v>278</v>
      </c>
      <c r="C214" s="10" t="s">
        <v>279</v>
      </c>
      <c r="D214" s="86">
        <v>1</v>
      </c>
      <c r="E214" s="21">
        <f>+I209</f>
        <v>0.76738237337416204</v>
      </c>
      <c r="F214" s="101"/>
      <c r="G214" s="35">
        <f>D214*E214</f>
        <v>0.76738237337416204</v>
      </c>
      <c r="H214" s="22"/>
      <c r="I214" s="22"/>
      <c r="J214" s="10"/>
      <c r="K214" s="10"/>
    </row>
    <row r="215" spans="1:15">
      <c r="A215" s="6">
        <f>+A214+1</f>
        <v>14</v>
      </c>
      <c r="B215" s="12" t="s">
        <v>86</v>
      </c>
      <c r="C215" s="10" t="s">
        <v>280</v>
      </c>
      <c r="D215" s="86">
        <v>0</v>
      </c>
      <c r="E215" s="21">
        <v>0</v>
      </c>
      <c r="F215" s="101"/>
      <c r="G215" s="35">
        <f>D215*E215</f>
        <v>0</v>
      </c>
      <c r="H215" s="22"/>
      <c r="I215" s="102" t="s">
        <v>141</v>
      </c>
      <c r="J215" s="10"/>
      <c r="K215" s="10"/>
    </row>
    <row r="216" spans="1:15" ht="13.5" thickBot="1">
      <c r="A216" s="6">
        <f>+A215+1</f>
        <v>15</v>
      </c>
      <c r="B216" s="12" t="s">
        <v>281</v>
      </c>
      <c r="C216" s="10" t="s">
        <v>282</v>
      </c>
      <c r="D216" s="96">
        <v>0</v>
      </c>
      <c r="E216" s="21">
        <v>0</v>
      </c>
      <c r="F216" s="101"/>
      <c r="G216" s="60">
        <f>D216*E216</f>
        <v>0</v>
      </c>
      <c r="H216" s="22"/>
      <c r="I216" s="103" t="s">
        <v>283</v>
      </c>
      <c r="J216" s="10"/>
      <c r="K216" s="10"/>
    </row>
    <row r="217" spans="1:15">
      <c r="A217" s="6">
        <f>+A216+1</f>
        <v>16</v>
      </c>
      <c r="B217" s="12" t="s">
        <v>1185</v>
      </c>
      <c r="C217" s="10"/>
      <c r="D217" s="35">
        <f>SUM(D213:D216)</f>
        <v>1</v>
      </c>
      <c r="E217" s="10"/>
      <c r="F217" s="10"/>
      <c r="G217" s="35">
        <f>SUM(G213:G216)</f>
        <v>0.76738237337416204</v>
      </c>
      <c r="H217" s="104" t="s">
        <v>284</v>
      </c>
      <c r="I217" s="105">
        <f>IF(G217&gt;0,G217/D217,0)</f>
        <v>0.76738237337416204</v>
      </c>
      <c r="J217" s="11" t="s">
        <v>284</v>
      </c>
      <c r="K217" s="10" t="s">
        <v>285</v>
      </c>
    </row>
    <row r="218" spans="1:15">
      <c r="A218" s="6"/>
      <c r="B218" s="12" t="s">
        <v>9</v>
      </c>
      <c r="C218" s="10" t="s">
        <v>9</v>
      </c>
      <c r="D218" s="4"/>
      <c r="E218" s="10"/>
      <c r="F218" s="10"/>
      <c r="G218" s="4"/>
      <c r="H218" s="4"/>
      <c r="I218" s="4"/>
      <c r="J218" s="4"/>
      <c r="K218" s="10"/>
    </row>
    <row r="219" spans="1:15">
      <c r="A219" s="6"/>
      <c r="B219" s="12" t="s">
        <v>286</v>
      </c>
      <c r="C219" s="10"/>
      <c r="D219" s="54" t="s">
        <v>275</v>
      </c>
      <c r="E219" s="10"/>
      <c r="F219" s="10"/>
      <c r="G219" s="11" t="s">
        <v>287</v>
      </c>
      <c r="H219" s="106"/>
      <c r="I219" s="61" t="s">
        <v>288</v>
      </c>
      <c r="J219" s="10"/>
      <c r="K219" s="10"/>
    </row>
    <row r="220" spans="1:15">
      <c r="A220" s="6">
        <f>+A217+1</f>
        <v>17</v>
      </c>
      <c r="B220" s="12" t="s">
        <v>289</v>
      </c>
      <c r="C220" s="10" t="s">
        <v>290</v>
      </c>
      <c r="D220" s="86">
        <f>AVERAGE('[2]4- Rate Base'!D10,'[2]4- Rate Base'!D22)</f>
        <v>24588103.606495105</v>
      </c>
      <c r="E220" s="10"/>
      <c r="F220" s="4"/>
      <c r="G220" s="6" t="s">
        <v>291</v>
      </c>
      <c r="H220" s="107"/>
      <c r="I220" s="6" t="s">
        <v>292</v>
      </c>
      <c r="J220" s="10"/>
      <c r="K220" s="17" t="s">
        <v>93</v>
      </c>
    </row>
    <row r="221" spans="1:15">
      <c r="A221" s="6">
        <f>+A220+1</f>
        <v>18</v>
      </c>
      <c r="B221" s="12" t="s">
        <v>293</v>
      </c>
      <c r="C221" s="10" t="s">
        <v>294</v>
      </c>
      <c r="D221" s="86">
        <v>0</v>
      </c>
      <c r="E221" s="10"/>
      <c r="F221" s="4"/>
      <c r="G221" s="108">
        <f>IF(D223&gt;0,D220/D223,0)</f>
        <v>1</v>
      </c>
      <c r="H221" s="109" t="s">
        <v>295</v>
      </c>
      <c r="I221" s="108">
        <f>I217</f>
        <v>0.76738237337416204</v>
      </c>
      <c r="J221" s="109" t="s">
        <v>284</v>
      </c>
      <c r="K221" s="108">
        <f>I221*G221</f>
        <v>0.76738237337416204</v>
      </c>
    </row>
    <row r="222" spans="1:15" ht="13.5" thickBot="1">
      <c r="A222" s="6">
        <f>+A221+1</f>
        <v>19</v>
      </c>
      <c r="B222" s="95" t="s">
        <v>296</v>
      </c>
      <c r="C222" s="99" t="s">
        <v>297</v>
      </c>
      <c r="D222" s="96">
        <v>0</v>
      </c>
      <c r="E222" s="10"/>
      <c r="F222" s="10"/>
      <c r="G222" s="10" t="s">
        <v>9</v>
      </c>
      <c r="H222" s="10"/>
      <c r="I222" s="10"/>
      <c r="J222" s="10"/>
      <c r="K222" s="10"/>
    </row>
    <row r="223" spans="1:15">
      <c r="A223" s="6">
        <f>+A222+1</f>
        <v>20</v>
      </c>
      <c r="B223" s="12" t="s">
        <v>298</v>
      </c>
      <c r="C223" s="10" t="s">
        <v>299</v>
      </c>
      <c r="D223" s="35">
        <f>D220+D221+D222</f>
        <v>24588103.606495105</v>
      </c>
      <c r="E223" s="10"/>
      <c r="F223" s="10"/>
      <c r="G223" s="10"/>
      <c r="H223" s="10"/>
      <c r="I223" s="10"/>
      <c r="J223" s="10"/>
      <c r="K223" s="10"/>
    </row>
    <row r="224" spans="1:15">
      <c r="A224" s="6"/>
      <c r="B224" s="12"/>
      <c r="C224" s="10"/>
      <c r="D224" s="4"/>
      <c r="E224" s="10"/>
      <c r="F224" s="10"/>
      <c r="G224" s="10"/>
      <c r="H224" s="10"/>
      <c r="I224" s="10"/>
      <c r="J224" s="10"/>
      <c r="K224" s="10"/>
      <c r="N224" s="110"/>
      <c r="O224" s="110"/>
    </row>
    <row r="225" spans="1:15" ht="13.5" thickBot="1">
      <c r="A225" s="6" t="s">
        <v>300</v>
      </c>
      <c r="B225" s="5" t="s">
        <v>301</v>
      </c>
      <c r="C225" s="10"/>
      <c r="D225" s="10"/>
      <c r="E225" s="10"/>
      <c r="F225" s="10"/>
      <c r="G225" s="10"/>
      <c r="H225" s="10"/>
      <c r="I225" s="100" t="s">
        <v>275</v>
      </c>
      <c r="J225" s="10"/>
      <c r="K225" s="10"/>
      <c r="N225" s="110"/>
      <c r="O225" s="110"/>
    </row>
    <row r="226" spans="1:15">
      <c r="A226" s="6"/>
      <c r="B226" s="12"/>
      <c r="C226" s="10"/>
      <c r="D226" s="10"/>
      <c r="E226" s="10"/>
      <c r="F226" s="10"/>
      <c r="G226" s="11" t="s">
        <v>302</v>
      </c>
      <c r="H226" s="10"/>
      <c r="I226" s="10"/>
      <c r="J226" s="10"/>
      <c r="K226" s="10"/>
      <c r="N226" s="110"/>
      <c r="O226" s="110"/>
    </row>
    <row r="227" spans="1:15" ht="13.5" thickBot="1">
      <c r="A227" s="6"/>
      <c r="B227" s="12"/>
      <c r="C227" s="10"/>
      <c r="D227" s="18" t="s">
        <v>275</v>
      </c>
      <c r="E227" s="18" t="s">
        <v>303</v>
      </c>
      <c r="F227" s="10"/>
      <c r="G227" s="91"/>
      <c r="H227" s="10"/>
      <c r="I227" s="18" t="s">
        <v>304</v>
      </c>
      <c r="J227" s="10"/>
      <c r="K227" s="10"/>
      <c r="N227" s="110"/>
      <c r="O227" s="110"/>
    </row>
    <row r="228" spans="1:15">
      <c r="A228" s="6">
        <v>27</v>
      </c>
      <c r="B228" s="5" t="s">
        <v>305</v>
      </c>
      <c r="C228" s="4" t="s">
        <v>306</v>
      </c>
      <c r="D228" s="111">
        <f>+'5-P3 Support'!F62</f>
        <v>40</v>
      </c>
      <c r="E228" s="112">
        <f>+'5-P3 Support'!G62</f>
        <v>0.4</v>
      </c>
      <c r="F228" s="112"/>
      <c r="G228" s="113">
        <f>+'5-P3 Support'!I62</f>
        <v>4.5597125000000002E-2</v>
      </c>
      <c r="H228" s="21"/>
      <c r="I228" s="114">
        <f>+'5-P3 Support'!K62</f>
        <v>1.8238850000000001E-2</v>
      </c>
      <c r="J228" s="115" t="s">
        <v>307</v>
      </c>
      <c r="K228" s="4"/>
      <c r="N228" s="110"/>
      <c r="O228" s="110"/>
    </row>
    <row r="229" spans="1:15" ht="15">
      <c r="A229" s="6">
        <f>+A228+1</f>
        <v>28</v>
      </c>
      <c r="B229" s="5" t="s">
        <v>308</v>
      </c>
      <c r="C229" s="4" t="s">
        <v>309</v>
      </c>
      <c r="D229" s="111">
        <f>+'5-P3 Support'!F63</f>
        <v>0</v>
      </c>
      <c r="E229" s="112">
        <f>+'5-P3 Support'!G63</f>
        <v>0</v>
      </c>
      <c r="F229" s="21"/>
      <c r="G229" s="113">
        <f>+'5-P3 Support'!I63</f>
        <v>0</v>
      </c>
      <c r="H229" s="21"/>
      <c r="I229" s="114">
        <f>+'5-P3 Support'!K63</f>
        <v>0</v>
      </c>
      <c r="J229" s="10"/>
      <c r="K229" s="4"/>
      <c r="L229"/>
      <c r="M229"/>
      <c r="N229"/>
      <c r="O229"/>
    </row>
    <row r="230" spans="1:15" ht="15.75" thickBot="1">
      <c r="A230" s="6">
        <f>+A229+1</f>
        <v>29</v>
      </c>
      <c r="B230" s="5" t="s">
        <v>310</v>
      </c>
      <c r="C230" s="4" t="s">
        <v>311</v>
      </c>
      <c r="D230" s="116">
        <f>+'5-P3 Support'!F64</f>
        <v>60</v>
      </c>
      <c r="E230" s="117">
        <f>+'5-P3 Support'!G64</f>
        <v>0.6</v>
      </c>
      <c r="F230" s="21"/>
      <c r="G230" s="113">
        <f>+'5-P3 Support'!I64</f>
        <v>0.1082</v>
      </c>
      <c r="H230" s="4"/>
      <c r="I230" s="118">
        <f>+'5-P3 Support'!K64</f>
        <v>6.4920000000000005E-2</v>
      </c>
      <c r="J230" s="10"/>
      <c r="K230" s="4"/>
      <c r="L230"/>
      <c r="M230"/>
      <c r="N230"/>
      <c r="O230"/>
    </row>
    <row r="231" spans="1:15" ht="15">
      <c r="A231" s="6">
        <f>+A230+1</f>
        <v>30</v>
      </c>
      <c r="B231" s="12" t="s">
        <v>312</v>
      </c>
      <c r="C231" s="4" t="s">
        <v>313</v>
      </c>
      <c r="D231" s="111">
        <f>SUM(D228:D230)</f>
        <v>100</v>
      </c>
      <c r="E231" s="21" t="s">
        <v>9</v>
      </c>
      <c r="F231" s="21"/>
      <c r="G231" s="10"/>
      <c r="H231" s="10"/>
      <c r="I231" s="119">
        <f>SUM(I228:I230)</f>
        <v>8.3158850000000006E-2</v>
      </c>
      <c r="J231" s="115" t="s">
        <v>314</v>
      </c>
      <c r="K231" s="4"/>
      <c r="L231"/>
      <c r="M231"/>
      <c r="N231"/>
      <c r="O231"/>
    </row>
    <row r="232" spans="1:15" ht="15">
      <c r="A232" s="6"/>
      <c r="B232" s="4"/>
      <c r="C232" s="4"/>
      <c r="D232" s="4"/>
      <c r="E232" s="10"/>
      <c r="F232" s="10"/>
      <c r="G232" s="10"/>
      <c r="H232" s="10"/>
      <c r="I232" s="4"/>
      <c r="J232" s="4"/>
      <c r="K232" s="4"/>
      <c r="L232"/>
      <c r="M232"/>
      <c r="N232"/>
      <c r="O232"/>
    </row>
    <row r="233" spans="1:15" ht="15">
      <c r="A233" s="6"/>
      <c r="B233" s="5" t="s">
        <v>315</v>
      </c>
      <c r="C233" s="5"/>
      <c r="D233" s="5"/>
      <c r="E233" s="5"/>
      <c r="F233" s="5"/>
      <c r="G233" s="5"/>
      <c r="H233" s="5"/>
      <c r="I233" s="5"/>
      <c r="J233" s="5"/>
      <c r="K233" s="5"/>
      <c r="L233"/>
      <c r="M233"/>
      <c r="N233"/>
      <c r="O233"/>
    </row>
    <row r="234" spans="1:15" ht="15.75" thickBot="1">
      <c r="A234" s="6"/>
      <c r="B234" s="5"/>
      <c r="C234" s="5"/>
      <c r="D234" s="5"/>
      <c r="E234" s="5"/>
      <c r="F234" s="5"/>
      <c r="G234" s="5"/>
      <c r="H234" s="5"/>
      <c r="I234" s="18" t="s">
        <v>316</v>
      </c>
      <c r="J234" s="6"/>
      <c r="K234" s="4"/>
      <c r="L234"/>
      <c r="M234"/>
      <c r="N234"/>
      <c r="O234"/>
    </row>
    <row r="235" spans="1:15" ht="15">
      <c r="A235" s="6"/>
      <c r="B235" s="5" t="s">
        <v>317</v>
      </c>
      <c r="C235" s="5" t="s">
        <v>318</v>
      </c>
      <c r="D235" s="5"/>
      <c r="E235" s="5"/>
      <c r="F235" s="5"/>
      <c r="G235" s="120" t="s">
        <v>9</v>
      </c>
      <c r="H235" s="121"/>
      <c r="I235" s="4"/>
      <c r="J235" s="4"/>
      <c r="K235" s="4"/>
      <c r="L235"/>
      <c r="M235"/>
      <c r="N235"/>
      <c r="O235"/>
    </row>
    <row r="236" spans="1:15" ht="15">
      <c r="A236" s="6">
        <v>31</v>
      </c>
      <c r="B236" s="4" t="s">
        <v>319</v>
      </c>
      <c r="C236" s="5" t="s">
        <v>320</v>
      </c>
      <c r="D236" s="5"/>
      <c r="E236" s="4"/>
      <c r="F236" s="5"/>
      <c r="G236" s="4"/>
      <c r="H236" s="121"/>
      <c r="I236" s="122">
        <v>0</v>
      </c>
      <c r="J236" s="123"/>
      <c r="K236" s="4"/>
      <c r="L236"/>
      <c r="M236"/>
      <c r="N236"/>
      <c r="O236"/>
    </row>
    <row r="237" spans="1:15" ht="13.5" thickBot="1">
      <c r="A237" s="6">
        <f>+A236+1</f>
        <v>32</v>
      </c>
      <c r="B237" s="124" t="s">
        <v>321</v>
      </c>
      <c r="C237" s="10"/>
      <c r="D237" s="4"/>
      <c r="E237" s="5"/>
      <c r="F237" s="5"/>
      <c r="G237" s="5"/>
      <c r="H237" s="5"/>
      <c r="I237" s="125">
        <v>0</v>
      </c>
      <c r="J237" s="123"/>
      <c r="K237" s="4"/>
      <c r="N237" s="110"/>
      <c r="O237" s="110"/>
    </row>
    <row r="238" spans="1:15">
      <c r="A238" s="6">
        <f>+A237+1</f>
        <v>33</v>
      </c>
      <c r="B238" s="4" t="s">
        <v>322</v>
      </c>
      <c r="C238" s="12" t="s">
        <v>323</v>
      </c>
      <c r="D238" s="4"/>
      <c r="E238" s="5"/>
      <c r="F238" s="5"/>
      <c r="G238" s="5"/>
      <c r="H238" s="5"/>
      <c r="I238" s="126">
        <f>I236-I237</f>
        <v>0</v>
      </c>
      <c r="J238" s="123"/>
      <c r="K238" s="4"/>
      <c r="N238" s="110"/>
      <c r="O238" s="110"/>
    </row>
    <row r="239" spans="1:15">
      <c r="A239" s="6"/>
      <c r="B239" s="4"/>
      <c r="C239" s="12"/>
      <c r="D239" s="4"/>
      <c r="E239" s="5"/>
      <c r="F239" s="5"/>
      <c r="G239" s="5"/>
      <c r="H239" s="5"/>
      <c r="I239" s="127"/>
      <c r="J239" s="4"/>
      <c r="K239" s="4"/>
      <c r="N239" s="110"/>
      <c r="O239" s="110"/>
    </row>
    <row r="240" spans="1:15">
      <c r="A240" s="6">
        <f>+A238+1</f>
        <v>34</v>
      </c>
      <c r="B240" s="5" t="s">
        <v>324</v>
      </c>
      <c r="C240" s="574" t="s">
        <v>325</v>
      </c>
      <c r="D240" s="4"/>
      <c r="E240" s="5"/>
      <c r="F240" s="5"/>
      <c r="G240" s="128"/>
      <c r="H240" s="5"/>
      <c r="I240" s="86">
        <v>0</v>
      </c>
      <c r="J240" s="4"/>
      <c r="K240" s="129"/>
      <c r="N240" s="110"/>
      <c r="O240" s="110"/>
    </row>
    <row r="241" spans="1:15">
      <c r="A241" s="6"/>
      <c r="B241" s="5"/>
      <c r="C241" s="574"/>
      <c r="D241" s="4"/>
      <c r="E241" s="5"/>
      <c r="F241" s="5"/>
      <c r="G241" s="128"/>
      <c r="H241" s="5"/>
      <c r="I241" s="63"/>
      <c r="J241" s="4"/>
      <c r="K241" s="129"/>
      <c r="N241" s="110"/>
      <c r="O241" s="110"/>
    </row>
    <row r="242" spans="1:15">
      <c r="A242" s="6" t="s">
        <v>1009</v>
      </c>
      <c r="B242" s="5" t="s">
        <v>1010</v>
      </c>
      <c r="C242" s="574" t="s">
        <v>1011</v>
      </c>
      <c r="D242" s="4"/>
      <c r="E242" s="5"/>
      <c r="F242" s="5"/>
      <c r="G242" s="128"/>
      <c r="H242" s="5"/>
      <c r="I242" s="86">
        <v>0</v>
      </c>
      <c r="J242" s="4"/>
      <c r="K242" s="129"/>
      <c r="N242" s="110"/>
      <c r="O242" s="110"/>
    </row>
    <row r="243" spans="1:15">
      <c r="A243" s="6"/>
      <c r="B243" s="4"/>
      <c r="C243" s="573"/>
      <c r="D243" s="5"/>
      <c r="E243" s="5"/>
      <c r="F243" s="5"/>
      <c r="G243" s="5"/>
      <c r="H243" s="5"/>
      <c r="I243" s="127"/>
      <c r="J243" s="4"/>
      <c r="K243" s="129"/>
    </row>
    <row r="244" spans="1:15">
      <c r="A244" s="6"/>
      <c r="B244" s="5" t="s">
        <v>1012</v>
      </c>
      <c r="C244" s="573" t="s">
        <v>326</v>
      </c>
      <c r="D244" s="5"/>
      <c r="E244" s="5"/>
      <c r="F244" s="5"/>
      <c r="G244" s="5"/>
      <c r="H244" s="5"/>
      <c r="I244" s="4"/>
      <c r="J244" s="4"/>
      <c r="K244" s="129"/>
    </row>
    <row r="245" spans="1:15">
      <c r="A245" s="6">
        <v>35</v>
      </c>
      <c r="B245" s="130" t="s">
        <v>327</v>
      </c>
      <c r="C245" s="10"/>
      <c r="D245" s="10"/>
      <c r="E245" s="10"/>
      <c r="F245" s="10"/>
      <c r="G245" s="10"/>
      <c r="H245" s="10"/>
      <c r="I245" s="131">
        <v>0</v>
      </c>
      <c r="J245" s="10"/>
      <c r="K245" s="129"/>
    </row>
    <row r="246" spans="1:15">
      <c r="A246" s="6">
        <v>36</v>
      </c>
      <c r="B246" s="130" t="s">
        <v>328</v>
      </c>
      <c r="C246" s="10"/>
      <c r="D246" s="10"/>
      <c r="E246" s="10"/>
      <c r="F246" s="10"/>
      <c r="G246" s="10"/>
      <c r="H246" s="10"/>
      <c r="I246" s="131">
        <v>0</v>
      </c>
      <c r="J246" s="10"/>
      <c r="K246" s="129"/>
    </row>
    <row r="247" spans="1:15">
      <c r="A247" s="6" t="s">
        <v>329</v>
      </c>
      <c r="B247" s="130" t="s">
        <v>330</v>
      </c>
      <c r="C247" s="10" t="s">
        <v>331</v>
      </c>
      <c r="D247" s="10"/>
      <c r="E247" s="10"/>
      <c r="F247" s="10"/>
      <c r="G247" s="10"/>
      <c r="H247" s="10"/>
      <c r="I247" s="131">
        <v>0</v>
      </c>
      <c r="J247" s="10"/>
      <c r="K247" s="129"/>
    </row>
    <row r="248" spans="1:15" ht="13.5" thickBot="1">
      <c r="A248" s="6" t="s">
        <v>332</v>
      </c>
      <c r="B248" s="130" t="s">
        <v>333</v>
      </c>
      <c r="C248" s="10" t="s">
        <v>334</v>
      </c>
      <c r="D248" s="10"/>
      <c r="E248" s="10"/>
      <c r="F248" s="10"/>
      <c r="G248" s="10"/>
      <c r="H248" s="10"/>
      <c r="I248" s="132">
        <v>0</v>
      </c>
      <c r="J248" s="10"/>
      <c r="K248" s="129"/>
    </row>
    <row r="249" spans="1:15">
      <c r="A249" s="6">
        <v>37</v>
      </c>
      <c r="B249" s="133" t="s">
        <v>335</v>
      </c>
      <c r="C249" s="6"/>
      <c r="D249" s="10"/>
      <c r="E249" s="10"/>
      <c r="F249" s="10"/>
      <c r="G249" s="10"/>
      <c r="H249" s="5"/>
      <c r="I249" s="35">
        <f>+I245-I246-I247-I248</f>
        <v>0</v>
      </c>
      <c r="J249" s="10"/>
      <c r="K249" s="10"/>
    </row>
    <row r="250" spans="1:15">
      <c r="A250" s="6"/>
      <c r="B250" s="133"/>
      <c r="C250" s="6"/>
      <c r="D250" s="10"/>
      <c r="E250" s="10"/>
      <c r="F250" s="10"/>
      <c r="G250" s="10"/>
      <c r="H250" s="5"/>
      <c r="I250" s="35"/>
      <c r="J250" s="10"/>
      <c r="K250" s="10"/>
    </row>
    <row r="251" spans="1:15">
      <c r="A251" s="6"/>
      <c r="B251" s="104" t="s">
        <v>336</v>
      </c>
      <c r="C251" s="14" t="s">
        <v>337</v>
      </c>
      <c r="D251" s="6" t="s">
        <v>338</v>
      </c>
      <c r="E251" s="11"/>
      <c r="F251" s="581" t="s">
        <v>339</v>
      </c>
      <c r="G251" s="152"/>
      <c r="H251" s="753" t="s">
        <v>671</v>
      </c>
      <c r="I251" s="753"/>
      <c r="J251" s="10"/>
      <c r="K251" s="10"/>
    </row>
    <row r="252" spans="1:15">
      <c r="A252" s="6"/>
      <c r="B252" s="1" t="s">
        <v>340</v>
      </c>
      <c r="C252" s="134" t="s">
        <v>341</v>
      </c>
      <c r="D252" s="10"/>
      <c r="E252" s="10"/>
      <c r="F252" s="152" t="s">
        <v>342</v>
      </c>
      <c r="G252" s="152"/>
      <c r="H252" s="754" t="s">
        <v>1003</v>
      </c>
      <c r="I252" s="754"/>
      <c r="J252" s="10"/>
      <c r="K252" s="10"/>
    </row>
    <row r="253" spans="1:15">
      <c r="A253" s="6">
        <f>+A249+1</f>
        <v>38</v>
      </c>
      <c r="B253" s="1" t="s">
        <v>343</v>
      </c>
      <c r="C253" s="584">
        <v>0</v>
      </c>
      <c r="D253" s="21"/>
      <c r="E253" s="10"/>
      <c r="I253" s="35"/>
      <c r="J253" s="10"/>
      <c r="K253" s="10"/>
    </row>
    <row r="254" spans="1:15" ht="25.5">
      <c r="A254" s="583">
        <v>39</v>
      </c>
      <c r="B254" s="582" t="s">
        <v>1016</v>
      </c>
      <c r="C254" s="575">
        <f>+C253*D174</f>
        <v>0</v>
      </c>
      <c r="D254" s="63"/>
      <c r="E254" s="63"/>
      <c r="F254" s="63"/>
      <c r="G254" s="152"/>
      <c r="H254" s="63"/>
      <c r="I254" s="63">
        <f>+C253*I174</f>
        <v>0</v>
      </c>
      <c r="J254" s="10"/>
      <c r="K254" s="10"/>
    </row>
    <row r="255" spans="1:15">
      <c r="A255" s="6">
        <v>40</v>
      </c>
      <c r="B255" s="4" t="s">
        <v>1000</v>
      </c>
      <c r="C255" s="575">
        <f>+D160*C254</f>
        <v>0</v>
      </c>
      <c r="D255" s="576"/>
      <c r="E255" s="63"/>
      <c r="F255" s="63">
        <f>+C255</f>
        <v>0</v>
      </c>
      <c r="G255" s="152"/>
      <c r="H255" s="152"/>
      <c r="I255" s="575">
        <f>+$D$160*I254</f>
        <v>0</v>
      </c>
      <c r="J255" s="10"/>
      <c r="K255" s="10"/>
    </row>
    <row r="256" spans="1:15">
      <c r="A256" s="6"/>
      <c r="C256" s="6"/>
      <c r="D256" s="10"/>
      <c r="E256" s="10"/>
      <c r="F256" s="10"/>
      <c r="G256" s="10"/>
      <c r="H256" s="5"/>
      <c r="I256" s="127"/>
      <c r="J256" s="10"/>
      <c r="K256" s="10"/>
    </row>
    <row r="257" spans="1:22">
      <c r="A257" s="6"/>
      <c r="B257" s="133"/>
      <c r="C257" s="12"/>
      <c r="D257" s="10"/>
      <c r="E257" s="10"/>
      <c r="F257" s="10"/>
      <c r="G257" s="10"/>
      <c r="H257" s="12"/>
      <c r="I257" s="10"/>
      <c r="J257" s="12"/>
      <c r="K257" s="67" t="str">
        <f>+K1</f>
        <v>Attachment O-GLH</v>
      </c>
    </row>
    <row r="258" spans="1:22">
      <c r="A258" s="6"/>
      <c r="B258" s="12"/>
      <c r="C258" s="12"/>
      <c r="D258" s="10"/>
      <c r="E258" s="10"/>
      <c r="F258" s="10"/>
      <c r="G258" s="10"/>
      <c r="H258" s="12"/>
      <c r="I258" s="10"/>
      <c r="J258" s="12"/>
      <c r="K258" s="67" t="s">
        <v>345</v>
      </c>
    </row>
    <row r="259" spans="1:22">
      <c r="A259" s="6"/>
      <c r="B259" s="136" t="s">
        <v>2</v>
      </c>
      <c r="C259" s="6"/>
      <c r="D259" s="11" t="s">
        <v>3</v>
      </c>
      <c r="E259" s="10"/>
      <c r="F259" s="10"/>
      <c r="G259" s="10"/>
      <c r="H259" s="5"/>
      <c r="I259" s="1"/>
      <c r="J259" s="4"/>
      <c r="K259" s="137" t="str">
        <f>K3</f>
        <v>For the 12 months ended 12/31/2020</v>
      </c>
    </row>
    <row r="260" spans="1:22">
      <c r="A260" s="6"/>
      <c r="B260" s="136"/>
      <c r="C260" s="6"/>
      <c r="D260" s="11" t="s">
        <v>4</v>
      </c>
      <c r="E260" s="10"/>
      <c r="F260" s="10"/>
      <c r="G260" s="10"/>
      <c r="H260" s="5"/>
      <c r="I260" s="138"/>
      <c r="J260" s="4"/>
      <c r="K260" s="10"/>
    </row>
    <row r="261" spans="1:22">
      <c r="A261" s="6"/>
      <c r="B261" s="136"/>
      <c r="C261" s="6"/>
      <c r="D261" s="11" t="str">
        <f>+D197</f>
        <v>GridLiance Heartland LLC</v>
      </c>
      <c r="E261" s="10"/>
      <c r="F261" s="10"/>
      <c r="G261" s="10"/>
      <c r="H261" s="5"/>
      <c r="I261" s="138"/>
      <c r="J261" s="4"/>
      <c r="K261" s="10"/>
    </row>
    <row r="262" spans="1:22">
      <c r="A262" s="730"/>
      <c r="B262" s="730"/>
      <c r="C262" s="730"/>
      <c r="D262" s="730"/>
      <c r="E262" s="730"/>
      <c r="F262" s="730"/>
      <c r="G262" s="730"/>
      <c r="H262" s="730"/>
      <c r="I262" s="730"/>
      <c r="J262" s="730"/>
      <c r="K262" s="730"/>
    </row>
    <row r="263" spans="1:22">
      <c r="A263" s="6"/>
      <c r="B263" s="136"/>
      <c r="C263" s="6"/>
      <c r="D263" s="10"/>
      <c r="E263" s="10"/>
      <c r="F263" s="10"/>
      <c r="G263" s="10"/>
      <c r="H263" s="5"/>
      <c r="I263" s="138"/>
      <c r="J263" s="4"/>
      <c r="K263" s="10"/>
    </row>
    <row r="264" spans="1:22">
      <c r="A264" s="6"/>
      <c r="B264" s="5" t="s">
        <v>346</v>
      </c>
      <c r="C264" s="6"/>
      <c r="D264" s="10"/>
      <c r="E264" s="10"/>
      <c r="F264" s="10"/>
      <c r="G264" s="10"/>
      <c r="H264" s="5"/>
      <c r="I264" s="10"/>
      <c r="J264" s="5"/>
      <c r="K264" s="10"/>
    </row>
    <row r="265" spans="1:22">
      <c r="A265" s="6"/>
      <c r="B265" s="139" t="s">
        <v>347</v>
      </c>
      <c r="C265" s="6"/>
      <c r="D265" s="10"/>
      <c r="E265" s="10"/>
      <c r="F265" s="10"/>
      <c r="G265" s="10"/>
      <c r="H265" s="5"/>
      <c r="I265" s="10"/>
      <c r="J265" s="5"/>
      <c r="K265" s="10"/>
    </row>
    <row r="266" spans="1:22">
      <c r="A266" s="6" t="s">
        <v>348</v>
      </c>
      <c r="B266" s="5"/>
      <c r="C266" s="5"/>
      <c r="D266" s="10"/>
      <c r="E266" s="10"/>
      <c r="F266" s="10"/>
      <c r="G266" s="10"/>
      <c r="H266" s="5"/>
      <c r="I266" s="10"/>
      <c r="J266" s="5"/>
      <c r="K266" s="10"/>
    </row>
    <row r="267" spans="1:22" ht="13.5" thickBot="1">
      <c r="A267" s="18" t="s">
        <v>349</v>
      </c>
      <c r="B267" s="731"/>
      <c r="C267" s="731"/>
      <c r="D267" s="140"/>
      <c r="E267" s="140"/>
      <c r="F267" s="140"/>
      <c r="G267" s="140"/>
      <c r="H267" s="141"/>
      <c r="I267" s="140"/>
      <c r="J267" s="141"/>
      <c r="K267" s="140"/>
    </row>
    <row r="268" spans="1:22">
      <c r="A268" s="143" t="s">
        <v>350</v>
      </c>
      <c r="B268" s="692" t="s">
        <v>351</v>
      </c>
      <c r="C268" s="692"/>
      <c r="D268" s="693"/>
      <c r="E268" s="693"/>
      <c r="F268" s="693"/>
      <c r="G268" s="693"/>
      <c r="H268" s="692"/>
      <c r="I268" s="693"/>
      <c r="J268" s="144"/>
      <c r="K268" s="694"/>
      <c r="L268" s="141"/>
      <c r="M268" s="724"/>
      <c r="N268" s="724"/>
      <c r="O268" s="724"/>
      <c r="P268" s="724"/>
      <c r="Q268" s="724"/>
      <c r="R268" s="724"/>
      <c r="S268" s="724"/>
      <c r="T268" s="724"/>
      <c r="U268" s="724"/>
      <c r="V268" s="724"/>
    </row>
    <row r="269" spans="1:22">
      <c r="A269" s="143" t="s">
        <v>352</v>
      </c>
      <c r="B269" s="692" t="s">
        <v>353</v>
      </c>
      <c r="C269" s="692"/>
      <c r="D269" s="693"/>
      <c r="E269" s="693"/>
      <c r="F269" s="693"/>
      <c r="G269" s="693"/>
      <c r="H269" s="692"/>
      <c r="I269" s="693"/>
      <c r="J269" s="144"/>
      <c r="K269" s="694"/>
      <c r="L269" s="141"/>
    </row>
    <row r="270" spans="1:22">
      <c r="A270" s="143" t="s">
        <v>354</v>
      </c>
      <c r="B270" s="692" t="s">
        <v>355</v>
      </c>
      <c r="C270" s="692"/>
      <c r="D270" s="692"/>
      <c r="E270" s="692"/>
      <c r="F270" s="692"/>
      <c r="G270" s="692"/>
      <c r="H270" s="692"/>
      <c r="I270" s="693"/>
      <c r="J270" s="144"/>
      <c r="K270" s="144"/>
      <c r="L270" s="141"/>
      <c r="M270" s="724"/>
      <c r="N270" s="724"/>
      <c r="O270" s="724"/>
      <c r="P270" s="724"/>
      <c r="Q270" s="724"/>
      <c r="R270" s="724"/>
      <c r="S270" s="724"/>
      <c r="T270" s="724"/>
      <c r="U270" s="724"/>
      <c r="V270" s="724"/>
    </row>
    <row r="271" spans="1:22">
      <c r="A271" s="143" t="s">
        <v>356</v>
      </c>
      <c r="B271" s="692" t="s">
        <v>355</v>
      </c>
      <c r="C271" s="692"/>
      <c r="D271" s="692"/>
      <c r="E271" s="692"/>
      <c r="F271" s="692"/>
      <c r="G271" s="692"/>
      <c r="H271" s="692"/>
      <c r="I271" s="693"/>
      <c r="J271" s="144"/>
      <c r="K271" s="144"/>
      <c r="L271" s="141"/>
      <c r="M271" s="724"/>
      <c r="N271" s="724"/>
      <c r="O271" s="724"/>
      <c r="P271" s="724"/>
      <c r="Q271" s="724"/>
      <c r="R271" s="724"/>
      <c r="S271" s="724"/>
      <c r="T271" s="724"/>
      <c r="U271" s="724"/>
      <c r="V271" s="724"/>
    </row>
    <row r="272" spans="1:22">
      <c r="A272" s="143" t="s">
        <v>357</v>
      </c>
      <c r="B272" s="692" t="s">
        <v>358</v>
      </c>
      <c r="C272" s="692"/>
      <c r="D272" s="692"/>
      <c r="E272" s="692"/>
      <c r="F272" s="692"/>
      <c r="G272" s="692"/>
      <c r="H272" s="692"/>
      <c r="I272" s="692"/>
      <c r="J272" s="144"/>
      <c r="K272" s="144"/>
      <c r="L272" s="141"/>
      <c r="M272" s="724"/>
      <c r="N272" s="724"/>
      <c r="O272" s="724"/>
      <c r="P272" s="724"/>
      <c r="Q272" s="724"/>
      <c r="R272" s="724"/>
      <c r="S272" s="724"/>
      <c r="T272" s="724"/>
      <c r="U272" s="724"/>
      <c r="V272" s="724"/>
    </row>
    <row r="273" spans="1:22" ht="30.75" customHeight="1">
      <c r="A273" s="143" t="s">
        <v>359</v>
      </c>
      <c r="B273" s="752" t="s">
        <v>360</v>
      </c>
      <c r="C273" s="752"/>
      <c r="D273" s="752"/>
      <c r="E273" s="752"/>
      <c r="F273" s="752"/>
      <c r="G273" s="752"/>
      <c r="H273" s="752"/>
      <c r="I273" s="752"/>
      <c r="J273" s="615"/>
      <c r="K273" s="615"/>
      <c r="L273" s="141"/>
      <c r="M273" s="724"/>
      <c r="N273" s="724"/>
      <c r="O273" s="724"/>
      <c r="P273" s="724"/>
      <c r="Q273" s="724"/>
      <c r="R273" s="724"/>
      <c r="S273" s="724"/>
      <c r="T273" s="724"/>
      <c r="U273" s="724"/>
      <c r="V273" s="724"/>
    </row>
    <row r="274" spans="1:22">
      <c r="A274" s="143" t="s">
        <v>361</v>
      </c>
      <c r="B274" s="692" t="s">
        <v>362</v>
      </c>
      <c r="C274" s="692"/>
      <c r="D274" s="692"/>
      <c r="E274" s="692"/>
      <c r="F274" s="692"/>
      <c r="G274" s="692"/>
      <c r="H274" s="692"/>
      <c r="I274" s="692"/>
      <c r="J274" s="144"/>
      <c r="K274" s="144"/>
      <c r="L274" s="724"/>
      <c r="M274" s="724"/>
      <c r="N274" s="724"/>
      <c r="O274" s="724"/>
      <c r="P274" s="724"/>
      <c r="Q274" s="724"/>
      <c r="R274" s="724"/>
      <c r="S274" s="724"/>
      <c r="T274" s="724"/>
      <c r="U274" s="724"/>
      <c r="V274" s="724"/>
    </row>
    <row r="275" spans="1:22" ht="28.5" customHeight="1">
      <c r="A275" s="143" t="s">
        <v>363</v>
      </c>
      <c r="B275" s="723" t="s">
        <v>364</v>
      </c>
      <c r="C275" s="723"/>
      <c r="D275" s="723"/>
      <c r="E275" s="723"/>
      <c r="F275" s="723"/>
      <c r="G275" s="723"/>
      <c r="H275" s="723"/>
      <c r="I275" s="723"/>
      <c r="J275" s="144"/>
      <c r="K275" s="144"/>
      <c r="L275" s="724"/>
      <c r="M275" s="145"/>
      <c r="N275" s="145"/>
      <c r="O275" s="59"/>
      <c r="P275" s="145"/>
      <c r="Q275" s="145"/>
      <c r="R275" s="145"/>
      <c r="S275" s="145"/>
      <c r="T275" s="145"/>
      <c r="U275" s="145"/>
      <c r="V275" s="145"/>
    </row>
    <row r="276" spans="1:22" ht="30" customHeight="1">
      <c r="A276" s="143" t="s">
        <v>365</v>
      </c>
      <c r="B276" s="723" t="s">
        <v>366</v>
      </c>
      <c r="C276" s="723"/>
      <c r="D276" s="723"/>
      <c r="E276" s="723"/>
      <c r="F276" s="723"/>
      <c r="G276" s="723"/>
      <c r="H276" s="723"/>
      <c r="I276" s="723"/>
      <c r="J276" s="144"/>
      <c r="K276" s="144"/>
      <c r="L276" s="724"/>
      <c r="M276" s="145"/>
      <c r="N276" s="145"/>
      <c r="O276" s="146"/>
      <c r="P276" s="145"/>
      <c r="Q276" s="145"/>
      <c r="R276" s="145"/>
      <c r="S276" s="145"/>
      <c r="T276" s="145"/>
      <c r="U276" s="145"/>
      <c r="V276" s="145"/>
    </row>
    <row r="277" spans="1:22" ht="29.25" customHeight="1">
      <c r="A277" s="143" t="s">
        <v>367</v>
      </c>
      <c r="B277" s="723" t="s">
        <v>368</v>
      </c>
      <c r="C277" s="723"/>
      <c r="D277" s="723"/>
      <c r="E277" s="723"/>
      <c r="F277" s="723"/>
      <c r="G277" s="723"/>
      <c r="H277" s="723"/>
      <c r="I277" s="723"/>
      <c r="J277" s="144"/>
      <c r="K277" s="144"/>
      <c r="L277" s="141"/>
      <c r="M277" s="724"/>
      <c r="N277" s="724"/>
      <c r="O277" s="724"/>
      <c r="P277" s="724"/>
      <c r="Q277" s="724"/>
      <c r="R277" s="724"/>
      <c r="S277" s="724"/>
      <c r="T277" s="724"/>
      <c r="U277" s="724"/>
      <c r="V277" s="724"/>
    </row>
    <row r="278" spans="1:22" ht="41.25" customHeight="1">
      <c r="A278" s="691" t="s">
        <v>369</v>
      </c>
      <c r="B278" s="723" t="s">
        <v>1178</v>
      </c>
      <c r="C278" s="723"/>
      <c r="D278" s="723"/>
      <c r="E278" s="723"/>
      <c r="F278" s="723"/>
      <c r="G278" s="723"/>
      <c r="H278" s="723"/>
      <c r="I278" s="723"/>
      <c r="J278" s="144"/>
      <c r="K278" s="144"/>
      <c r="L278" s="141"/>
    </row>
    <row r="279" spans="1:22">
      <c r="A279" s="143" t="s">
        <v>9</v>
      </c>
      <c r="B279" s="144" t="s">
        <v>370</v>
      </c>
      <c r="C279" s="144" t="s">
        <v>371</v>
      </c>
      <c r="D279" s="695" t="s">
        <v>1177</v>
      </c>
      <c r="E279" s="144" t="s">
        <v>372</v>
      </c>
      <c r="F279" s="144"/>
      <c r="G279" s="144"/>
      <c r="H279" s="144"/>
      <c r="I279" s="144"/>
      <c r="J279" s="144"/>
      <c r="K279" s="144"/>
      <c r="L279" s="147"/>
    </row>
    <row r="280" spans="1:22">
      <c r="A280" s="143"/>
      <c r="B280" s="144"/>
      <c r="C280" s="144" t="s">
        <v>373</v>
      </c>
      <c r="D280" s="695" t="s">
        <v>1177</v>
      </c>
      <c r="E280" s="144" t="s">
        <v>374</v>
      </c>
      <c r="F280" s="144"/>
      <c r="G280" s="144"/>
      <c r="H280" s="144"/>
      <c r="I280" s="144"/>
      <c r="J280" s="144"/>
      <c r="K280" s="144"/>
      <c r="L280" s="147"/>
    </row>
    <row r="281" spans="1:22" s="72" customFormat="1">
      <c r="A281" s="143"/>
      <c r="B281" s="144"/>
      <c r="C281" s="144" t="s">
        <v>375</v>
      </c>
      <c r="D281" s="695" t="s">
        <v>1177</v>
      </c>
      <c r="E281" s="144" t="s">
        <v>376</v>
      </c>
      <c r="F281" s="144"/>
      <c r="G281" s="144"/>
      <c r="H281" s="144"/>
      <c r="I281" s="144"/>
      <c r="J281" s="144"/>
      <c r="K281" s="144"/>
      <c r="L281" s="147"/>
    </row>
    <row r="282" spans="1:22" s="72" customFormat="1" ht="29.25" customHeight="1">
      <c r="A282" s="143" t="s">
        <v>377</v>
      </c>
      <c r="B282" s="723" t="s">
        <v>1005</v>
      </c>
      <c r="C282" s="723"/>
      <c r="D282" s="723"/>
      <c r="E282" s="723"/>
      <c r="F282" s="723"/>
      <c r="G282" s="723"/>
      <c r="H282" s="723"/>
      <c r="I282" s="723"/>
      <c r="J282" s="692"/>
      <c r="K282" s="692"/>
      <c r="L282" s="147"/>
    </row>
    <row r="283" spans="1:22" ht="30.75" customHeight="1">
      <c r="A283" s="143" t="s">
        <v>378</v>
      </c>
      <c r="B283" s="723" t="s">
        <v>379</v>
      </c>
      <c r="C283" s="723"/>
      <c r="D283" s="723"/>
      <c r="E283" s="723"/>
      <c r="F283" s="723"/>
      <c r="G283" s="723"/>
      <c r="H283" s="723"/>
      <c r="I283" s="723"/>
      <c r="J283" s="696"/>
      <c r="K283" s="692"/>
    </row>
    <row r="284" spans="1:22">
      <c r="A284" s="143" t="s">
        <v>380</v>
      </c>
      <c r="B284" s="692" t="s">
        <v>381</v>
      </c>
      <c r="C284" s="159"/>
      <c r="D284" s="692"/>
      <c r="E284" s="692"/>
      <c r="F284" s="692"/>
      <c r="G284" s="692"/>
      <c r="H284" s="692"/>
      <c r="I284" s="692"/>
      <c r="J284" s="692"/>
      <c r="K284" s="692"/>
    </row>
    <row r="285" spans="1:22" ht="12.75" customHeight="1">
      <c r="A285" s="143" t="s">
        <v>382</v>
      </c>
      <c r="B285" s="752" t="s">
        <v>986</v>
      </c>
      <c r="C285" s="752"/>
      <c r="D285" s="752"/>
      <c r="E285" s="752"/>
      <c r="F285" s="752"/>
      <c r="G285" s="752"/>
      <c r="H285" s="752"/>
      <c r="I285" s="752"/>
      <c r="J285" s="617"/>
      <c r="K285" s="617"/>
    </row>
    <row r="286" spans="1:22" ht="12.75" customHeight="1">
      <c r="A286" s="143" t="s">
        <v>383</v>
      </c>
      <c r="B286" s="746" t="s">
        <v>384</v>
      </c>
      <c r="C286" s="746"/>
      <c r="D286" s="746"/>
      <c r="E286" s="746"/>
      <c r="F286" s="746"/>
      <c r="G286" s="746"/>
      <c r="H286" s="746"/>
      <c r="I286" s="746"/>
      <c r="J286" s="746"/>
      <c r="K286" s="746"/>
    </row>
    <row r="287" spans="1:22" ht="30" customHeight="1">
      <c r="A287" s="143" t="s">
        <v>385</v>
      </c>
      <c r="B287" s="723" t="s">
        <v>1017</v>
      </c>
      <c r="C287" s="723"/>
      <c r="D287" s="723"/>
      <c r="E287" s="723"/>
      <c r="F287" s="723"/>
      <c r="G287" s="723"/>
      <c r="H287" s="723"/>
      <c r="I287" s="723"/>
      <c r="J287" s="692"/>
      <c r="K287" s="692"/>
    </row>
    <row r="288" spans="1:22" ht="41.25" customHeight="1">
      <c r="A288" s="143" t="s">
        <v>386</v>
      </c>
      <c r="B288" s="723" t="s">
        <v>1018</v>
      </c>
      <c r="C288" s="723"/>
      <c r="D288" s="723"/>
      <c r="E288" s="723"/>
      <c r="F288" s="723"/>
      <c r="G288" s="723"/>
      <c r="H288" s="723"/>
      <c r="I288" s="723"/>
      <c r="J288" s="159"/>
      <c r="K288" s="159"/>
    </row>
    <row r="289" spans="1:15" ht="59.25" customHeight="1">
      <c r="A289" s="143" t="s">
        <v>387</v>
      </c>
      <c r="B289" s="728" t="s">
        <v>1022</v>
      </c>
      <c r="C289" s="728"/>
      <c r="D289" s="728"/>
      <c r="E289" s="728"/>
      <c r="F289" s="728"/>
      <c r="G289" s="728"/>
      <c r="H289" s="728"/>
      <c r="I289" s="728"/>
      <c r="J289" s="692"/>
      <c r="K289" s="692"/>
    </row>
    <row r="290" spans="1:15" ht="31.5" customHeight="1">
      <c r="A290" s="151" t="s">
        <v>388</v>
      </c>
      <c r="B290" s="747" t="s">
        <v>1019</v>
      </c>
      <c r="C290" s="747"/>
      <c r="D290" s="747"/>
      <c r="E290" s="747"/>
      <c r="F290" s="747"/>
      <c r="G290" s="747"/>
      <c r="H290" s="747"/>
      <c r="I290" s="747"/>
      <c r="J290" s="149"/>
      <c r="K290" s="149"/>
    </row>
    <row r="291" spans="1:15">
      <c r="A291" s="153" t="s">
        <v>389</v>
      </c>
      <c r="B291" s="697" t="s">
        <v>1020</v>
      </c>
      <c r="C291" s="697"/>
      <c r="D291" s="697"/>
      <c r="E291" s="697"/>
      <c r="F291" s="697"/>
      <c r="G291" s="697"/>
      <c r="H291" s="697"/>
      <c r="I291" s="697"/>
      <c r="J291" s="697"/>
      <c r="K291" s="697"/>
      <c r="L291" s="152"/>
      <c r="M291" s="152"/>
      <c r="N291" s="152"/>
      <c r="O291" s="152"/>
    </row>
    <row r="292" spans="1:15">
      <c r="A292" s="151" t="s">
        <v>390</v>
      </c>
      <c r="B292" s="726" t="s">
        <v>391</v>
      </c>
      <c r="C292" s="726"/>
      <c r="D292" s="726"/>
      <c r="E292" s="726"/>
      <c r="F292" s="726"/>
      <c r="G292" s="726"/>
      <c r="H292" s="726"/>
      <c r="I292" s="726"/>
      <c r="J292" s="697"/>
      <c r="K292" s="697"/>
    </row>
    <row r="293" spans="1:15" ht="28.5" customHeight="1">
      <c r="A293" s="151" t="s">
        <v>392</v>
      </c>
      <c r="B293" s="733" t="s">
        <v>393</v>
      </c>
      <c r="C293" s="733"/>
      <c r="D293" s="733"/>
      <c r="E293" s="733"/>
      <c r="F293" s="733"/>
      <c r="G293" s="733"/>
      <c r="H293" s="733"/>
      <c r="I293" s="733"/>
      <c r="J293" s="697"/>
      <c r="K293" s="697"/>
    </row>
    <row r="294" spans="1:15" ht="27.75" customHeight="1">
      <c r="A294" s="151" t="s">
        <v>394</v>
      </c>
      <c r="B294" s="733" t="s">
        <v>395</v>
      </c>
      <c r="C294" s="733"/>
      <c r="D294" s="733"/>
      <c r="E294" s="733"/>
      <c r="F294" s="733"/>
      <c r="G294" s="733"/>
      <c r="H294" s="733"/>
      <c r="I294" s="733"/>
      <c r="J294" s="697"/>
      <c r="K294" s="697"/>
    </row>
    <row r="295" spans="1:15" ht="47.25" customHeight="1">
      <c r="A295" s="151" t="s">
        <v>396</v>
      </c>
      <c r="B295" s="749" t="s">
        <v>993</v>
      </c>
      <c r="C295" s="749"/>
      <c r="D295" s="749"/>
      <c r="E295" s="749"/>
      <c r="F295" s="749"/>
      <c r="G295" s="749"/>
      <c r="H295" s="749"/>
      <c r="I295" s="749"/>
      <c r="J295" s="697"/>
      <c r="K295" s="697"/>
    </row>
    <row r="296" spans="1:15">
      <c r="A296" s="151" t="s">
        <v>397</v>
      </c>
      <c r="B296" s="726" t="s">
        <v>398</v>
      </c>
      <c r="C296" s="726"/>
      <c r="D296" s="726"/>
      <c r="E296" s="726"/>
      <c r="F296" s="726"/>
      <c r="G296" s="726"/>
      <c r="H296" s="726"/>
      <c r="I296" s="726"/>
      <c r="J296" s="697"/>
      <c r="K296" s="697"/>
    </row>
    <row r="297" spans="1:15" ht="29.25" customHeight="1">
      <c r="A297" s="151" t="s">
        <v>399</v>
      </c>
      <c r="B297" s="733" t="s">
        <v>400</v>
      </c>
      <c r="C297" s="733"/>
      <c r="D297" s="733"/>
      <c r="E297" s="733"/>
      <c r="F297" s="733"/>
      <c r="G297" s="733"/>
      <c r="H297" s="733"/>
      <c r="I297" s="733"/>
      <c r="J297" s="697"/>
      <c r="K297" s="697"/>
    </row>
    <row r="298" spans="1:15">
      <c r="A298" s="151" t="s">
        <v>401</v>
      </c>
      <c r="B298" s="698" t="s">
        <v>402</v>
      </c>
      <c r="C298" s="697"/>
      <c r="D298" s="697"/>
      <c r="E298" s="697"/>
      <c r="F298" s="697"/>
      <c r="G298" s="697"/>
      <c r="H298" s="697"/>
      <c r="I298" s="697"/>
      <c r="J298" s="697"/>
      <c r="K298" s="697"/>
    </row>
    <row r="299" spans="1:15">
      <c r="A299" s="699" t="s">
        <v>403</v>
      </c>
      <c r="B299" s="698" t="s">
        <v>404</v>
      </c>
      <c r="C299" s="159"/>
      <c r="D299" s="159"/>
      <c r="E299" s="159"/>
      <c r="F299" s="159"/>
      <c r="G299" s="159"/>
      <c r="H299" s="159"/>
      <c r="I299" s="159"/>
      <c r="J299" s="159"/>
      <c r="K299" s="159"/>
    </row>
    <row r="300" spans="1:15" s="152" customFormat="1">
      <c r="A300" s="700" t="s">
        <v>405</v>
      </c>
      <c r="B300" s="159" t="s">
        <v>406</v>
      </c>
      <c r="C300" s="159"/>
      <c r="D300" s="159"/>
      <c r="E300" s="159"/>
      <c r="F300" s="159"/>
      <c r="G300" s="159"/>
      <c r="H300" s="159"/>
      <c r="I300" s="159"/>
      <c r="J300" s="159"/>
      <c r="K300" s="159"/>
    </row>
    <row r="301" spans="1:15" s="152" customFormat="1" ht="68.25" customHeight="1">
      <c r="A301" s="153" t="s">
        <v>407</v>
      </c>
      <c r="B301" s="739" t="s">
        <v>408</v>
      </c>
      <c r="C301" s="745"/>
      <c r="D301" s="745"/>
      <c r="E301" s="745"/>
      <c r="F301" s="745"/>
      <c r="G301" s="745"/>
      <c r="H301" s="745"/>
      <c r="I301" s="745"/>
      <c r="J301" s="616"/>
      <c r="K301" s="616"/>
    </row>
    <row r="302" spans="1:15" s="152" customFormat="1" ht="14.25" customHeight="1">
      <c r="A302" s="153" t="s">
        <v>409</v>
      </c>
      <c r="B302" s="751" t="s">
        <v>410</v>
      </c>
      <c r="C302" s="751"/>
      <c r="D302" s="751"/>
      <c r="E302" s="751"/>
      <c r="F302" s="751"/>
      <c r="G302" s="751"/>
      <c r="H302" s="751"/>
      <c r="I302" s="751"/>
      <c r="J302" s="751"/>
      <c r="K302" s="751"/>
    </row>
    <row r="303" spans="1:15" ht="29.25" customHeight="1">
      <c r="A303" s="151" t="s">
        <v>411</v>
      </c>
      <c r="B303" s="748" t="s">
        <v>412</v>
      </c>
      <c r="C303" s="748"/>
      <c r="D303" s="748"/>
      <c r="E303" s="748"/>
      <c r="F303" s="748"/>
      <c r="G303" s="748"/>
      <c r="H303" s="748"/>
      <c r="I303" s="748"/>
      <c r="J303" s="149"/>
      <c r="K303" s="149"/>
    </row>
    <row r="304" spans="1:15">
      <c r="A304" s="151" t="s">
        <v>413</v>
      </c>
      <c r="B304" s="154" t="s">
        <v>414</v>
      </c>
      <c r="C304" s="155"/>
      <c r="D304" s="155"/>
      <c r="E304" s="155"/>
      <c r="F304" s="155"/>
      <c r="G304" s="155"/>
      <c r="H304" s="145"/>
      <c r="I304" s="156"/>
      <c r="J304" s="157"/>
      <c r="K304" s="158"/>
    </row>
    <row r="305" spans="1:11" ht="12.75" customHeight="1">
      <c r="A305" s="151" t="s">
        <v>415</v>
      </c>
      <c r="B305" s="749" t="s">
        <v>416</v>
      </c>
      <c r="C305" s="749"/>
      <c r="D305" s="749"/>
      <c r="E305" s="749"/>
      <c r="F305" s="749"/>
      <c r="G305" s="749"/>
      <c r="H305" s="749"/>
      <c r="I305" s="749"/>
      <c r="J305" s="159"/>
      <c r="K305" s="159"/>
    </row>
    <row r="306" spans="1:11">
      <c r="A306" s="151" t="s">
        <v>417</v>
      </c>
      <c r="B306" s="159" t="s">
        <v>418</v>
      </c>
      <c r="C306" s="159"/>
      <c r="D306" s="159"/>
      <c r="E306" s="159"/>
      <c r="F306" s="159"/>
      <c r="G306" s="159"/>
      <c r="H306" s="159"/>
      <c r="I306" s="159"/>
      <c r="J306" s="159"/>
      <c r="K306" s="159"/>
    </row>
    <row r="307" spans="1:11">
      <c r="A307" s="151" t="s">
        <v>419</v>
      </c>
      <c r="B307" s="701" t="s">
        <v>420</v>
      </c>
      <c r="C307" s="701"/>
      <c r="D307" s="701"/>
      <c r="E307" s="701"/>
      <c r="F307" s="701"/>
      <c r="G307" s="701"/>
      <c r="H307" s="701"/>
      <c r="I307" s="701"/>
      <c r="J307" s="701"/>
      <c r="K307" s="701"/>
    </row>
    <row r="308" spans="1:11">
      <c r="A308" s="151" t="s">
        <v>421</v>
      </c>
      <c r="B308" s="159" t="s">
        <v>422</v>
      </c>
      <c r="C308" s="159"/>
      <c r="D308" s="159"/>
      <c r="E308" s="159"/>
      <c r="F308" s="159"/>
      <c r="G308" s="159"/>
      <c r="H308" s="159"/>
      <c r="I308" s="159"/>
      <c r="J308" s="159"/>
      <c r="K308" s="159"/>
    </row>
    <row r="309" spans="1:11" ht="12.75" customHeight="1">
      <c r="A309" s="151" t="s">
        <v>423</v>
      </c>
      <c r="B309" s="750" t="s">
        <v>424</v>
      </c>
      <c r="C309" s="750"/>
      <c r="D309" s="750"/>
      <c r="E309" s="750"/>
      <c r="F309" s="750"/>
      <c r="G309" s="750"/>
      <c r="H309" s="750"/>
      <c r="I309" s="750"/>
      <c r="J309" s="159"/>
      <c r="K309" s="159"/>
    </row>
    <row r="310" spans="1:11" ht="30.6" customHeight="1">
      <c r="A310" s="151" t="s">
        <v>1013</v>
      </c>
      <c r="B310" s="723" t="s">
        <v>1021</v>
      </c>
      <c r="C310" s="723"/>
      <c r="D310" s="723"/>
      <c r="E310" s="723"/>
      <c r="F310" s="723"/>
      <c r="G310" s="723"/>
      <c r="H310" s="723"/>
      <c r="I310" s="723"/>
      <c r="J310" s="159"/>
      <c r="K310" s="159"/>
    </row>
    <row r="311" spans="1:11" ht="13.15" customHeight="1">
      <c r="A311" s="579" t="s">
        <v>1014</v>
      </c>
      <c r="B311" s="161"/>
    </row>
    <row r="312" spans="1:11">
      <c r="A312" s="6"/>
      <c r="B312" s="1"/>
      <c r="D312" s="6"/>
      <c r="E312" s="10"/>
      <c r="F312" s="10"/>
      <c r="G312" s="10"/>
    </row>
    <row r="313" spans="1:11">
      <c r="A313" s="6"/>
      <c r="B313" s="1"/>
      <c r="C313" s="134"/>
      <c r="D313" s="10"/>
      <c r="E313" s="10"/>
      <c r="F313" s="10"/>
    </row>
    <row r="314" spans="1:11">
      <c r="A314" s="6"/>
      <c r="B314" s="1"/>
      <c r="C314" s="134"/>
      <c r="D314" s="21"/>
      <c r="E314" s="10"/>
      <c r="F314" s="10"/>
    </row>
    <row r="315" spans="1:11">
      <c r="A315" s="6"/>
      <c r="B315" s="1"/>
      <c r="C315" s="135"/>
      <c r="D315" s="35"/>
      <c r="E315" s="35"/>
      <c r="F315" s="35"/>
      <c r="G315" s="35"/>
    </row>
    <row r="316" spans="1:11">
      <c r="A316" s="6"/>
      <c r="B316" s="4"/>
      <c r="C316" s="135"/>
      <c r="D316" s="111"/>
      <c r="E316" s="35"/>
      <c r="F316" s="35"/>
      <c r="G316" s="35"/>
    </row>
    <row r="317" spans="1:11">
      <c r="A317" s="6"/>
      <c r="B317" s="1"/>
      <c r="C317" s="6"/>
      <c r="D317" s="10"/>
      <c r="E317" s="10"/>
      <c r="F317" s="10"/>
      <c r="G317" s="10"/>
    </row>
  </sheetData>
  <mergeCells count="40">
    <mergeCell ref="M268:V268"/>
    <mergeCell ref="M270:V270"/>
    <mergeCell ref="M271:V271"/>
    <mergeCell ref="M272:V272"/>
    <mergeCell ref="B273:I273"/>
    <mergeCell ref="M273:V273"/>
    <mergeCell ref="A59:K59"/>
    <mergeCell ref="A117:K117"/>
    <mergeCell ref="A198:K198"/>
    <mergeCell ref="A262:K262"/>
    <mergeCell ref="B267:C267"/>
    <mergeCell ref="H251:I251"/>
    <mergeCell ref="H252:I252"/>
    <mergeCell ref="B292:I292"/>
    <mergeCell ref="B287:I287"/>
    <mergeCell ref="L274:L276"/>
    <mergeCell ref="M274:V274"/>
    <mergeCell ref="B275:I275"/>
    <mergeCell ref="B276:I276"/>
    <mergeCell ref="M277:V277"/>
    <mergeCell ref="B278:I278"/>
    <mergeCell ref="B282:I282"/>
    <mergeCell ref="B283:I283"/>
    <mergeCell ref="B285:I285"/>
    <mergeCell ref="B301:I301"/>
    <mergeCell ref="B310:I310"/>
    <mergeCell ref="B293:I293"/>
    <mergeCell ref="B277:I277"/>
    <mergeCell ref="B286:K286"/>
    <mergeCell ref="B288:I288"/>
    <mergeCell ref="B289:I289"/>
    <mergeCell ref="B290:I290"/>
    <mergeCell ref="B303:I303"/>
    <mergeCell ref="B305:I305"/>
    <mergeCell ref="B309:I309"/>
    <mergeCell ref="B294:I294"/>
    <mergeCell ref="B295:I295"/>
    <mergeCell ref="B296:I296"/>
    <mergeCell ref="B297:I297"/>
    <mergeCell ref="B302:K302"/>
  </mergeCells>
  <pageMargins left="0.25" right="0.25" top="0.5" bottom="0.5" header="0.3" footer="0.3"/>
  <pageSetup scale="47" fitToHeight="0" orientation="landscape" r:id="rId1"/>
  <rowBreaks count="4" manualBreakCount="4">
    <brk id="52" max="10" man="1"/>
    <brk id="111" max="10" man="1"/>
    <brk id="192" max="10"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08A1-DC6E-45B8-8968-0B5A89816E92}">
  <dimension ref="A1:W114"/>
  <sheetViews>
    <sheetView workbookViewId="0"/>
  </sheetViews>
  <sheetFormatPr defaultColWidth="8.88671875" defaultRowHeight="12.75"/>
  <cols>
    <col min="1" max="1" width="6" style="162" customWidth="1"/>
    <col min="2" max="2" width="1.44140625" style="162" customWidth="1"/>
    <col min="3" max="3" width="25.6640625" style="162" customWidth="1"/>
    <col min="4" max="4" width="12" style="162" customWidth="1"/>
    <col min="5" max="5" width="13.44140625" style="162" customWidth="1"/>
    <col min="6" max="6" width="13.109375" style="162" customWidth="1"/>
    <col min="7" max="7" width="14.44140625" style="162" customWidth="1"/>
    <col min="8" max="8" width="13.33203125" style="162" customWidth="1"/>
    <col min="9" max="9" width="13.77734375" style="162" customWidth="1"/>
    <col min="10" max="10" width="12.44140625" style="162" customWidth="1"/>
    <col min="11" max="11" width="12.5546875" style="162" customWidth="1"/>
    <col min="12" max="12" width="12.6640625" style="162" customWidth="1"/>
    <col min="13" max="13" width="12.109375" style="162" customWidth="1"/>
    <col min="14" max="14" width="8.6640625" style="162" customWidth="1"/>
    <col min="15" max="15" width="14.44140625" style="162" customWidth="1"/>
    <col min="16" max="16" width="12.77734375" style="162" customWidth="1"/>
    <col min="17" max="17" width="13.88671875" style="162" customWidth="1"/>
    <col min="18" max="18" width="12.109375" style="162" customWidth="1"/>
    <col min="19" max="19" width="9.88671875" style="162" customWidth="1"/>
    <col min="20" max="20" width="12.109375" style="162" customWidth="1"/>
    <col min="21" max="21" width="11.33203125" style="162" customWidth="1"/>
    <col min="22" max="22" width="10.21875" style="162" customWidth="1"/>
    <col min="23" max="23" width="11.21875" style="162" customWidth="1"/>
    <col min="24" max="24" width="9.109375" style="162" bestFit="1" customWidth="1"/>
    <col min="25" max="16384" width="8.88671875" style="162"/>
  </cols>
  <sheetData>
    <row r="1" spans="1:21">
      <c r="Q1" s="163"/>
    </row>
    <row r="2" spans="1:21">
      <c r="Q2" s="163"/>
    </row>
    <row r="4" spans="1:21">
      <c r="E4" s="164" t="s">
        <v>425</v>
      </c>
      <c r="L4" s="162" t="s">
        <v>426</v>
      </c>
      <c r="Q4" s="163"/>
    </row>
    <row r="5" spans="1:21">
      <c r="D5" s="165"/>
      <c r="E5" s="164" t="s">
        <v>427</v>
      </c>
      <c r="F5" s="165"/>
      <c r="H5" s="165"/>
      <c r="I5" s="165"/>
      <c r="J5" s="165"/>
      <c r="L5" s="1"/>
      <c r="M5" s="166"/>
      <c r="N5" s="166"/>
      <c r="O5" s="166"/>
      <c r="P5" s="166"/>
      <c r="Q5" s="166"/>
      <c r="R5" s="167"/>
      <c r="S5" s="168"/>
      <c r="T5" s="168"/>
      <c r="U5" s="167"/>
    </row>
    <row r="6" spans="1:21">
      <c r="D6" s="165"/>
      <c r="E6" s="17" t="str">
        <f>+'Attachment O'!D5</f>
        <v>GridLiance Heartland LLC</v>
      </c>
      <c r="F6" s="169"/>
      <c r="H6" s="169"/>
      <c r="I6" s="169"/>
      <c r="J6" s="169"/>
      <c r="P6" s="167"/>
      <c r="Q6" s="165"/>
      <c r="R6" s="167"/>
      <c r="S6" s="170"/>
      <c r="T6" s="168"/>
      <c r="U6" s="167"/>
    </row>
    <row r="7" spans="1:21">
      <c r="C7" s="167"/>
      <c r="D7" s="167"/>
      <c r="E7" s="167"/>
      <c r="F7" s="167"/>
      <c r="H7" s="167"/>
      <c r="I7" s="167"/>
      <c r="J7" s="167"/>
      <c r="P7" s="167"/>
      <c r="Q7" s="167"/>
      <c r="R7" s="167"/>
      <c r="S7" s="168"/>
      <c r="T7" s="168"/>
      <c r="U7" s="167"/>
    </row>
    <row r="8" spans="1:21">
      <c r="A8" s="164"/>
      <c r="C8" s="167"/>
      <c r="D8" s="167"/>
      <c r="E8" s="167"/>
      <c r="F8" s="167"/>
      <c r="H8" s="167"/>
      <c r="I8" s="167"/>
      <c r="J8" s="167"/>
      <c r="K8" s="167"/>
      <c r="L8" s="167"/>
      <c r="M8" s="167"/>
      <c r="N8" s="167"/>
      <c r="O8" s="167"/>
      <c r="P8" s="167"/>
      <c r="Q8" s="167"/>
      <c r="R8" s="167"/>
      <c r="S8" s="168"/>
      <c r="T8" s="168"/>
      <c r="U8" s="167"/>
    </row>
    <row r="9" spans="1:21">
      <c r="A9" s="164"/>
      <c r="C9" s="167"/>
      <c r="D9" s="167"/>
      <c r="E9" s="167"/>
      <c r="F9" s="167"/>
      <c r="G9" s="171"/>
      <c r="H9" s="167"/>
      <c r="I9" s="167"/>
      <c r="J9" s="167"/>
      <c r="K9" s="167"/>
      <c r="L9" s="167"/>
      <c r="M9" s="167"/>
      <c r="N9" s="167"/>
      <c r="O9" s="167"/>
      <c r="P9" s="167"/>
      <c r="Q9" s="167"/>
      <c r="R9" s="167"/>
      <c r="S9" s="168"/>
      <c r="T9" s="168"/>
      <c r="U9" s="167"/>
    </row>
    <row r="10" spans="1:21">
      <c r="A10" s="38"/>
      <c r="B10" s="2"/>
      <c r="C10" s="39" t="s">
        <v>428</v>
      </c>
      <c r="D10" s="39"/>
      <c r="E10" s="39"/>
      <c r="F10" s="39"/>
      <c r="G10" s="39"/>
      <c r="H10" s="39"/>
      <c r="I10" s="39"/>
      <c r="J10" s="172"/>
      <c r="K10" s="172"/>
      <c r="L10" s="39"/>
      <c r="M10" s="167"/>
      <c r="N10" s="167"/>
      <c r="O10" s="167"/>
      <c r="P10" s="167"/>
      <c r="Q10" s="167"/>
      <c r="R10" s="167"/>
      <c r="S10" s="168"/>
      <c r="T10" s="168"/>
      <c r="U10" s="167"/>
    </row>
    <row r="11" spans="1:21">
      <c r="A11" s="38"/>
      <c r="B11" s="2"/>
      <c r="C11" s="39" t="s">
        <v>429</v>
      </c>
      <c r="D11" s="39"/>
      <c r="E11" s="39"/>
      <c r="F11" s="39"/>
      <c r="G11" s="39"/>
      <c r="H11" s="39"/>
      <c r="I11" s="39"/>
      <c r="J11" s="172"/>
      <c r="K11" s="172"/>
      <c r="L11" s="2"/>
      <c r="M11" s="167"/>
      <c r="N11" s="167"/>
      <c r="O11" s="167"/>
      <c r="P11" s="167"/>
      <c r="Q11" s="167"/>
      <c r="R11" s="167"/>
      <c r="S11" s="167"/>
      <c r="T11" s="167"/>
      <c r="U11" s="167"/>
    </row>
    <row r="12" spans="1:21">
      <c r="A12" s="38"/>
      <c r="B12" s="2"/>
      <c r="C12" s="39"/>
      <c r="D12" s="39"/>
      <c r="E12" s="39"/>
      <c r="F12" s="39"/>
      <c r="G12" s="39"/>
      <c r="H12" s="39"/>
      <c r="I12" s="39"/>
      <c r="J12" s="39"/>
      <c r="K12" s="39"/>
      <c r="L12" s="2"/>
      <c r="M12" s="169"/>
      <c r="N12" s="169"/>
      <c r="O12" s="169"/>
      <c r="P12" s="167"/>
      <c r="Q12" s="167"/>
      <c r="R12" s="167"/>
      <c r="S12" s="167"/>
      <c r="T12" s="167"/>
      <c r="U12" s="167"/>
    </row>
    <row r="13" spans="1:21">
      <c r="A13" s="2"/>
      <c r="B13" s="2"/>
      <c r="C13" s="173" t="s">
        <v>6</v>
      </c>
      <c r="D13" s="173"/>
      <c r="E13" s="173"/>
      <c r="F13" s="173"/>
      <c r="G13" s="173" t="s">
        <v>7</v>
      </c>
      <c r="I13" s="173"/>
      <c r="J13" s="173" t="s">
        <v>8</v>
      </c>
      <c r="K13" s="173"/>
      <c r="L13" s="174" t="s">
        <v>10</v>
      </c>
      <c r="M13" s="175"/>
      <c r="N13" s="175"/>
      <c r="O13" s="175"/>
      <c r="P13" s="169"/>
      <c r="Q13" s="175"/>
      <c r="R13" s="169"/>
      <c r="S13" s="175"/>
      <c r="T13" s="169"/>
      <c r="U13" s="167"/>
    </row>
    <row r="14" spans="1:21">
      <c r="A14" s="2"/>
      <c r="B14" s="2"/>
      <c r="C14" s="39"/>
      <c r="D14" s="39"/>
      <c r="E14" s="39"/>
      <c r="F14" s="39"/>
      <c r="G14" s="176" t="s">
        <v>15</v>
      </c>
      <c r="I14" s="176"/>
      <c r="J14" s="40"/>
      <c r="K14" s="40"/>
      <c r="L14" s="2"/>
      <c r="P14" s="169"/>
      <c r="R14" s="169"/>
      <c r="S14" s="177"/>
      <c r="T14" s="177"/>
      <c r="U14" s="167"/>
    </row>
    <row r="15" spans="1:21">
      <c r="A15" s="38" t="s">
        <v>12</v>
      </c>
      <c r="B15" s="2"/>
      <c r="C15" s="39"/>
      <c r="D15" s="39"/>
      <c r="E15" s="39"/>
      <c r="F15" s="39"/>
      <c r="G15" s="178" t="s">
        <v>430</v>
      </c>
      <c r="I15" s="178"/>
      <c r="J15" s="179" t="s">
        <v>75</v>
      </c>
      <c r="K15" s="179"/>
      <c r="L15" s="179" t="s">
        <v>22</v>
      </c>
      <c r="M15" s="180"/>
      <c r="N15" s="180"/>
      <c r="O15" s="180"/>
      <c r="P15" s="169"/>
      <c r="R15" s="167"/>
      <c r="S15" s="181"/>
      <c r="T15" s="177"/>
      <c r="U15" s="167"/>
    </row>
    <row r="16" spans="1:21">
      <c r="A16" s="38" t="s">
        <v>14</v>
      </c>
      <c r="B16" s="2"/>
      <c r="C16" s="182"/>
      <c r="D16" s="182"/>
      <c r="E16" s="182"/>
      <c r="F16" s="182"/>
      <c r="G16" s="40"/>
      <c r="I16" s="40"/>
      <c r="J16" s="40"/>
      <c r="K16" s="40"/>
      <c r="L16" s="40"/>
      <c r="M16" s="169"/>
      <c r="N16" s="169"/>
      <c r="O16" s="169"/>
      <c r="P16" s="169"/>
      <c r="Q16" s="169"/>
      <c r="R16" s="167"/>
      <c r="S16" s="169"/>
      <c r="T16" s="169"/>
      <c r="U16" s="167"/>
    </row>
    <row r="17" spans="1:21">
      <c r="A17" s="183"/>
      <c r="B17" s="2"/>
      <c r="C17" s="39"/>
      <c r="D17" s="39"/>
      <c r="E17" s="39"/>
      <c r="F17" s="39"/>
      <c r="G17" s="40"/>
      <c r="I17" s="40"/>
      <c r="J17" s="40"/>
      <c r="K17" s="40"/>
      <c r="L17" s="40"/>
      <c r="M17" s="169"/>
      <c r="N17" s="169"/>
      <c r="O17" s="169"/>
      <c r="P17" s="169"/>
      <c r="Q17" s="169"/>
      <c r="R17" s="167"/>
      <c r="S17" s="169"/>
      <c r="T17" s="169"/>
      <c r="U17" s="167"/>
    </row>
    <row r="18" spans="1:21">
      <c r="A18" s="184">
        <v>1</v>
      </c>
      <c r="C18" s="167" t="s">
        <v>431</v>
      </c>
      <c r="D18" s="167"/>
      <c r="E18" s="167"/>
      <c r="F18" s="167"/>
      <c r="G18" s="185" t="s">
        <v>432</v>
      </c>
      <c r="I18" s="184"/>
      <c r="J18" s="35">
        <f>+'Attachment O'!I66</f>
        <v>18868477.302322008</v>
      </c>
      <c r="L18" s="2"/>
      <c r="P18" s="169"/>
      <c r="Q18" s="169"/>
      <c r="R18" s="167"/>
      <c r="S18" s="169"/>
      <c r="T18" s="169"/>
      <c r="U18" s="167"/>
    </row>
    <row r="19" spans="1:21">
      <c r="A19" s="184" t="s">
        <v>151</v>
      </c>
      <c r="C19" s="167" t="s">
        <v>433</v>
      </c>
      <c r="D19" s="167"/>
      <c r="E19" s="167"/>
      <c r="F19" s="167"/>
      <c r="G19" s="185" t="s">
        <v>434</v>
      </c>
      <c r="I19" s="184"/>
      <c r="J19" s="35">
        <f>+'Attachment O'!I74</f>
        <v>9446053.7374321893</v>
      </c>
      <c r="L19" s="2"/>
      <c r="P19" s="169"/>
      <c r="Q19" s="169"/>
      <c r="R19" s="167"/>
      <c r="S19" s="169"/>
      <c r="T19" s="169"/>
      <c r="U19" s="167"/>
    </row>
    <row r="20" spans="1:21">
      <c r="A20" s="184" t="s">
        <v>153</v>
      </c>
      <c r="C20" s="167" t="s">
        <v>435</v>
      </c>
      <c r="D20" s="167"/>
      <c r="E20" s="167"/>
      <c r="F20" s="167"/>
      <c r="G20" s="185" t="s">
        <v>436</v>
      </c>
      <c r="I20" s="184"/>
      <c r="J20" s="186">
        <f>+'Attachment O'!I88+'Attachment O'!I96+'Attachment O'!I97</f>
        <v>0</v>
      </c>
      <c r="L20" s="2"/>
      <c r="P20" s="169"/>
      <c r="Q20" s="169"/>
      <c r="R20" s="167"/>
      <c r="S20" s="169"/>
      <c r="T20" s="169"/>
      <c r="U20" s="167"/>
    </row>
    <row r="21" spans="1:21">
      <c r="A21" s="184">
        <v>2</v>
      </c>
      <c r="C21" s="167" t="s">
        <v>437</v>
      </c>
      <c r="D21" s="167"/>
      <c r="E21" s="167"/>
      <c r="F21" s="167"/>
      <c r="G21" s="187" t="s">
        <v>438</v>
      </c>
      <c r="I21" s="184"/>
      <c r="J21" s="35">
        <f>+J18-J19+J20</f>
        <v>9422423.5648898184</v>
      </c>
      <c r="L21" s="2"/>
      <c r="P21" s="169"/>
      <c r="Q21" s="169"/>
      <c r="R21" s="167"/>
      <c r="S21" s="169"/>
      <c r="T21" s="169"/>
      <c r="U21" s="167"/>
    </row>
    <row r="22" spans="1:21">
      <c r="A22" s="188"/>
      <c r="B22" s="2"/>
      <c r="C22" s="2"/>
      <c r="D22" s="2"/>
      <c r="E22" s="2"/>
      <c r="F22" s="2"/>
      <c r="G22" s="187"/>
      <c r="I22" s="188"/>
      <c r="J22" s="2"/>
      <c r="K22" s="2"/>
      <c r="L22" s="2"/>
      <c r="M22" s="169"/>
      <c r="N22" s="169"/>
      <c r="O22" s="169"/>
      <c r="P22" s="169"/>
      <c r="Q22" s="169"/>
      <c r="R22" s="169"/>
      <c r="S22" s="169"/>
      <c r="T22" s="169"/>
      <c r="U22" s="167"/>
    </row>
    <row r="23" spans="1:21">
      <c r="A23" s="188"/>
      <c r="B23" s="2"/>
      <c r="C23" s="39" t="s">
        <v>439</v>
      </c>
      <c r="D23" s="39"/>
      <c r="E23" s="39"/>
      <c r="F23" s="39"/>
      <c r="G23" s="187"/>
      <c r="I23" s="188"/>
      <c r="J23" s="40"/>
      <c r="K23" s="40"/>
      <c r="L23" s="40"/>
      <c r="P23" s="169"/>
      <c r="Q23" s="169"/>
      <c r="R23" s="169"/>
      <c r="S23" s="169"/>
      <c r="T23" s="169"/>
      <c r="U23" s="167"/>
    </row>
    <row r="24" spans="1:21">
      <c r="A24" s="188">
        <v>3</v>
      </c>
      <c r="B24" s="2"/>
      <c r="C24" s="39" t="s">
        <v>440</v>
      </c>
      <c r="D24" s="39"/>
      <c r="E24" s="39"/>
      <c r="F24" s="39"/>
      <c r="G24" s="187" t="s">
        <v>441</v>
      </c>
      <c r="I24" s="188"/>
      <c r="J24" s="35">
        <f>+'Attachment O'!I138</f>
        <v>4911816.4415543601</v>
      </c>
      <c r="K24" s="40"/>
      <c r="L24" s="2"/>
      <c r="M24" s="189"/>
      <c r="N24" s="189"/>
      <c r="O24" s="189"/>
      <c r="P24" s="169"/>
      <c r="Q24" s="190"/>
      <c r="R24" s="191"/>
      <c r="S24" s="192"/>
      <c r="T24" s="169"/>
      <c r="U24" s="167"/>
    </row>
    <row r="25" spans="1:21">
      <c r="A25" s="188" t="s">
        <v>442</v>
      </c>
      <c r="B25" s="2"/>
      <c r="C25" s="39" t="s">
        <v>443</v>
      </c>
      <c r="D25" s="39"/>
      <c r="E25" s="39"/>
      <c r="F25" s="39"/>
      <c r="G25" s="187" t="s">
        <v>444</v>
      </c>
      <c r="I25" s="188"/>
      <c r="J25" s="35">
        <f>+'Attachment O'!I122</f>
        <v>2388981.1001938689</v>
      </c>
      <c r="K25" s="40"/>
      <c r="L25" s="2"/>
      <c r="M25" s="189"/>
      <c r="N25" s="189"/>
      <c r="O25" s="189"/>
      <c r="P25" s="169"/>
      <c r="Q25" s="190"/>
      <c r="R25" s="191"/>
      <c r="S25" s="192"/>
      <c r="T25" s="169"/>
      <c r="U25" s="167"/>
    </row>
    <row r="26" spans="1:21">
      <c r="A26" s="188" t="s">
        <v>445</v>
      </c>
      <c r="B26" s="2"/>
      <c r="C26" s="150" t="s">
        <v>1007</v>
      </c>
      <c r="D26" s="150"/>
      <c r="E26" s="39"/>
      <c r="F26" s="39"/>
      <c r="G26" s="187" t="s">
        <v>1008</v>
      </c>
      <c r="I26" s="188"/>
      <c r="J26" s="35">
        <f>+'Attachment O'!I123</f>
        <v>647991.48895986308</v>
      </c>
      <c r="K26" s="40"/>
      <c r="L26" s="2"/>
      <c r="M26" s="169"/>
      <c r="N26" s="169"/>
      <c r="O26" s="169"/>
      <c r="P26" s="169"/>
      <c r="Q26" s="190"/>
      <c r="R26" s="191"/>
      <c r="S26" s="192"/>
      <c r="T26" s="169"/>
      <c r="U26" s="167"/>
    </row>
    <row r="27" spans="1:21">
      <c r="A27" s="188" t="s">
        <v>446</v>
      </c>
      <c r="B27" s="2"/>
      <c r="C27" s="39" t="s">
        <v>447</v>
      </c>
      <c r="D27" s="39"/>
      <c r="E27" s="39"/>
      <c r="F27" s="39"/>
      <c r="G27" s="187" t="s">
        <v>448</v>
      </c>
      <c r="I27" s="188"/>
      <c r="J27" s="35">
        <f>+'Attachment O'!I125</f>
        <v>0</v>
      </c>
      <c r="K27" s="193"/>
      <c r="L27" s="2"/>
      <c r="P27" s="169"/>
      <c r="Q27" s="190"/>
      <c r="R27" s="191"/>
      <c r="S27" s="192"/>
      <c r="T27" s="169"/>
      <c r="U27" s="167"/>
    </row>
    <row r="28" spans="1:21">
      <c r="A28" s="188" t="s">
        <v>449</v>
      </c>
      <c r="B28" s="2"/>
      <c r="C28" s="167" t="s">
        <v>450</v>
      </c>
      <c r="D28" s="39"/>
      <c r="E28" s="39"/>
      <c r="F28" s="39"/>
      <c r="G28" s="187" t="s">
        <v>451</v>
      </c>
      <c r="I28" s="188"/>
      <c r="J28" s="186">
        <f>+'Attachment O'!I135</f>
        <v>0</v>
      </c>
      <c r="K28" s="193"/>
      <c r="L28" s="2"/>
      <c r="P28" s="169"/>
      <c r="Q28" s="190"/>
      <c r="R28" s="191"/>
      <c r="S28" s="192"/>
      <c r="T28" s="169"/>
      <c r="U28" s="167"/>
    </row>
    <row r="29" spans="1:21">
      <c r="A29" s="188" t="s">
        <v>452</v>
      </c>
      <c r="B29" s="2"/>
      <c r="C29" s="39" t="s">
        <v>453</v>
      </c>
      <c r="D29" s="39"/>
      <c r="E29" s="39"/>
      <c r="F29" s="39"/>
      <c r="G29" s="187" t="s">
        <v>454</v>
      </c>
      <c r="I29" s="188"/>
      <c r="J29" s="35">
        <f>J25-(J26+J27)-J28</f>
        <v>1740989.6112340058</v>
      </c>
      <c r="K29" s="40"/>
      <c r="L29" s="2"/>
      <c r="M29" s="189"/>
      <c r="N29" s="189"/>
      <c r="O29" s="189"/>
      <c r="P29" s="169"/>
      <c r="Q29" s="190"/>
      <c r="R29" s="191"/>
      <c r="S29" s="192"/>
      <c r="T29" s="169"/>
      <c r="U29" s="167"/>
    </row>
    <row r="30" spans="1:21">
      <c r="A30" s="188"/>
      <c r="B30" s="2"/>
      <c r="C30" s="39"/>
      <c r="D30" s="39"/>
      <c r="E30" s="39"/>
      <c r="F30" s="39"/>
      <c r="G30" s="187"/>
      <c r="I30" s="188"/>
      <c r="J30" s="40"/>
      <c r="K30" s="40"/>
      <c r="L30" s="2"/>
      <c r="M30" s="189"/>
      <c r="N30" s="189"/>
      <c r="O30" s="189"/>
      <c r="P30" s="169"/>
      <c r="Q30" s="190"/>
      <c r="R30" s="191"/>
      <c r="S30" s="192"/>
      <c r="T30" s="169"/>
      <c r="U30" s="167"/>
    </row>
    <row r="31" spans="1:21">
      <c r="A31" s="188">
        <v>4</v>
      </c>
      <c r="B31" s="2"/>
      <c r="C31" s="182" t="s">
        <v>455</v>
      </c>
      <c r="D31" s="182"/>
      <c r="E31" s="182"/>
      <c r="F31" s="182"/>
      <c r="G31" s="187" t="s">
        <v>456</v>
      </c>
      <c r="I31" s="188"/>
      <c r="J31" s="194">
        <f>IF(J18=0,0,J29/J18)</f>
        <v>9.2269746166520533E-2</v>
      </c>
      <c r="K31" s="194"/>
      <c r="L31" s="194">
        <f>J31</f>
        <v>9.2269746166520533E-2</v>
      </c>
      <c r="M31" s="169"/>
      <c r="N31" s="169"/>
      <c r="O31" s="169"/>
      <c r="P31" s="169"/>
      <c r="Q31" s="169"/>
      <c r="R31" s="169"/>
      <c r="S31" s="169"/>
      <c r="T31" s="169"/>
      <c r="U31" s="167"/>
    </row>
    <row r="32" spans="1:21">
      <c r="A32" s="188"/>
      <c r="B32" s="2"/>
      <c r="C32" s="39"/>
      <c r="D32" s="39"/>
      <c r="E32" s="39"/>
      <c r="F32" s="39"/>
      <c r="G32" s="187"/>
      <c r="I32" s="188"/>
      <c r="J32" s="21"/>
      <c r="K32" s="21"/>
      <c r="L32" s="21"/>
      <c r="P32" s="169"/>
      <c r="Q32" s="181"/>
      <c r="R32" s="169"/>
      <c r="S32" s="184"/>
      <c r="T32" s="177"/>
      <c r="U32" s="167"/>
    </row>
    <row r="33" spans="1:21">
      <c r="A33" s="188"/>
      <c r="B33" s="2"/>
      <c r="C33" s="39"/>
      <c r="D33" s="39"/>
      <c r="E33" s="39"/>
      <c r="F33" s="39"/>
      <c r="G33" s="187"/>
      <c r="I33" s="188"/>
      <c r="J33" s="21"/>
      <c r="K33" s="21"/>
      <c r="L33" s="21"/>
      <c r="M33" s="189"/>
      <c r="N33" s="189"/>
      <c r="O33" s="189"/>
      <c r="P33" s="169"/>
      <c r="Q33" s="190"/>
      <c r="R33" s="169"/>
      <c r="S33" s="192"/>
      <c r="T33" s="177"/>
      <c r="U33" s="167"/>
    </row>
    <row r="34" spans="1:21">
      <c r="A34" s="188"/>
      <c r="B34" s="2"/>
      <c r="C34" s="39" t="s">
        <v>457</v>
      </c>
      <c r="D34" s="39"/>
      <c r="E34" s="39"/>
      <c r="F34" s="39"/>
      <c r="G34" s="187"/>
      <c r="I34" s="188"/>
      <c r="J34" s="21"/>
      <c r="K34" s="21"/>
      <c r="L34" s="21"/>
      <c r="M34" s="169"/>
      <c r="N34" s="169"/>
      <c r="O34" s="169"/>
      <c r="P34" s="169"/>
      <c r="T34" s="169"/>
      <c r="U34" s="167"/>
    </row>
    <row r="35" spans="1:21">
      <c r="A35" s="188" t="s">
        <v>458</v>
      </c>
      <c r="B35" s="2"/>
      <c r="C35" s="39" t="s">
        <v>459</v>
      </c>
      <c r="D35" s="39"/>
      <c r="E35" s="39"/>
      <c r="F35" s="39"/>
      <c r="G35" s="187" t="s">
        <v>460</v>
      </c>
      <c r="I35" s="188"/>
      <c r="J35" s="35">
        <f>+J24-J29</f>
        <v>3170826.8303203546</v>
      </c>
      <c r="K35" s="21"/>
      <c r="L35" s="21"/>
      <c r="M35" s="169"/>
      <c r="N35" s="169"/>
      <c r="O35" s="169"/>
      <c r="P35" s="169"/>
      <c r="T35" s="169"/>
      <c r="U35" s="167"/>
    </row>
    <row r="36" spans="1:21">
      <c r="A36" s="188" t="s">
        <v>461</v>
      </c>
      <c r="B36" s="2"/>
      <c r="C36" s="39" t="s">
        <v>462</v>
      </c>
      <c r="D36" s="39"/>
      <c r="E36" s="39"/>
      <c r="F36" s="39"/>
      <c r="G36" s="187" t="s">
        <v>463</v>
      </c>
      <c r="I36" s="188"/>
      <c r="J36" s="21">
        <f>IF(J18=0,0,J35/J18)</f>
        <v>0.16804889867451803</v>
      </c>
      <c r="K36" s="21"/>
      <c r="L36" s="21">
        <f>J36</f>
        <v>0.16804889867451803</v>
      </c>
      <c r="M36" s="169"/>
      <c r="N36" s="169"/>
      <c r="O36" s="169"/>
      <c r="P36" s="169"/>
      <c r="T36" s="169"/>
      <c r="U36" s="167"/>
    </row>
    <row r="37" spans="1:21">
      <c r="A37" s="188"/>
      <c r="B37" s="2"/>
      <c r="C37" s="39"/>
      <c r="D37" s="39"/>
      <c r="E37" s="39"/>
      <c r="F37" s="39"/>
      <c r="G37" s="187"/>
      <c r="I37" s="188"/>
      <c r="J37" s="21"/>
      <c r="K37" s="21"/>
      <c r="L37" s="21"/>
      <c r="M37" s="169"/>
      <c r="N37" s="169"/>
      <c r="O37" s="169"/>
      <c r="P37" s="169"/>
      <c r="T37" s="169"/>
      <c r="U37" s="167"/>
    </row>
    <row r="38" spans="1:21">
      <c r="A38" s="174"/>
      <c r="B38" s="2"/>
      <c r="C38" s="39" t="s">
        <v>464</v>
      </c>
      <c r="D38" s="39"/>
      <c r="E38" s="39"/>
      <c r="F38" s="39"/>
      <c r="G38" s="195"/>
      <c r="I38" s="14"/>
      <c r="J38" s="21"/>
      <c r="K38" s="21"/>
      <c r="L38" s="21"/>
      <c r="M38" s="196"/>
      <c r="N38" s="196"/>
      <c r="O38" s="196"/>
      <c r="P38" s="169"/>
      <c r="T38" s="169"/>
      <c r="U38" s="167"/>
    </row>
    <row r="39" spans="1:21">
      <c r="A39" s="174" t="s">
        <v>465</v>
      </c>
      <c r="B39" s="2"/>
      <c r="C39" s="39" t="s">
        <v>466</v>
      </c>
      <c r="D39" s="39"/>
      <c r="E39" s="39"/>
      <c r="F39" s="39"/>
      <c r="G39" s="187" t="s">
        <v>467</v>
      </c>
      <c r="I39" s="188"/>
      <c r="J39" s="21">
        <f>+'Attachment O'!I142+'Attachment O'!I143</f>
        <v>0</v>
      </c>
      <c r="K39" s="21"/>
      <c r="L39" s="21"/>
      <c r="M39" s="169"/>
      <c r="N39" s="169"/>
      <c r="O39" s="169"/>
      <c r="P39" s="169"/>
      <c r="Q39" s="169"/>
      <c r="R39" s="169"/>
      <c r="S39" s="197"/>
      <c r="T39" s="169"/>
      <c r="U39" s="167"/>
    </row>
    <row r="40" spans="1:21">
      <c r="A40" s="174" t="s">
        <v>468</v>
      </c>
      <c r="B40" s="2"/>
      <c r="C40" s="39" t="s">
        <v>469</v>
      </c>
      <c r="D40" s="39"/>
      <c r="E40" s="39"/>
      <c r="F40" s="39"/>
      <c r="G40" s="187" t="s">
        <v>470</v>
      </c>
      <c r="I40" s="188"/>
      <c r="J40" s="21">
        <f>IF(J18=0,0,J39/J18)</f>
        <v>0</v>
      </c>
      <c r="K40" s="21"/>
      <c r="L40" s="21">
        <f>J40</f>
        <v>0</v>
      </c>
      <c r="M40" s="169"/>
      <c r="N40" s="169"/>
      <c r="O40" s="169"/>
      <c r="P40" s="198"/>
      <c r="Q40" s="199"/>
      <c r="T40" s="177"/>
      <c r="U40" s="169" t="s">
        <v>9</v>
      </c>
    </row>
    <row r="41" spans="1:21">
      <c r="A41" s="188"/>
      <c r="B41" s="2"/>
      <c r="C41" s="39"/>
      <c r="D41" s="39"/>
      <c r="E41" s="39"/>
      <c r="F41" s="39"/>
      <c r="G41" s="187"/>
      <c r="I41" s="188"/>
      <c r="J41" s="21"/>
      <c r="K41" s="21"/>
      <c r="L41" s="21"/>
      <c r="M41" s="169"/>
      <c r="N41" s="169"/>
      <c r="O41" s="169"/>
      <c r="P41" s="198"/>
      <c r="Q41" s="199"/>
      <c r="T41" s="177"/>
      <c r="U41" s="169"/>
    </row>
    <row r="42" spans="1:21">
      <c r="A42" s="174"/>
      <c r="B42" s="2"/>
      <c r="C42" s="39" t="s">
        <v>471</v>
      </c>
      <c r="D42" s="39"/>
      <c r="E42" s="39"/>
      <c r="F42" s="39"/>
      <c r="G42" s="195"/>
      <c r="I42" s="14"/>
      <c r="J42" s="21"/>
      <c r="K42" s="21"/>
      <c r="L42" s="21"/>
      <c r="M42" s="189"/>
      <c r="N42" s="189"/>
      <c r="O42" s="189"/>
      <c r="P42" s="198"/>
      <c r="Q42" s="199"/>
      <c r="R42" s="169"/>
      <c r="S42" s="169"/>
      <c r="T42" s="177"/>
      <c r="U42" s="169"/>
    </row>
    <row r="43" spans="1:21">
      <c r="A43" s="174" t="s">
        <v>472</v>
      </c>
      <c r="B43" s="2"/>
      <c r="C43" s="39" t="s">
        <v>473</v>
      </c>
      <c r="D43" s="39"/>
      <c r="E43" s="39"/>
      <c r="F43" s="39"/>
      <c r="G43" s="187" t="s">
        <v>474</v>
      </c>
      <c r="I43" s="188"/>
      <c r="J43" s="35">
        <f>+'Attachment O'!I156</f>
        <v>333132.551501351</v>
      </c>
      <c r="K43" s="21"/>
      <c r="L43" s="21"/>
      <c r="M43" s="169"/>
      <c r="N43" s="169"/>
      <c r="O43" s="169"/>
      <c r="P43" s="169"/>
      <c r="R43" s="167"/>
      <c r="S43" s="169"/>
      <c r="T43" s="167"/>
      <c r="U43" s="167"/>
    </row>
    <row r="44" spans="1:21">
      <c r="A44" s="174" t="s">
        <v>475</v>
      </c>
      <c r="B44" s="2"/>
      <c r="C44" s="39" t="s">
        <v>476</v>
      </c>
      <c r="D44" s="39"/>
      <c r="E44" s="39"/>
      <c r="F44" s="39"/>
      <c r="G44" s="187" t="s">
        <v>477</v>
      </c>
      <c r="I44" s="188"/>
      <c r="J44" s="21">
        <f>IF(J18=0,0,J43/J18)</f>
        <v>1.7655507975747189E-2</v>
      </c>
      <c r="K44" s="21"/>
      <c r="L44" s="21">
        <f>J44</f>
        <v>1.7655507975747189E-2</v>
      </c>
      <c r="P44" s="169"/>
      <c r="R44" s="169"/>
      <c r="S44" s="169"/>
      <c r="T44" s="169"/>
      <c r="U44" s="167"/>
    </row>
    <row r="45" spans="1:21">
      <c r="A45" s="174"/>
      <c r="B45" s="2"/>
      <c r="C45" s="39"/>
      <c r="D45" s="39"/>
      <c r="E45" s="39"/>
      <c r="F45" s="39"/>
      <c r="G45" s="187"/>
      <c r="I45" s="188"/>
      <c r="J45" s="21"/>
      <c r="K45" s="21"/>
      <c r="L45" s="21"/>
      <c r="M45" s="169"/>
      <c r="N45" s="169"/>
      <c r="O45" s="169"/>
      <c r="P45" s="169"/>
      <c r="R45" s="169"/>
      <c r="S45" s="169"/>
      <c r="T45" s="169"/>
      <c r="U45" s="167"/>
    </row>
    <row r="46" spans="1:21">
      <c r="A46" s="200" t="s">
        <v>478</v>
      </c>
      <c r="B46" s="201"/>
      <c r="C46" s="182" t="s">
        <v>479</v>
      </c>
      <c r="D46" s="182"/>
      <c r="E46" s="182"/>
      <c r="F46" s="182"/>
      <c r="G46" s="202" t="s">
        <v>480</v>
      </c>
      <c r="I46" s="176"/>
      <c r="J46" s="194">
        <f>J36+J40+J44</f>
        <v>0.18570440665026522</v>
      </c>
      <c r="K46" s="194"/>
      <c r="L46" s="194">
        <f>L36+L40+L44</f>
        <v>0.18570440665026522</v>
      </c>
      <c r="M46" s="189"/>
      <c r="N46" s="189"/>
      <c r="O46" s="189"/>
      <c r="P46" s="169"/>
      <c r="S46" s="203"/>
      <c r="T46" s="177"/>
      <c r="U46" s="169"/>
    </row>
    <row r="47" spans="1:21">
      <c r="A47" s="174"/>
      <c r="B47" s="2"/>
      <c r="C47" s="39"/>
      <c r="D47" s="39"/>
      <c r="E47" s="39"/>
      <c r="F47" s="39"/>
      <c r="G47" s="187"/>
      <c r="I47" s="188"/>
      <c r="J47" s="21"/>
      <c r="K47" s="21"/>
      <c r="L47" s="21"/>
      <c r="M47" s="169"/>
      <c r="N47" s="169"/>
      <c r="O47" s="169"/>
      <c r="P47" s="169"/>
      <c r="Q47" s="204"/>
      <c r="R47" s="169"/>
      <c r="S47" s="169"/>
      <c r="T47" s="169"/>
      <c r="U47" s="167"/>
    </row>
    <row r="48" spans="1:21">
      <c r="A48" s="174"/>
      <c r="B48" s="31"/>
      <c r="C48" s="40" t="s">
        <v>481</v>
      </c>
      <c r="D48" s="40"/>
      <c r="E48" s="40"/>
      <c r="F48" s="40"/>
      <c r="G48" s="187"/>
      <c r="I48" s="188"/>
      <c r="J48" s="21"/>
      <c r="K48" s="21"/>
      <c r="L48" s="21"/>
      <c r="M48" s="196"/>
      <c r="N48" s="196"/>
      <c r="O48" s="196"/>
      <c r="P48" s="169"/>
      <c r="Q48" s="204"/>
      <c r="R48" s="169"/>
      <c r="S48" s="169"/>
      <c r="T48" s="169"/>
      <c r="U48" s="167"/>
    </row>
    <row r="49" spans="1:23">
      <c r="A49" s="174" t="s">
        <v>482</v>
      </c>
      <c r="B49" s="31"/>
      <c r="C49" s="40" t="s">
        <v>342</v>
      </c>
      <c r="D49" s="40"/>
      <c r="E49" s="40"/>
      <c r="F49" s="40"/>
      <c r="G49" s="187" t="s">
        <v>483</v>
      </c>
      <c r="I49" s="188"/>
      <c r="J49" s="35">
        <f>+'Attachment O'!I171</f>
        <v>188639.69125901273</v>
      </c>
      <c r="K49" s="21"/>
      <c r="L49" s="21"/>
      <c r="P49" s="205"/>
      <c r="Q49" s="205"/>
      <c r="R49" s="169"/>
      <c r="S49" s="169"/>
      <c r="T49" s="169"/>
      <c r="U49" s="167"/>
    </row>
    <row r="50" spans="1:23">
      <c r="A50" s="174" t="s">
        <v>484</v>
      </c>
      <c r="B50" s="31"/>
      <c r="C50" s="40" t="s">
        <v>485</v>
      </c>
      <c r="D50" s="40"/>
      <c r="E50" s="40"/>
      <c r="F50" s="40"/>
      <c r="G50" s="187" t="s">
        <v>486</v>
      </c>
      <c r="I50" s="188"/>
      <c r="J50" s="21">
        <f>IF(J21=0,0,J49/J21)</f>
        <v>2.0020294137691803E-2</v>
      </c>
      <c r="K50" s="21"/>
      <c r="L50" s="21">
        <f>J50</f>
        <v>2.0020294137691803E-2</v>
      </c>
      <c r="P50" s="205"/>
      <c r="Q50" s="205"/>
      <c r="R50" s="169"/>
      <c r="S50" s="169"/>
      <c r="T50" s="169"/>
      <c r="U50" s="167"/>
    </row>
    <row r="51" spans="1:23">
      <c r="A51" s="174"/>
      <c r="B51" s="2"/>
      <c r="C51" s="40"/>
      <c r="D51" s="40"/>
      <c r="E51" s="40"/>
      <c r="F51" s="40"/>
      <c r="G51" s="187"/>
      <c r="I51" s="188"/>
      <c r="J51" s="21"/>
      <c r="K51" s="21"/>
      <c r="L51" s="21"/>
      <c r="P51" s="205"/>
      <c r="Q51" s="205"/>
      <c r="R51" s="169"/>
      <c r="S51" s="169"/>
      <c r="T51" s="169"/>
      <c r="U51" s="167"/>
    </row>
    <row r="52" spans="1:23">
      <c r="A52" s="174"/>
      <c r="B52" s="2"/>
      <c r="C52" s="39" t="s">
        <v>241</v>
      </c>
      <c r="D52" s="39"/>
      <c r="E52" s="39"/>
      <c r="F52" s="39"/>
      <c r="G52" s="206"/>
      <c r="I52" s="207"/>
      <c r="J52" s="21"/>
      <c r="K52" s="21"/>
      <c r="L52" s="21"/>
      <c r="P52" s="205"/>
      <c r="Q52" s="205"/>
      <c r="R52" s="169"/>
      <c r="S52" s="169"/>
      <c r="T52" s="169"/>
      <c r="U52" s="167"/>
    </row>
    <row r="53" spans="1:23">
      <c r="A53" s="174" t="s">
        <v>487</v>
      </c>
      <c r="B53" s="2"/>
      <c r="C53" s="39" t="s">
        <v>488</v>
      </c>
      <c r="D53" s="39"/>
      <c r="E53" s="39"/>
      <c r="F53" s="39"/>
      <c r="G53" s="187" t="s">
        <v>489</v>
      </c>
      <c r="I53" s="188"/>
      <c r="J53" s="35">
        <f>+'Attachment O'!I174</f>
        <v>928377.9990435848</v>
      </c>
      <c r="K53" s="21"/>
      <c r="L53" s="21"/>
      <c r="P53" s="205"/>
      <c r="Q53" s="205"/>
      <c r="R53" s="169"/>
      <c r="S53" s="169"/>
      <c r="T53" s="169"/>
      <c r="U53" s="167"/>
    </row>
    <row r="54" spans="1:23">
      <c r="A54" s="174" t="s">
        <v>490</v>
      </c>
      <c r="B54" s="31"/>
      <c r="C54" s="40" t="s">
        <v>491</v>
      </c>
      <c r="D54" s="40"/>
      <c r="E54" s="40"/>
      <c r="F54" s="40"/>
      <c r="G54" s="187" t="s">
        <v>492</v>
      </c>
      <c r="I54" s="188"/>
      <c r="J54" s="21">
        <f>IF(J21=0,0,J53/J21)</f>
        <v>9.8528578411921655E-2</v>
      </c>
      <c r="K54" s="21"/>
      <c r="L54" s="21">
        <f>J54</f>
        <v>9.8528578411921655E-2</v>
      </c>
      <c r="P54" s="205"/>
      <c r="Q54" s="205"/>
      <c r="R54" s="169"/>
      <c r="S54" s="169"/>
      <c r="T54" s="169"/>
      <c r="U54" s="167"/>
    </row>
    <row r="55" spans="1:23">
      <c r="A55" s="174"/>
      <c r="B55" s="2"/>
      <c r="C55" s="39"/>
      <c r="D55" s="39"/>
      <c r="E55" s="39"/>
      <c r="F55" s="39"/>
      <c r="G55" s="187"/>
      <c r="I55" s="188"/>
      <c r="J55" s="21"/>
      <c r="K55" s="21"/>
      <c r="L55" s="21"/>
      <c r="P55" s="205"/>
      <c r="Q55" s="205"/>
      <c r="R55" s="169"/>
      <c r="S55" s="169"/>
      <c r="T55" s="169"/>
      <c r="U55" s="167"/>
    </row>
    <row r="56" spans="1:23">
      <c r="A56" s="200" t="s">
        <v>493</v>
      </c>
      <c r="B56" s="201"/>
      <c r="C56" s="182" t="s">
        <v>494</v>
      </c>
      <c r="D56" s="182"/>
      <c r="E56" s="182"/>
      <c r="F56" s="182"/>
      <c r="G56" s="202" t="s">
        <v>495</v>
      </c>
      <c r="I56" s="176"/>
      <c r="J56" s="194"/>
      <c r="K56" s="194"/>
      <c r="L56" s="194">
        <f>L50+L54</f>
        <v>0.11854887254961347</v>
      </c>
      <c r="P56" s="205"/>
      <c r="Q56" s="205"/>
      <c r="R56" s="169"/>
      <c r="S56" s="169"/>
      <c r="T56" s="169"/>
      <c r="U56" s="167"/>
    </row>
    <row r="57" spans="1:23">
      <c r="J57" s="21"/>
      <c r="K57" s="21"/>
      <c r="L57" s="21"/>
      <c r="P57" s="205"/>
      <c r="Q57" s="205"/>
      <c r="R57" s="169"/>
      <c r="S57" s="169"/>
      <c r="T57" s="169"/>
      <c r="U57" s="167"/>
    </row>
    <row r="58" spans="1:23">
      <c r="J58" s="21"/>
      <c r="K58" s="21"/>
      <c r="L58" s="21"/>
      <c r="P58" s="205"/>
      <c r="Q58" s="205"/>
      <c r="R58" s="169"/>
      <c r="S58" s="169"/>
      <c r="T58" s="169"/>
      <c r="U58" s="167"/>
    </row>
    <row r="59" spans="1:23">
      <c r="A59" s="208"/>
      <c r="C59" s="175"/>
      <c r="D59" s="175"/>
      <c r="E59" s="209"/>
      <c r="F59" s="209"/>
      <c r="G59" s="169"/>
      <c r="J59" s="210"/>
      <c r="P59" s="169"/>
      <c r="Q59" s="190"/>
      <c r="R59" s="166"/>
      <c r="S59" s="169"/>
      <c r="T59" s="184"/>
      <c r="U59" s="169"/>
    </row>
    <row r="60" spans="1:23">
      <c r="A60" s="164"/>
      <c r="G60" s="169"/>
      <c r="P60" s="169"/>
      <c r="Q60" s="169"/>
      <c r="R60" s="169"/>
      <c r="S60" s="169"/>
      <c r="T60" s="177"/>
      <c r="U60" s="169" t="s">
        <v>9</v>
      </c>
    </row>
    <row r="61" spans="1:23">
      <c r="Q61" s="163"/>
    </row>
    <row r="62" spans="1:23">
      <c r="L62" s="162" t="s">
        <v>496</v>
      </c>
      <c r="Q62" s="163"/>
      <c r="W62" s="162" t="s">
        <v>497</v>
      </c>
    </row>
    <row r="63" spans="1:23">
      <c r="F63" s="209" t="str">
        <f>E4</f>
        <v>Attachment 1 (Note J)</v>
      </c>
      <c r="Q63" s="209" t="str">
        <f t="shared" ref="Q63:Q65" si="0">F63</f>
        <v>Attachment 1 (Note J)</v>
      </c>
    </row>
    <row r="64" spans="1:23">
      <c r="A64" s="164"/>
      <c r="F64" s="209" t="str">
        <f>E5</f>
        <v>Project Revenue Requirement Worksheet</v>
      </c>
      <c r="G64" s="169"/>
      <c r="H64" s="209"/>
      <c r="P64" s="169"/>
      <c r="Q64" s="209" t="str">
        <f t="shared" si="0"/>
        <v>Project Revenue Requirement Worksheet</v>
      </c>
      <c r="R64" s="169"/>
      <c r="S64" s="167"/>
      <c r="T64" s="169"/>
      <c r="U64" s="167"/>
    </row>
    <row r="65" spans="1:23">
      <c r="A65" s="164"/>
      <c r="D65" s="167"/>
      <c r="F65" s="177" t="str">
        <f>E6</f>
        <v>GridLiance Heartland LLC</v>
      </c>
      <c r="P65" s="169"/>
      <c r="Q65" s="209" t="str">
        <f t="shared" si="0"/>
        <v>GridLiance Heartland LLC</v>
      </c>
      <c r="R65" s="169"/>
      <c r="S65" s="167"/>
      <c r="T65" s="169"/>
      <c r="U65" s="167"/>
    </row>
    <row r="66" spans="1:23">
      <c r="A66" s="164"/>
      <c r="C66" s="167"/>
      <c r="D66" s="167"/>
      <c r="M66" s="169"/>
      <c r="N66" s="169"/>
      <c r="O66" s="169"/>
      <c r="P66" s="169"/>
      <c r="R66" s="169"/>
      <c r="S66" s="167"/>
      <c r="T66" s="169"/>
      <c r="U66" s="167"/>
    </row>
    <row r="67" spans="1:23" ht="14.25" customHeight="1">
      <c r="A67" s="164"/>
      <c r="P67" s="169"/>
      <c r="R67" s="169"/>
      <c r="S67" s="167"/>
      <c r="T67" s="169"/>
      <c r="U67" s="167"/>
    </row>
    <row r="68" spans="1:23">
      <c r="A68" s="164"/>
      <c r="H68" s="209"/>
      <c r="P68" s="169"/>
      <c r="Q68" s="169"/>
      <c r="R68" s="169"/>
      <c r="S68" s="167"/>
      <c r="T68" s="169"/>
      <c r="U68" s="167"/>
    </row>
    <row r="69" spans="1:23">
      <c r="A69" s="164"/>
      <c r="E69" s="167"/>
      <c r="F69" s="167"/>
      <c r="G69" s="167"/>
      <c r="H69" s="167"/>
      <c r="I69" s="167"/>
      <c r="J69" s="167"/>
      <c r="K69" s="167"/>
      <c r="L69" s="167"/>
      <c r="M69" s="167"/>
      <c r="N69" s="167"/>
      <c r="O69" s="167"/>
      <c r="P69" s="167"/>
      <c r="Q69" s="167"/>
      <c r="R69" s="169"/>
      <c r="S69" s="167"/>
      <c r="T69" s="169"/>
      <c r="U69" s="167"/>
    </row>
    <row r="70" spans="1:23">
      <c r="A70" s="164"/>
      <c r="E70" s="211"/>
      <c r="F70" s="211"/>
      <c r="H70" s="167"/>
      <c r="I70" s="167"/>
      <c r="J70" s="167"/>
      <c r="K70" s="167"/>
      <c r="L70" s="167"/>
      <c r="M70" s="167"/>
      <c r="N70" s="167"/>
      <c r="O70" s="167"/>
      <c r="P70" s="169"/>
      <c r="Q70" s="169"/>
      <c r="R70" s="169"/>
      <c r="S70" s="167"/>
      <c r="T70" s="169"/>
      <c r="U70" s="167"/>
    </row>
    <row r="71" spans="1:23" s="212" customFormat="1">
      <c r="A71" s="164"/>
      <c r="B71" s="162"/>
      <c r="C71" s="162"/>
      <c r="D71" s="162"/>
      <c r="E71" s="211"/>
      <c r="F71" s="211"/>
      <c r="G71" s="162"/>
      <c r="H71" s="167"/>
      <c r="I71" s="167"/>
      <c r="J71" s="167"/>
      <c r="K71" s="167"/>
      <c r="L71" s="167"/>
      <c r="M71" s="167"/>
      <c r="N71" s="167"/>
      <c r="O71" s="167"/>
      <c r="P71" s="169"/>
      <c r="Q71" s="169"/>
      <c r="R71" s="169"/>
      <c r="S71" s="167"/>
      <c r="T71" s="169"/>
      <c r="U71" s="167"/>
      <c r="V71" s="162"/>
      <c r="W71" s="162"/>
    </row>
    <row r="72" spans="1:23" s="212" customFormat="1">
      <c r="A72" s="164"/>
      <c r="B72" s="162"/>
      <c r="C72" s="213">
        <v>-1</v>
      </c>
      <c r="D72" s="213">
        <v>-2</v>
      </c>
      <c r="E72" s="213">
        <v>-3</v>
      </c>
      <c r="F72" s="213">
        <v>-4</v>
      </c>
      <c r="G72" s="213">
        <v>-5</v>
      </c>
      <c r="H72" s="213">
        <v>-6</v>
      </c>
      <c r="I72" s="213">
        <v>-7</v>
      </c>
      <c r="J72" s="213">
        <v>-8</v>
      </c>
      <c r="K72" s="213">
        <v>-9</v>
      </c>
      <c r="L72" s="213">
        <v>-10</v>
      </c>
      <c r="M72" s="213">
        <v>-11</v>
      </c>
      <c r="N72" s="213">
        <v>-12</v>
      </c>
      <c r="O72" s="213">
        <v>-13</v>
      </c>
      <c r="P72" s="214" t="s">
        <v>498</v>
      </c>
      <c r="Q72" s="214" t="s">
        <v>499</v>
      </c>
      <c r="R72" s="214" t="s">
        <v>500</v>
      </c>
      <c r="S72" s="214" t="s">
        <v>501</v>
      </c>
      <c r="T72" s="214" t="s">
        <v>502</v>
      </c>
      <c r="U72" s="214" t="s">
        <v>503</v>
      </c>
      <c r="V72" s="214" t="s">
        <v>504</v>
      </c>
      <c r="W72" s="214" t="s">
        <v>505</v>
      </c>
    </row>
    <row r="73" spans="1:23" s="212" customFormat="1" ht="67.5" customHeight="1">
      <c r="A73" s="215" t="s">
        <v>506</v>
      </c>
      <c r="B73" s="216"/>
      <c r="C73" s="216" t="s">
        <v>507</v>
      </c>
      <c r="D73" s="217" t="s">
        <v>508</v>
      </c>
      <c r="E73" s="218" t="s">
        <v>509</v>
      </c>
      <c r="F73" s="217" t="s">
        <v>510</v>
      </c>
      <c r="G73" s="219" t="s">
        <v>511</v>
      </c>
      <c r="H73" s="220" t="s">
        <v>512</v>
      </c>
      <c r="I73" s="220" t="s">
        <v>479</v>
      </c>
      <c r="J73" s="221" t="s">
        <v>513</v>
      </c>
      <c r="K73" s="222" t="s">
        <v>514</v>
      </c>
      <c r="L73" s="223" t="s">
        <v>515</v>
      </c>
      <c r="M73" s="223" t="s">
        <v>494</v>
      </c>
      <c r="N73" s="222" t="s">
        <v>516</v>
      </c>
      <c r="O73" s="223" t="s">
        <v>517</v>
      </c>
      <c r="P73" s="224" t="s">
        <v>518</v>
      </c>
      <c r="Q73" s="224" t="s">
        <v>519</v>
      </c>
      <c r="R73" s="224" t="s">
        <v>520</v>
      </c>
      <c r="S73" s="224" t="s">
        <v>521</v>
      </c>
      <c r="T73" s="224" t="s">
        <v>522</v>
      </c>
      <c r="U73" s="224" t="s">
        <v>523</v>
      </c>
      <c r="V73" s="224" t="s">
        <v>524</v>
      </c>
      <c r="W73" s="224" t="s">
        <v>525</v>
      </c>
    </row>
    <row r="74" spans="1:23" s="212" customFormat="1" ht="38.25">
      <c r="A74" s="225">
        <v>15</v>
      </c>
      <c r="B74" s="226"/>
      <c r="C74" s="227"/>
      <c r="D74" s="227"/>
      <c r="E74" s="228" t="s">
        <v>47</v>
      </c>
      <c r="F74" s="229"/>
      <c r="G74" s="228" t="s">
        <v>526</v>
      </c>
      <c r="H74" s="229" t="s">
        <v>527</v>
      </c>
      <c r="I74" s="229" t="s">
        <v>528</v>
      </c>
      <c r="J74" s="230" t="s">
        <v>529</v>
      </c>
      <c r="K74" s="231" t="s">
        <v>530</v>
      </c>
      <c r="L74" s="228" t="s">
        <v>49</v>
      </c>
      <c r="M74" s="228" t="s">
        <v>1001</v>
      </c>
      <c r="N74" s="231" t="s">
        <v>531</v>
      </c>
      <c r="O74" s="228" t="s">
        <v>532</v>
      </c>
      <c r="P74" s="231" t="s">
        <v>533</v>
      </c>
      <c r="Q74" s="228" t="s">
        <v>534</v>
      </c>
      <c r="R74" s="232" t="s">
        <v>535</v>
      </c>
      <c r="S74" s="233" t="s">
        <v>536</v>
      </c>
      <c r="T74" s="231" t="s">
        <v>537</v>
      </c>
      <c r="U74" s="233" t="s">
        <v>538</v>
      </c>
      <c r="V74" s="234" t="s">
        <v>539</v>
      </c>
      <c r="W74" s="233" t="s">
        <v>540</v>
      </c>
    </row>
    <row r="75" spans="1:23" s="212" customFormat="1">
      <c r="A75" s="235"/>
      <c r="B75" s="236"/>
      <c r="C75" s="236"/>
      <c r="D75" s="236"/>
      <c r="E75" s="236"/>
      <c r="F75" s="237"/>
      <c r="G75" s="236"/>
      <c r="H75" s="237"/>
      <c r="I75" s="237"/>
      <c r="J75" s="237"/>
      <c r="K75" s="238"/>
      <c r="L75" s="236"/>
      <c r="M75" s="236"/>
      <c r="N75" s="238"/>
      <c r="O75" s="236"/>
      <c r="P75" s="238"/>
      <c r="Q75" s="238"/>
      <c r="R75" s="236"/>
      <c r="S75" s="238"/>
      <c r="T75" s="238"/>
      <c r="U75" s="238"/>
      <c r="V75" s="239"/>
      <c r="W75" s="240"/>
    </row>
    <row r="76" spans="1:23" s="212" customFormat="1">
      <c r="A76" s="241" t="s">
        <v>541</v>
      </c>
      <c r="B76" s="242"/>
      <c r="C76" s="43" t="s">
        <v>1180</v>
      </c>
      <c r="D76" s="86">
        <v>0</v>
      </c>
      <c r="E76" s="86">
        <f>'[2]Attachment O'!I70</f>
        <v>18868477.302322008</v>
      </c>
      <c r="F76" s="73">
        <f>'[2]Attachment O'!I78</f>
        <v>9446053.7374321893</v>
      </c>
      <c r="G76" s="21">
        <f>+L31</f>
        <v>9.2269746166520533E-2</v>
      </c>
      <c r="H76" s="21">
        <f t="shared" ref="H76:H94" si="1">+G76*E76</f>
        <v>1740989.6112340058</v>
      </c>
      <c r="I76" s="21">
        <f>+L46</f>
        <v>0.18570440665026522</v>
      </c>
      <c r="J76" s="21">
        <f>+E76*I76</f>
        <v>3503959.3818217055</v>
      </c>
      <c r="K76" s="244">
        <f>+H76+J76</f>
        <v>5244948.9930557115</v>
      </c>
      <c r="L76" s="86">
        <f>+E76-F76</f>
        <v>9422423.5648898184</v>
      </c>
      <c r="M76" s="21">
        <f>IF(L76&gt;0,$L$56,0)</f>
        <v>0.11854887254961347</v>
      </c>
      <c r="N76" s="245">
        <f>L76*M76</f>
        <v>1117017.6903025976</v>
      </c>
      <c r="O76" s="86">
        <f>'Attachment O'!I145</f>
        <v>374689.18630441697</v>
      </c>
      <c r="P76" s="244">
        <f>K76+N76+O76</f>
        <v>6736655.8696627263</v>
      </c>
      <c r="Q76" s="246">
        <v>0</v>
      </c>
      <c r="R76" s="21">
        <f>+'2-Incentive ROE'!K$40*'1-Project Rev Req'!Q76/100*'1-Project Rev Req'!L76</f>
        <v>0</v>
      </c>
      <c r="S76" s="245">
        <f>+P76+R76</f>
        <v>6736655.8696627263</v>
      </c>
      <c r="T76" s="247">
        <v>0</v>
      </c>
      <c r="U76" s="585">
        <f>+S76+T76</f>
        <v>6736655.8696627263</v>
      </c>
      <c r="V76" s="86">
        <v>0</v>
      </c>
      <c r="W76" s="245">
        <f>+U76+V76</f>
        <v>6736655.8696627263</v>
      </c>
    </row>
    <row r="77" spans="1:23" s="212" customFormat="1">
      <c r="A77" s="241" t="s">
        <v>542</v>
      </c>
      <c r="B77" s="242"/>
      <c r="C77" s="43">
        <v>0</v>
      </c>
      <c r="D77" s="43">
        <v>0</v>
      </c>
      <c r="E77" s="43">
        <v>0</v>
      </c>
      <c r="F77" s="243">
        <v>0</v>
      </c>
      <c r="G77" s="21">
        <f>+G76</f>
        <v>9.2269746166520533E-2</v>
      </c>
      <c r="H77" s="21">
        <f t="shared" si="1"/>
        <v>0</v>
      </c>
      <c r="I77" s="21">
        <f>+I76</f>
        <v>0.18570440665026522</v>
      </c>
      <c r="J77" s="21">
        <f>+I77*E77</f>
        <v>0</v>
      </c>
      <c r="K77" s="244">
        <f t="shared" ref="K77:K94" si="2">+H77+J77</f>
        <v>0</v>
      </c>
      <c r="L77" s="86">
        <f>+E77-F77</f>
        <v>0</v>
      </c>
      <c r="M77" s="21">
        <f>IF(L77&gt;0,$L$56,0)</f>
        <v>0</v>
      </c>
      <c r="N77" s="245">
        <f t="shared" ref="N77:N94" si="3">L77*M77</f>
        <v>0</v>
      </c>
      <c r="O77" s="86">
        <v>0</v>
      </c>
      <c r="P77" s="244">
        <f t="shared" ref="P77:P94" si="4">K77+N77+O77</f>
        <v>0</v>
      </c>
      <c r="Q77" s="246">
        <v>0</v>
      </c>
      <c r="R77" s="21">
        <f>+'2-Incentive ROE'!K$40*'1-Project Rev Req'!Q77/100*'1-Project Rev Req'!L77</f>
        <v>0</v>
      </c>
      <c r="S77" s="245">
        <f t="shared" ref="S77:S94" si="5">+P77+R77</f>
        <v>0</v>
      </c>
      <c r="T77" s="247">
        <v>0</v>
      </c>
      <c r="U77" s="585">
        <f>+S77+T77</f>
        <v>0</v>
      </c>
      <c r="V77" s="86">
        <v>0</v>
      </c>
      <c r="W77" s="245">
        <f>+U77+V77</f>
        <v>0</v>
      </c>
    </row>
    <row r="78" spans="1:23" s="212" customFormat="1">
      <c r="A78" s="241" t="s">
        <v>543</v>
      </c>
      <c r="B78" s="242"/>
      <c r="C78" s="43">
        <v>0</v>
      </c>
      <c r="D78" s="43">
        <v>0</v>
      </c>
      <c r="E78" s="43">
        <v>0</v>
      </c>
      <c r="F78" s="243">
        <v>0</v>
      </c>
      <c r="G78" s="21">
        <f>+G77</f>
        <v>9.2269746166520533E-2</v>
      </c>
      <c r="H78" s="21">
        <f t="shared" si="1"/>
        <v>0</v>
      </c>
      <c r="I78" s="21">
        <f t="shared" ref="I78:I94" si="6">+I77</f>
        <v>0.18570440665026522</v>
      </c>
      <c r="J78" s="21">
        <f t="shared" ref="J78:J94" si="7">+I78*E78</f>
        <v>0</v>
      </c>
      <c r="K78" s="244">
        <f t="shared" si="2"/>
        <v>0</v>
      </c>
      <c r="L78" s="86">
        <f>+E78-F78</f>
        <v>0</v>
      </c>
      <c r="M78" s="21">
        <f t="shared" ref="M78:M94" si="8">IF(L78&gt;0,$L$56,0)</f>
        <v>0</v>
      </c>
      <c r="N78" s="245">
        <f t="shared" si="3"/>
        <v>0</v>
      </c>
      <c r="O78" s="86">
        <v>0</v>
      </c>
      <c r="P78" s="244">
        <f t="shared" si="4"/>
        <v>0</v>
      </c>
      <c r="Q78" s="246">
        <v>0</v>
      </c>
      <c r="R78" s="21">
        <f>+'2-Incentive ROE'!K42*'1-Project Rev Req'!Q78/100*'1-Project Rev Req'!L78</f>
        <v>0</v>
      </c>
      <c r="S78" s="245">
        <f t="shared" si="5"/>
        <v>0</v>
      </c>
      <c r="T78" s="247">
        <v>0</v>
      </c>
      <c r="U78" s="585">
        <f t="shared" ref="U78:U94" si="9">+S78+T78</f>
        <v>0</v>
      </c>
      <c r="V78" s="86">
        <v>0</v>
      </c>
      <c r="W78" s="245">
        <f>+U78+V78</f>
        <v>0</v>
      </c>
    </row>
    <row r="79" spans="1:23" s="212" customFormat="1">
      <c r="A79" s="241" t="s">
        <v>544</v>
      </c>
      <c r="B79" s="242"/>
      <c r="C79" s="43">
        <v>0</v>
      </c>
      <c r="D79" s="43">
        <v>0</v>
      </c>
      <c r="E79" s="43">
        <v>0</v>
      </c>
      <c r="F79" s="243">
        <v>0</v>
      </c>
      <c r="G79" s="21">
        <f>+G78</f>
        <v>9.2269746166520533E-2</v>
      </c>
      <c r="H79" s="21">
        <f t="shared" si="1"/>
        <v>0</v>
      </c>
      <c r="I79" s="21">
        <f t="shared" si="6"/>
        <v>0.18570440665026522</v>
      </c>
      <c r="J79" s="21">
        <f t="shared" si="7"/>
        <v>0</v>
      </c>
      <c r="K79" s="244">
        <f t="shared" si="2"/>
        <v>0</v>
      </c>
      <c r="L79" s="86">
        <f>+E79-F79</f>
        <v>0</v>
      </c>
      <c r="M79" s="21">
        <f t="shared" si="8"/>
        <v>0</v>
      </c>
      <c r="N79" s="245">
        <f t="shared" si="3"/>
        <v>0</v>
      </c>
      <c r="O79" s="86">
        <v>0</v>
      </c>
      <c r="P79" s="244">
        <f t="shared" si="4"/>
        <v>0</v>
      </c>
      <c r="Q79" s="246">
        <v>0</v>
      </c>
      <c r="R79" s="21">
        <f>+'2-Incentive ROE'!K43*'1-Project Rev Req'!Q79/100*'1-Project Rev Req'!L79</f>
        <v>0</v>
      </c>
      <c r="S79" s="245">
        <f t="shared" si="5"/>
        <v>0</v>
      </c>
      <c r="T79" s="247">
        <v>0</v>
      </c>
      <c r="U79" s="585">
        <f t="shared" si="9"/>
        <v>0</v>
      </c>
      <c r="V79" s="86">
        <v>0</v>
      </c>
      <c r="W79" s="245">
        <f>+U79+V79</f>
        <v>0</v>
      </c>
    </row>
    <row r="80" spans="1:23" s="212" customFormat="1">
      <c r="A80" s="241" t="s">
        <v>545</v>
      </c>
      <c r="B80" s="242"/>
      <c r="C80" s="43">
        <v>0</v>
      </c>
      <c r="D80" s="43">
        <v>0</v>
      </c>
      <c r="E80" s="43">
        <v>0</v>
      </c>
      <c r="F80" s="243">
        <v>0</v>
      </c>
      <c r="G80" s="21">
        <f t="shared" ref="G80:G94" si="10">+G79</f>
        <v>9.2269746166520533E-2</v>
      </c>
      <c r="H80" s="21">
        <f t="shared" si="1"/>
        <v>0</v>
      </c>
      <c r="I80" s="21">
        <f t="shared" si="6"/>
        <v>0.18570440665026522</v>
      </c>
      <c r="J80" s="21">
        <f t="shared" si="7"/>
        <v>0</v>
      </c>
      <c r="K80" s="244">
        <f t="shared" si="2"/>
        <v>0</v>
      </c>
      <c r="L80" s="43">
        <v>0</v>
      </c>
      <c r="M80" s="21">
        <f t="shared" si="8"/>
        <v>0</v>
      </c>
      <c r="N80" s="245">
        <f t="shared" si="3"/>
        <v>0</v>
      </c>
      <c r="O80" s="86">
        <v>0</v>
      </c>
      <c r="P80" s="244">
        <f t="shared" si="4"/>
        <v>0</v>
      </c>
      <c r="Q80" s="246">
        <v>0</v>
      </c>
      <c r="R80" s="21">
        <f>+'2-Incentive ROE'!K44*'1-Project Rev Req'!Q80/100*'1-Project Rev Req'!L80</f>
        <v>0</v>
      </c>
      <c r="S80" s="245">
        <f t="shared" si="5"/>
        <v>0</v>
      </c>
      <c r="T80" s="247">
        <v>0</v>
      </c>
      <c r="U80" s="585">
        <f t="shared" si="9"/>
        <v>0</v>
      </c>
      <c r="V80" s="86">
        <v>0</v>
      </c>
      <c r="W80" s="245">
        <f>+U80+V80</f>
        <v>0</v>
      </c>
    </row>
    <row r="81" spans="1:23" s="212" customFormat="1">
      <c r="A81" s="241" t="s">
        <v>546</v>
      </c>
      <c r="B81" s="242"/>
      <c r="C81" s="43">
        <v>0</v>
      </c>
      <c r="D81" s="43">
        <v>0</v>
      </c>
      <c r="E81" s="43">
        <v>0</v>
      </c>
      <c r="F81" s="243">
        <v>0</v>
      </c>
      <c r="G81" s="21">
        <f t="shared" si="10"/>
        <v>9.2269746166520533E-2</v>
      </c>
      <c r="H81" s="21">
        <f t="shared" si="1"/>
        <v>0</v>
      </c>
      <c r="I81" s="21">
        <f t="shared" si="6"/>
        <v>0.18570440665026522</v>
      </c>
      <c r="J81" s="21">
        <f t="shared" si="7"/>
        <v>0</v>
      </c>
      <c r="K81" s="244">
        <f t="shared" si="2"/>
        <v>0</v>
      </c>
      <c r="L81" s="43">
        <v>0</v>
      </c>
      <c r="M81" s="21">
        <f t="shared" si="8"/>
        <v>0</v>
      </c>
      <c r="N81" s="245">
        <f t="shared" si="3"/>
        <v>0</v>
      </c>
      <c r="O81" s="86">
        <v>0</v>
      </c>
      <c r="P81" s="244">
        <f t="shared" si="4"/>
        <v>0</v>
      </c>
      <c r="Q81" s="246">
        <v>0</v>
      </c>
      <c r="R81" s="21">
        <f>+'2-Incentive ROE'!K45*'1-Project Rev Req'!Q81/100*'1-Project Rev Req'!L81</f>
        <v>0</v>
      </c>
      <c r="S81" s="245">
        <f t="shared" si="5"/>
        <v>0</v>
      </c>
      <c r="T81" s="247">
        <v>0</v>
      </c>
      <c r="U81" s="585">
        <f t="shared" si="9"/>
        <v>0</v>
      </c>
      <c r="V81" s="86">
        <v>0</v>
      </c>
      <c r="W81" s="245">
        <f t="shared" ref="W81:W95" si="11">P81+V81</f>
        <v>0</v>
      </c>
    </row>
    <row r="82" spans="1:23" s="212" customFormat="1">
      <c r="A82" s="241" t="s">
        <v>547</v>
      </c>
      <c r="B82" s="242"/>
      <c r="C82" s="43">
        <v>0</v>
      </c>
      <c r="D82" s="43">
        <v>0</v>
      </c>
      <c r="E82" s="43">
        <v>0</v>
      </c>
      <c r="F82" s="243">
        <v>0</v>
      </c>
      <c r="G82" s="21">
        <f t="shared" si="10"/>
        <v>9.2269746166520533E-2</v>
      </c>
      <c r="H82" s="21">
        <f t="shared" si="1"/>
        <v>0</v>
      </c>
      <c r="I82" s="21">
        <f t="shared" si="6"/>
        <v>0.18570440665026522</v>
      </c>
      <c r="J82" s="21">
        <f t="shared" si="7"/>
        <v>0</v>
      </c>
      <c r="K82" s="244">
        <f t="shared" si="2"/>
        <v>0</v>
      </c>
      <c r="L82" s="43">
        <v>0</v>
      </c>
      <c r="M82" s="21">
        <f t="shared" si="8"/>
        <v>0</v>
      </c>
      <c r="N82" s="245">
        <f t="shared" si="3"/>
        <v>0</v>
      </c>
      <c r="O82" s="86">
        <v>0</v>
      </c>
      <c r="P82" s="244">
        <f t="shared" si="4"/>
        <v>0</v>
      </c>
      <c r="Q82" s="246">
        <v>0</v>
      </c>
      <c r="R82" s="21">
        <f>+'2-Incentive ROE'!K46*'1-Project Rev Req'!Q82/100*'1-Project Rev Req'!L82</f>
        <v>0</v>
      </c>
      <c r="S82" s="245">
        <f t="shared" si="5"/>
        <v>0</v>
      </c>
      <c r="T82" s="247">
        <v>0</v>
      </c>
      <c r="U82" s="585">
        <f t="shared" si="9"/>
        <v>0</v>
      </c>
      <c r="V82" s="86">
        <v>0</v>
      </c>
      <c r="W82" s="245">
        <f t="shared" si="11"/>
        <v>0</v>
      </c>
    </row>
    <row r="83" spans="1:23" s="212" customFormat="1">
      <c r="A83" s="241" t="s">
        <v>548</v>
      </c>
      <c r="B83" s="242"/>
      <c r="C83" s="43">
        <v>0</v>
      </c>
      <c r="D83" s="43">
        <v>0</v>
      </c>
      <c r="E83" s="43">
        <v>0</v>
      </c>
      <c r="F83" s="243">
        <v>0</v>
      </c>
      <c r="G83" s="21">
        <f t="shared" si="10"/>
        <v>9.2269746166520533E-2</v>
      </c>
      <c r="H83" s="21">
        <f t="shared" si="1"/>
        <v>0</v>
      </c>
      <c r="I83" s="21">
        <f t="shared" si="6"/>
        <v>0.18570440665026522</v>
      </c>
      <c r="J83" s="21">
        <f t="shared" si="7"/>
        <v>0</v>
      </c>
      <c r="K83" s="244">
        <f t="shared" si="2"/>
        <v>0</v>
      </c>
      <c r="L83" s="43">
        <v>0</v>
      </c>
      <c r="M83" s="21">
        <f t="shared" si="8"/>
        <v>0</v>
      </c>
      <c r="N83" s="245">
        <f t="shared" si="3"/>
        <v>0</v>
      </c>
      <c r="O83" s="86">
        <v>0</v>
      </c>
      <c r="P83" s="244">
        <f t="shared" si="4"/>
        <v>0</v>
      </c>
      <c r="Q83" s="246">
        <v>0</v>
      </c>
      <c r="R83" s="21">
        <f>+'2-Incentive ROE'!K47*'1-Project Rev Req'!Q83/100*'1-Project Rev Req'!L83</f>
        <v>0</v>
      </c>
      <c r="S83" s="245">
        <f t="shared" si="5"/>
        <v>0</v>
      </c>
      <c r="T83" s="247">
        <v>0</v>
      </c>
      <c r="U83" s="585">
        <f t="shared" si="9"/>
        <v>0</v>
      </c>
      <c r="V83" s="86">
        <v>0</v>
      </c>
      <c r="W83" s="245">
        <f t="shared" si="11"/>
        <v>0</v>
      </c>
    </row>
    <row r="84" spans="1:23" s="212" customFormat="1">
      <c r="A84" s="241" t="s">
        <v>549</v>
      </c>
      <c r="B84" s="242"/>
      <c r="C84" s="43">
        <v>0</v>
      </c>
      <c r="D84" s="43">
        <v>0</v>
      </c>
      <c r="E84" s="43">
        <v>0</v>
      </c>
      <c r="F84" s="243">
        <v>0</v>
      </c>
      <c r="G84" s="21">
        <f t="shared" si="10"/>
        <v>9.2269746166520533E-2</v>
      </c>
      <c r="H84" s="21">
        <f t="shared" si="1"/>
        <v>0</v>
      </c>
      <c r="I84" s="21">
        <f t="shared" si="6"/>
        <v>0.18570440665026522</v>
      </c>
      <c r="J84" s="21">
        <f t="shared" si="7"/>
        <v>0</v>
      </c>
      <c r="K84" s="244">
        <f t="shared" si="2"/>
        <v>0</v>
      </c>
      <c r="L84" s="43">
        <v>0</v>
      </c>
      <c r="M84" s="21">
        <f t="shared" si="8"/>
        <v>0</v>
      </c>
      <c r="N84" s="245">
        <f t="shared" si="3"/>
        <v>0</v>
      </c>
      <c r="O84" s="86">
        <v>0</v>
      </c>
      <c r="P84" s="244">
        <f t="shared" si="4"/>
        <v>0</v>
      </c>
      <c r="Q84" s="246">
        <v>0</v>
      </c>
      <c r="R84" s="21">
        <f>+'2-Incentive ROE'!K48*'1-Project Rev Req'!Q84/100*'1-Project Rev Req'!L84</f>
        <v>0</v>
      </c>
      <c r="S84" s="245">
        <f t="shared" si="5"/>
        <v>0</v>
      </c>
      <c r="T84" s="247">
        <v>0</v>
      </c>
      <c r="U84" s="585">
        <f t="shared" si="9"/>
        <v>0</v>
      </c>
      <c r="V84" s="86">
        <v>0</v>
      </c>
      <c r="W84" s="245">
        <f t="shared" si="11"/>
        <v>0</v>
      </c>
    </row>
    <row r="85" spans="1:23" s="212" customFormat="1">
      <c r="A85" s="241" t="s">
        <v>550</v>
      </c>
      <c r="B85" s="242"/>
      <c r="C85" s="43">
        <v>0</v>
      </c>
      <c r="D85" s="43">
        <v>0</v>
      </c>
      <c r="E85" s="43">
        <v>0</v>
      </c>
      <c r="F85" s="243">
        <v>0</v>
      </c>
      <c r="G85" s="21">
        <f t="shared" si="10"/>
        <v>9.2269746166520533E-2</v>
      </c>
      <c r="H85" s="21">
        <f t="shared" si="1"/>
        <v>0</v>
      </c>
      <c r="I85" s="21">
        <f t="shared" si="6"/>
        <v>0.18570440665026522</v>
      </c>
      <c r="J85" s="21">
        <f t="shared" si="7"/>
        <v>0</v>
      </c>
      <c r="K85" s="244">
        <f t="shared" si="2"/>
        <v>0</v>
      </c>
      <c r="L85" s="43">
        <v>0</v>
      </c>
      <c r="M85" s="21">
        <f t="shared" si="8"/>
        <v>0</v>
      </c>
      <c r="N85" s="245">
        <f t="shared" si="3"/>
        <v>0</v>
      </c>
      <c r="O85" s="86">
        <v>0</v>
      </c>
      <c r="P85" s="244">
        <f t="shared" si="4"/>
        <v>0</v>
      </c>
      <c r="Q85" s="246">
        <v>0</v>
      </c>
      <c r="R85" s="21">
        <f>+'2-Incentive ROE'!K49*'1-Project Rev Req'!Q85/100*'1-Project Rev Req'!L85</f>
        <v>0</v>
      </c>
      <c r="S85" s="245">
        <f t="shared" si="5"/>
        <v>0</v>
      </c>
      <c r="T85" s="247">
        <v>0</v>
      </c>
      <c r="U85" s="585">
        <f t="shared" si="9"/>
        <v>0</v>
      </c>
      <c r="V85" s="86">
        <v>0</v>
      </c>
      <c r="W85" s="245">
        <f t="shared" si="11"/>
        <v>0</v>
      </c>
    </row>
    <row r="86" spans="1:23" s="212" customFormat="1">
      <c r="A86" s="241" t="s">
        <v>551</v>
      </c>
      <c r="B86" s="242"/>
      <c r="C86" s="43">
        <v>0</v>
      </c>
      <c r="D86" s="43">
        <v>0</v>
      </c>
      <c r="E86" s="43">
        <v>0</v>
      </c>
      <c r="F86" s="243">
        <v>0</v>
      </c>
      <c r="G86" s="21">
        <f t="shared" si="10"/>
        <v>9.2269746166520533E-2</v>
      </c>
      <c r="H86" s="21">
        <f t="shared" si="1"/>
        <v>0</v>
      </c>
      <c r="I86" s="21">
        <f t="shared" si="6"/>
        <v>0.18570440665026522</v>
      </c>
      <c r="J86" s="21">
        <f t="shared" si="7"/>
        <v>0</v>
      </c>
      <c r="K86" s="244">
        <f t="shared" si="2"/>
        <v>0</v>
      </c>
      <c r="L86" s="43">
        <v>0</v>
      </c>
      <c r="M86" s="21">
        <f t="shared" si="8"/>
        <v>0</v>
      </c>
      <c r="N86" s="245">
        <f t="shared" si="3"/>
        <v>0</v>
      </c>
      <c r="O86" s="86">
        <v>0</v>
      </c>
      <c r="P86" s="244">
        <f t="shared" si="4"/>
        <v>0</v>
      </c>
      <c r="Q86" s="246">
        <v>0</v>
      </c>
      <c r="R86" s="21">
        <f>+'2-Incentive ROE'!K50*'1-Project Rev Req'!Q86/100*'1-Project Rev Req'!L86</f>
        <v>0</v>
      </c>
      <c r="S86" s="245">
        <f t="shared" si="5"/>
        <v>0</v>
      </c>
      <c r="T86" s="247">
        <v>0</v>
      </c>
      <c r="U86" s="585">
        <f t="shared" si="9"/>
        <v>0</v>
      </c>
      <c r="V86" s="86">
        <v>0</v>
      </c>
      <c r="W86" s="245">
        <f t="shared" si="11"/>
        <v>0</v>
      </c>
    </row>
    <row r="87" spans="1:23" s="212" customFormat="1">
      <c r="A87" s="241" t="s">
        <v>552</v>
      </c>
      <c r="B87" s="242"/>
      <c r="C87" s="43">
        <v>0</v>
      </c>
      <c r="D87" s="43">
        <v>0</v>
      </c>
      <c r="E87" s="43">
        <v>0</v>
      </c>
      <c r="F87" s="243">
        <v>0</v>
      </c>
      <c r="G87" s="21">
        <f t="shared" si="10"/>
        <v>9.2269746166520533E-2</v>
      </c>
      <c r="H87" s="21">
        <f t="shared" si="1"/>
        <v>0</v>
      </c>
      <c r="I87" s="21">
        <f t="shared" si="6"/>
        <v>0.18570440665026522</v>
      </c>
      <c r="J87" s="21">
        <f t="shared" si="7"/>
        <v>0</v>
      </c>
      <c r="K87" s="244">
        <f t="shared" si="2"/>
        <v>0</v>
      </c>
      <c r="L87" s="43">
        <v>0</v>
      </c>
      <c r="M87" s="21">
        <f t="shared" si="8"/>
        <v>0</v>
      </c>
      <c r="N87" s="245">
        <f t="shared" si="3"/>
        <v>0</v>
      </c>
      <c r="O87" s="86">
        <v>0</v>
      </c>
      <c r="P87" s="244">
        <f t="shared" si="4"/>
        <v>0</v>
      </c>
      <c r="Q87" s="246">
        <v>0</v>
      </c>
      <c r="R87" s="21">
        <f>+'2-Incentive ROE'!K51*'1-Project Rev Req'!Q87/100*'1-Project Rev Req'!L87</f>
        <v>0</v>
      </c>
      <c r="S87" s="245">
        <f t="shared" si="5"/>
        <v>0</v>
      </c>
      <c r="T87" s="247">
        <v>0</v>
      </c>
      <c r="U87" s="585">
        <f t="shared" si="9"/>
        <v>0</v>
      </c>
      <c r="V87" s="86">
        <v>0</v>
      </c>
      <c r="W87" s="245">
        <f t="shared" si="11"/>
        <v>0</v>
      </c>
    </row>
    <row r="88" spans="1:23" s="212" customFormat="1">
      <c r="A88" s="241" t="s">
        <v>553</v>
      </c>
      <c r="B88" s="242"/>
      <c r="C88" s="43">
        <v>0</v>
      </c>
      <c r="D88" s="43">
        <v>0</v>
      </c>
      <c r="E88" s="43">
        <v>0</v>
      </c>
      <c r="F88" s="243">
        <v>0</v>
      </c>
      <c r="G88" s="21">
        <f t="shared" si="10"/>
        <v>9.2269746166520533E-2</v>
      </c>
      <c r="H88" s="21">
        <f t="shared" si="1"/>
        <v>0</v>
      </c>
      <c r="I88" s="21">
        <f t="shared" si="6"/>
        <v>0.18570440665026522</v>
      </c>
      <c r="J88" s="21">
        <f t="shared" si="7"/>
        <v>0</v>
      </c>
      <c r="K88" s="244">
        <f t="shared" si="2"/>
        <v>0</v>
      </c>
      <c r="L88" s="43">
        <v>0</v>
      </c>
      <c r="M88" s="21">
        <f t="shared" si="8"/>
        <v>0</v>
      </c>
      <c r="N88" s="245">
        <f t="shared" si="3"/>
        <v>0</v>
      </c>
      <c r="O88" s="86">
        <v>0</v>
      </c>
      <c r="P88" s="244">
        <f t="shared" si="4"/>
        <v>0</v>
      </c>
      <c r="Q88" s="246">
        <v>0</v>
      </c>
      <c r="R88" s="21">
        <f>+'2-Incentive ROE'!K52*'1-Project Rev Req'!Q88/100*'1-Project Rev Req'!L88</f>
        <v>0</v>
      </c>
      <c r="S88" s="245">
        <f t="shared" si="5"/>
        <v>0</v>
      </c>
      <c r="T88" s="247">
        <v>0</v>
      </c>
      <c r="U88" s="585">
        <f t="shared" si="9"/>
        <v>0</v>
      </c>
      <c r="V88" s="86">
        <v>0</v>
      </c>
      <c r="W88" s="245">
        <f t="shared" si="11"/>
        <v>0</v>
      </c>
    </row>
    <row r="89" spans="1:23" s="212" customFormat="1">
      <c r="A89" s="241" t="s">
        <v>554</v>
      </c>
      <c r="B89" s="242"/>
      <c r="C89" s="43">
        <v>0</v>
      </c>
      <c r="D89" s="43">
        <v>0</v>
      </c>
      <c r="E89" s="43">
        <v>0</v>
      </c>
      <c r="F89" s="243">
        <v>0</v>
      </c>
      <c r="G89" s="21">
        <f t="shared" si="10"/>
        <v>9.2269746166520533E-2</v>
      </c>
      <c r="H89" s="21">
        <f t="shared" si="1"/>
        <v>0</v>
      </c>
      <c r="I89" s="21">
        <f t="shared" si="6"/>
        <v>0.18570440665026522</v>
      </c>
      <c r="J89" s="21">
        <f t="shared" si="7"/>
        <v>0</v>
      </c>
      <c r="K89" s="244">
        <f t="shared" si="2"/>
        <v>0</v>
      </c>
      <c r="L89" s="43">
        <v>0</v>
      </c>
      <c r="M89" s="21">
        <f t="shared" si="8"/>
        <v>0</v>
      </c>
      <c r="N89" s="245">
        <f t="shared" si="3"/>
        <v>0</v>
      </c>
      <c r="O89" s="86">
        <v>0</v>
      </c>
      <c r="P89" s="244">
        <f t="shared" si="4"/>
        <v>0</v>
      </c>
      <c r="Q89" s="246">
        <v>0</v>
      </c>
      <c r="R89" s="21">
        <f>+'2-Incentive ROE'!K53*'1-Project Rev Req'!Q89/100*'1-Project Rev Req'!L89</f>
        <v>0</v>
      </c>
      <c r="S89" s="245">
        <f t="shared" si="5"/>
        <v>0</v>
      </c>
      <c r="T89" s="247">
        <v>0</v>
      </c>
      <c r="U89" s="585">
        <f t="shared" si="9"/>
        <v>0</v>
      </c>
      <c r="V89" s="86">
        <v>0</v>
      </c>
      <c r="W89" s="245">
        <f t="shared" si="11"/>
        <v>0</v>
      </c>
    </row>
    <row r="90" spans="1:23" s="212" customFormat="1">
      <c r="A90" s="241" t="s">
        <v>555</v>
      </c>
      <c r="B90" s="242"/>
      <c r="C90" s="43">
        <v>0</v>
      </c>
      <c r="D90" s="43">
        <v>0</v>
      </c>
      <c r="E90" s="43">
        <v>0</v>
      </c>
      <c r="F90" s="243">
        <v>0</v>
      </c>
      <c r="G90" s="21">
        <f t="shared" si="10"/>
        <v>9.2269746166520533E-2</v>
      </c>
      <c r="H90" s="21">
        <f t="shared" si="1"/>
        <v>0</v>
      </c>
      <c r="I90" s="21">
        <f t="shared" si="6"/>
        <v>0.18570440665026522</v>
      </c>
      <c r="J90" s="21">
        <f t="shared" si="7"/>
        <v>0</v>
      </c>
      <c r="K90" s="244">
        <f t="shared" si="2"/>
        <v>0</v>
      </c>
      <c r="L90" s="43">
        <v>0</v>
      </c>
      <c r="M90" s="21">
        <f t="shared" si="8"/>
        <v>0</v>
      </c>
      <c r="N90" s="245">
        <f t="shared" si="3"/>
        <v>0</v>
      </c>
      <c r="O90" s="86">
        <v>0</v>
      </c>
      <c r="P90" s="244">
        <f t="shared" si="4"/>
        <v>0</v>
      </c>
      <c r="Q90" s="246">
        <v>0</v>
      </c>
      <c r="R90" s="21">
        <f>+'2-Incentive ROE'!K54*'1-Project Rev Req'!Q90/100*'1-Project Rev Req'!L90</f>
        <v>0</v>
      </c>
      <c r="S90" s="245">
        <f t="shared" si="5"/>
        <v>0</v>
      </c>
      <c r="T90" s="247">
        <v>0</v>
      </c>
      <c r="U90" s="585">
        <f t="shared" si="9"/>
        <v>0</v>
      </c>
      <c r="V90" s="86">
        <v>0</v>
      </c>
      <c r="W90" s="245">
        <f t="shared" si="11"/>
        <v>0</v>
      </c>
    </row>
    <row r="91" spans="1:23" s="212" customFormat="1">
      <c r="A91" s="248"/>
      <c r="B91" s="162"/>
      <c r="C91" s="43">
        <v>0</v>
      </c>
      <c r="D91" s="43">
        <v>0</v>
      </c>
      <c r="E91" s="43">
        <v>0</v>
      </c>
      <c r="F91" s="243">
        <v>0</v>
      </c>
      <c r="G91" s="21">
        <f t="shared" si="10"/>
        <v>9.2269746166520533E-2</v>
      </c>
      <c r="H91" s="21">
        <f t="shared" si="1"/>
        <v>0</v>
      </c>
      <c r="I91" s="21">
        <f t="shared" si="6"/>
        <v>0.18570440665026522</v>
      </c>
      <c r="J91" s="21">
        <f t="shared" si="7"/>
        <v>0</v>
      </c>
      <c r="K91" s="244">
        <f t="shared" si="2"/>
        <v>0</v>
      </c>
      <c r="L91" s="43">
        <v>0</v>
      </c>
      <c r="M91" s="21">
        <f t="shared" si="8"/>
        <v>0</v>
      </c>
      <c r="N91" s="245">
        <f t="shared" si="3"/>
        <v>0</v>
      </c>
      <c r="O91" s="86">
        <v>0</v>
      </c>
      <c r="P91" s="244">
        <f t="shared" si="4"/>
        <v>0</v>
      </c>
      <c r="Q91" s="246">
        <v>0</v>
      </c>
      <c r="R91" s="21">
        <f>+'2-Incentive ROE'!K55*'1-Project Rev Req'!Q91/100*'1-Project Rev Req'!L91</f>
        <v>0</v>
      </c>
      <c r="S91" s="245">
        <f t="shared" si="5"/>
        <v>0</v>
      </c>
      <c r="T91" s="247">
        <v>0</v>
      </c>
      <c r="U91" s="585">
        <f t="shared" si="9"/>
        <v>0</v>
      </c>
      <c r="V91" s="86">
        <v>0</v>
      </c>
      <c r="W91" s="245">
        <f t="shared" si="11"/>
        <v>0</v>
      </c>
    </row>
    <row r="92" spans="1:23" s="212" customFormat="1">
      <c r="A92" s="248"/>
      <c r="B92" s="162"/>
      <c r="C92" s="43">
        <v>0</v>
      </c>
      <c r="D92" s="43">
        <v>0</v>
      </c>
      <c r="E92" s="43">
        <v>0</v>
      </c>
      <c r="F92" s="243">
        <v>0</v>
      </c>
      <c r="G92" s="21">
        <f t="shared" si="10"/>
        <v>9.2269746166520533E-2</v>
      </c>
      <c r="H92" s="21">
        <f t="shared" si="1"/>
        <v>0</v>
      </c>
      <c r="I92" s="21">
        <f t="shared" si="6"/>
        <v>0.18570440665026522</v>
      </c>
      <c r="J92" s="21">
        <f t="shared" si="7"/>
        <v>0</v>
      </c>
      <c r="K92" s="244">
        <f t="shared" si="2"/>
        <v>0</v>
      </c>
      <c r="L92" s="43">
        <v>0</v>
      </c>
      <c r="M92" s="21">
        <f t="shared" si="8"/>
        <v>0</v>
      </c>
      <c r="N92" s="245">
        <f t="shared" si="3"/>
        <v>0</v>
      </c>
      <c r="O92" s="86">
        <v>0</v>
      </c>
      <c r="P92" s="244">
        <f t="shared" si="4"/>
        <v>0</v>
      </c>
      <c r="Q92" s="246">
        <v>0</v>
      </c>
      <c r="R92" s="21">
        <f>+'2-Incentive ROE'!K56*'1-Project Rev Req'!Q92/100*'1-Project Rev Req'!L92</f>
        <v>0</v>
      </c>
      <c r="S92" s="245">
        <f t="shared" si="5"/>
        <v>0</v>
      </c>
      <c r="T92" s="247">
        <v>0</v>
      </c>
      <c r="U92" s="585">
        <f t="shared" si="9"/>
        <v>0</v>
      </c>
      <c r="V92" s="86">
        <v>0</v>
      </c>
      <c r="W92" s="245">
        <f t="shared" si="11"/>
        <v>0</v>
      </c>
    </row>
    <row r="93" spans="1:23" s="212" customFormat="1">
      <c r="A93" s="248"/>
      <c r="B93" s="162"/>
      <c r="C93" s="43">
        <v>0</v>
      </c>
      <c r="D93" s="43">
        <v>0</v>
      </c>
      <c r="E93" s="43">
        <v>0</v>
      </c>
      <c r="F93" s="243">
        <v>0</v>
      </c>
      <c r="G93" s="21">
        <f t="shared" si="10"/>
        <v>9.2269746166520533E-2</v>
      </c>
      <c r="H93" s="21">
        <f t="shared" si="1"/>
        <v>0</v>
      </c>
      <c r="I93" s="21">
        <f t="shared" si="6"/>
        <v>0.18570440665026522</v>
      </c>
      <c r="J93" s="21">
        <f t="shared" si="7"/>
        <v>0</v>
      </c>
      <c r="K93" s="244">
        <f t="shared" si="2"/>
        <v>0</v>
      </c>
      <c r="L93" s="43">
        <v>0</v>
      </c>
      <c r="M93" s="21">
        <f t="shared" si="8"/>
        <v>0</v>
      </c>
      <c r="N93" s="245">
        <f t="shared" si="3"/>
        <v>0</v>
      </c>
      <c r="O93" s="86">
        <v>0</v>
      </c>
      <c r="P93" s="244">
        <f t="shared" si="4"/>
        <v>0</v>
      </c>
      <c r="Q93" s="246">
        <v>0</v>
      </c>
      <c r="R93" s="21">
        <f>+'2-Incentive ROE'!K57*'1-Project Rev Req'!Q93/100*'1-Project Rev Req'!L93</f>
        <v>0</v>
      </c>
      <c r="S93" s="245">
        <f t="shared" si="5"/>
        <v>0</v>
      </c>
      <c r="T93" s="247">
        <v>0</v>
      </c>
      <c r="U93" s="585">
        <f t="shared" si="9"/>
        <v>0</v>
      </c>
      <c r="V93" s="86">
        <v>0</v>
      </c>
      <c r="W93" s="245">
        <f t="shared" si="11"/>
        <v>0</v>
      </c>
    </row>
    <row r="94" spans="1:23" s="212" customFormat="1">
      <c r="A94" s="248"/>
      <c r="B94" s="162"/>
      <c r="C94" s="43">
        <v>0</v>
      </c>
      <c r="D94" s="43">
        <v>0</v>
      </c>
      <c r="E94" s="43">
        <v>0</v>
      </c>
      <c r="F94" s="243">
        <v>0</v>
      </c>
      <c r="G94" s="21">
        <f t="shared" si="10"/>
        <v>9.2269746166520533E-2</v>
      </c>
      <c r="H94" s="21">
        <f t="shared" si="1"/>
        <v>0</v>
      </c>
      <c r="I94" s="21">
        <f t="shared" si="6"/>
        <v>0.18570440665026522</v>
      </c>
      <c r="J94" s="21">
        <f t="shared" si="7"/>
        <v>0</v>
      </c>
      <c r="K94" s="244">
        <f t="shared" si="2"/>
        <v>0</v>
      </c>
      <c r="L94" s="43">
        <v>0</v>
      </c>
      <c r="M94" s="21">
        <f t="shared" si="8"/>
        <v>0</v>
      </c>
      <c r="N94" s="245">
        <f t="shared" si="3"/>
        <v>0</v>
      </c>
      <c r="O94" s="86">
        <v>0</v>
      </c>
      <c r="P94" s="244">
        <f t="shared" si="4"/>
        <v>0</v>
      </c>
      <c r="Q94" s="246">
        <v>0</v>
      </c>
      <c r="R94" s="21">
        <f>+'2-Incentive ROE'!K58*'1-Project Rev Req'!Q94/100*'1-Project Rev Req'!L94</f>
        <v>0</v>
      </c>
      <c r="S94" s="245">
        <f t="shared" si="5"/>
        <v>0</v>
      </c>
      <c r="T94" s="247">
        <v>0</v>
      </c>
      <c r="U94" s="585">
        <f t="shared" si="9"/>
        <v>0</v>
      </c>
      <c r="V94" s="86">
        <v>0</v>
      </c>
      <c r="W94" s="245">
        <f t="shared" si="11"/>
        <v>0</v>
      </c>
    </row>
    <row r="95" spans="1:23" s="212" customFormat="1">
      <c r="A95" s="249"/>
      <c r="B95" s="250"/>
      <c r="C95" s="250"/>
      <c r="D95" s="250"/>
      <c r="E95" s="250"/>
      <c r="F95" s="250"/>
      <c r="G95" s="251"/>
      <c r="H95" s="186"/>
      <c r="I95" s="252"/>
      <c r="J95" s="250"/>
      <c r="K95" s="253"/>
      <c r="L95" s="250"/>
      <c r="M95" s="250"/>
      <c r="N95" s="253"/>
      <c r="O95" s="250"/>
      <c r="P95" s="254"/>
      <c r="Q95" s="255"/>
      <c r="R95" s="256"/>
      <c r="S95" s="255"/>
      <c r="T95" s="255"/>
      <c r="U95" s="255"/>
      <c r="V95" s="250"/>
      <c r="W95" s="257">
        <f t="shared" si="11"/>
        <v>0</v>
      </c>
    </row>
    <row r="96" spans="1:23" s="212" customFormat="1">
      <c r="A96" s="175" t="s">
        <v>556</v>
      </c>
      <c r="B96" s="199"/>
      <c r="C96" s="167" t="s">
        <v>557</v>
      </c>
      <c r="D96" s="167"/>
      <c r="E96" s="111">
        <f>SUM(E76:E94)</f>
        <v>18868477.302322008</v>
      </c>
      <c r="F96" s="111">
        <f>SUM(F76:F94)</f>
        <v>9446053.7374321893</v>
      </c>
      <c r="G96" s="111"/>
      <c r="H96" s="111">
        <f>SUM(H76:H94)</f>
        <v>1740989.6112340058</v>
      </c>
      <c r="I96" s="111"/>
      <c r="J96" s="111">
        <f>SUM(J76:J94)</f>
        <v>3503959.3818217055</v>
      </c>
      <c r="K96" s="111">
        <f>SUM(K76:K94)</f>
        <v>5244948.9930557115</v>
      </c>
      <c r="L96" s="111">
        <f>SUM(L76:L94)</f>
        <v>9422423.5648898184</v>
      </c>
      <c r="M96" s="169"/>
      <c r="N96" s="169">
        <f>SUM(N76:N95)</f>
        <v>1117017.6903025976</v>
      </c>
      <c r="O96" s="35">
        <f>SUM(O76:O95)</f>
        <v>374689.18630441697</v>
      </c>
      <c r="P96" s="35">
        <f>SUM(P76:P95)</f>
        <v>6736655.8696627263</v>
      </c>
      <c r="Q96" s="203"/>
      <c r="R96" s="35">
        <f t="shared" ref="R96:W96" si="12">SUM(R76:R95)</f>
        <v>0</v>
      </c>
      <c r="S96" s="35">
        <f t="shared" si="12"/>
        <v>6736655.8696627263</v>
      </c>
      <c r="T96" s="35">
        <f t="shared" si="12"/>
        <v>0</v>
      </c>
      <c r="U96" s="35">
        <f t="shared" si="12"/>
        <v>6736655.8696627263</v>
      </c>
      <c r="V96" s="35">
        <f t="shared" si="12"/>
        <v>0</v>
      </c>
      <c r="W96" s="35">
        <f t="shared" si="12"/>
        <v>6736655.8696627263</v>
      </c>
    </row>
    <row r="97" spans="1:23" s="212" customFormat="1">
      <c r="A97" s="162"/>
      <c r="B97" s="162"/>
      <c r="C97" s="162"/>
      <c r="D97" s="162"/>
      <c r="E97" s="35"/>
      <c r="F97" s="35"/>
      <c r="G97" s="162"/>
      <c r="H97" s="35"/>
      <c r="I97" s="162"/>
      <c r="J97" s="203"/>
      <c r="K97" s="35"/>
      <c r="L97" s="35"/>
      <c r="M97" s="162"/>
      <c r="N97" s="203">
        <f>+J49+J53</f>
        <v>1117017.6903025976</v>
      </c>
      <c r="O97" s="35"/>
      <c r="P97" s="35"/>
      <c r="Q97" s="162"/>
      <c r="R97" s="162"/>
      <c r="S97" s="162"/>
      <c r="T97" s="162"/>
      <c r="U97" s="162"/>
      <c r="V97" s="162"/>
      <c r="W97" s="35"/>
    </row>
    <row r="98" spans="1:23" s="212" customFormat="1">
      <c r="A98" s="258">
        <v>17</v>
      </c>
      <c r="B98" s="162"/>
      <c r="C98" s="162" t="s">
        <v>558</v>
      </c>
      <c r="D98" s="162"/>
      <c r="E98" s="162"/>
      <c r="F98" s="162"/>
      <c r="G98" s="162"/>
      <c r="H98" s="162"/>
      <c r="I98" s="162"/>
      <c r="J98" s="162"/>
      <c r="K98" s="162"/>
      <c r="L98" s="21"/>
      <c r="M98" s="203"/>
      <c r="N98" s="203"/>
      <c r="O98" s="203"/>
      <c r="P98" s="21">
        <f>+P96</f>
        <v>6736655.8696627263</v>
      </c>
      <c r="Q98" s="162"/>
      <c r="R98" s="162"/>
      <c r="S98" s="162"/>
      <c r="T98" s="162"/>
      <c r="U98" s="162"/>
      <c r="V98" s="162"/>
      <c r="W98" s="162"/>
    </row>
    <row r="99" spans="1:23" s="212" customFormat="1">
      <c r="A99" s="258">
        <v>18</v>
      </c>
      <c r="B99" s="162"/>
      <c r="C99" s="162" t="s">
        <v>559</v>
      </c>
      <c r="D99" s="162"/>
      <c r="E99" s="162"/>
      <c r="F99" s="162"/>
      <c r="G99" s="162"/>
      <c r="H99" s="162"/>
      <c r="I99" s="162"/>
      <c r="J99" s="162"/>
      <c r="K99" s="199"/>
      <c r="L99" s="199"/>
      <c r="M99" s="199"/>
      <c r="N99" s="199"/>
      <c r="O99" s="199"/>
      <c r="P99" s="162"/>
      <c r="Q99" s="162"/>
      <c r="R99" s="586">
        <v>0</v>
      </c>
      <c r="S99" s="162"/>
      <c r="T99" s="162"/>
      <c r="U99" s="162"/>
      <c r="V99" s="162"/>
      <c r="W99" s="162"/>
    </row>
    <row r="100" spans="1:23" s="212" customFormat="1">
      <c r="A100" s="162"/>
      <c r="B100" s="162"/>
      <c r="C100" s="162"/>
      <c r="D100" s="162"/>
      <c r="E100" s="162"/>
      <c r="F100" s="162"/>
      <c r="G100" s="162"/>
      <c r="H100" s="162"/>
      <c r="I100" s="162"/>
      <c r="J100" s="162"/>
      <c r="K100" s="199"/>
      <c r="L100" s="199"/>
      <c r="M100" s="199"/>
      <c r="N100" s="199"/>
      <c r="O100" s="199"/>
      <c r="P100" s="162"/>
      <c r="Q100" s="162"/>
      <c r="R100" s="162"/>
      <c r="S100" s="162"/>
      <c r="T100" s="162"/>
      <c r="U100" s="162"/>
      <c r="V100" s="162"/>
      <c r="W100" s="162"/>
    </row>
    <row r="101" spans="1:23" s="212" customFormat="1">
      <c r="A101" s="162" t="s">
        <v>348</v>
      </c>
      <c r="B101" s="162"/>
      <c r="C101" s="162"/>
      <c r="D101" s="162"/>
      <c r="E101" s="162"/>
      <c r="F101" s="162"/>
      <c r="G101" s="162"/>
      <c r="H101" s="162"/>
      <c r="I101" s="162"/>
      <c r="J101" s="162"/>
      <c r="K101" s="162"/>
      <c r="L101" s="162"/>
      <c r="M101" s="162"/>
      <c r="N101" s="162"/>
      <c r="O101" s="162"/>
      <c r="P101" s="162"/>
      <c r="Q101" s="162"/>
      <c r="R101" s="162"/>
      <c r="S101" s="162"/>
      <c r="T101" s="162"/>
      <c r="U101" s="162"/>
      <c r="V101" s="162"/>
      <c r="W101" s="162"/>
    </row>
    <row r="102" spans="1:23" s="212" customFormat="1" ht="13.5" thickBot="1">
      <c r="A102" s="259" t="s">
        <v>349</v>
      </c>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row>
    <row r="103" spans="1:23" ht="12.75" customHeight="1">
      <c r="A103" s="260" t="s">
        <v>350</v>
      </c>
      <c r="B103" s="212"/>
      <c r="C103" s="740" t="s">
        <v>560</v>
      </c>
      <c r="D103" s="740"/>
      <c r="E103" s="740"/>
      <c r="F103" s="740"/>
      <c r="G103" s="740"/>
      <c r="H103" s="740"/>
      <c r="I103" s="740"/>
      <c r="J103" s="740"/>
      <c r="K103" s="740"/>
      <c r="L103" s="740"/>
      <c r="M103" s="740"/>
      <c r="N103" s="740"/>
      <c r="O103" s="740"/>
      <c r="P103" s="740"/>
      <c r="Q103" s="740"/>
      <c r="R103" s="261"/>
      <c r="S103" s="261"/>
      <c r="T103" s="261"/>
      <c r="U103" s="261"/>
      <c r="V103" s="261"/>
      <c r="W103" s="261"/>
    </row>
    <row r="104" spans="1:23" ht="16.5" customHeight="1">
      <c r="A104" s="260" t="s">
        <v>352</v>
      </c>
      <c r="B104" s="212"/>
      <c r="C104" s="740" t="s">
        <v>561</v>
      </c>
      <c r="D104" s="740"/>
      <c r="E104" s="740"/>
      <c r="F104" s="740"/>
      <c r="G104" s="740"/>
      <c r="H104" s="740"/>
      <c r="I104" s="740"/>
      <c r="J104" s="740"/>
      <c r="K104" s="740"/>
      <c r="L104" s="740"/>
      <c r="M104" s="262"/>
      <c r="N104" s="262"/>
      <c r="O104" s="262"/>
      <c r="P104" s="262"/>
      <c r="Q104" s="262"/>
    </row>
    <row r="105" spans="1:23" ht="13.5" customHeight="1">
      <c r="A105" s="260" t="s">
        <v>354</v>
      </c>
      <c r="B105" s="212"/>
      <c r="C105" s="162" t="s">
        <v>562</v>
      </c>
    </row>
    <row r="106" spans="1:23" ht="13.5" customHeight="1">
      <c r="A106" s="260"/>
      <c r="B106" s="212"/>
      <c r="C106" s="263" t="s">
        <v>563</v>
      </c>
      <c r="D106" s="264"/>
      <c r="E106" s="264"/>
      <c r="F106" s="264"/>
      <c r="G106" s="264"/>
      <c r="H106" s="264"/>
      <c r="I106" s="264"/>
      <c r="J106" s="264"/>
      <c r="K106" s="264"/>
      <c r="L106" s="264"/>
      <c r="M106" s="264"/>
      <c r="N106" s="264"/>
      <c r="O106" s="264"/>
      <c r="P106" s="264"/>
      <c r="Q106" s="264"/>
    </row>
    <row r="107" spans="1:23" ht="12.75" customHeight="1">
      <c r="A107" s="260" t="s">
        <v>356</v>
      </c>
      <c r="B107" s="212"/>
      <c r="C107" s="741" t="s">
        <v>564</v>
      </c>
      <c r="D107" s="741"/>
      <c r="E107" s="741"/>
      <c r="F107" s="741"/>
      <c r="G107" s="741"/>
      <c r="H107" s="741"/>
      <c r="I107" s="741"/>
      <c r="J107" s="741"/>
      <c r="K107" s="741"/>
      <c r="L107" s="741"/>
      <c r="M107" s="741"/>
      <c r="N107" s="265"/>
      <c r="O107" s="265"/>
      <c r="P107" s="265"/>
      <c r="Q107" s="265"/>
    </row>
    <row r="108" spans="1:23">
      <c r="A108" s="260"/>
      <c r="B108" s="212"/>
      <c r="C108" s="266" t="s">
        <v>565</v>
      </c>
      <c r="D108" s="267"/>
      <c r="E108" s="267"/>
      <c r="F108" s="267"/>
      <c r="G108" s="267"/>
      <c r="H108" s="267"/>
      <c r="I108" s="267"/>
      <c r="J108" s="267"/>
      <c r="K108" s="267"/>
      <c r="L108" s="267"/>
      <c r="M108" s="267"/>
      <c r="N108" s="267"/>
      <c r="O108" s="267"/>
      <c r="P108" s="267"/>
      <c r="Q108" s="267"/>
    </row>
    <row r="109" spans="1:23" ht="31.5" customHeight="1">
      <c r="A109" s="260" t="s">
        <v>357</v>
      </c>
      <c r="B109" s="212"/>
      <c r="C109" s="740" t="s">
        <v>566</v>
      </c>
      <c r="D109" s="740"/>
      <c r="E109" s="740"/>
      <c r="F109" s="740"/>
      <c r="G109" s="740"/>
      <c r="H109" s="740"/>
      <c r="I109" s="740"/>
      <c r="J109" s="740"/>
      <c r="K109" s="740"/>
      <c r="L109" s="740"/>
      <c r="M109" s="262"/>
      <c r="N109" s="262"/>
      <c r="O109" s="262"/>
      <c r="P109" s="262"/>
      <c r="Q109" s="262"/>
    </row>
    <row r="110" spans="1:23" ht="24.95" customHeight="1">
      <c r="A110" s="209" t="s">
        <v>359</v>
      </c>
      <c r="B110" s="212"/>
      <c r="C110" s="742" t="s">
        <v>994</v>
      </c>
      <c r="D110" s="755"/>
      <c r="E110" s="755"/>
      <c r="F110" s="755"/>
      <c r="G110" s="755"/>
      <c r="H110" s="755"/>
      <c r="I110" s="755"/>
      <c r="J110" s="755"/>
      <c r="K110" s="755"/>
      <c r="L110" s="755"/>
      <c r="M110" s="264"/>
      <c r="N110" s="264"/>
      <c r="O110" s="264"/>
      <c r="P110" s="264"/>
      <c r="Q110" s="264"/>
    </row>
    <row r="111" spans="1:23" ht="16.5" customHeight="1">
      <c r="A111" s="209" t="s">
        <v>361</v>
      </c>
      <c r="B111" s="212"/>
      <c r="C111" s="263" t="s">
        <v>567</v>
      </c>
      <c r="D111" s="263"/>
      <c r="E111" s="263"/>
      <c r="F111" s="263"/>
      <c r="G111" s="263"/>
      <c r="H111" s="263"/>
      <c r="I111" s="263"/>
      <c r="J111" s="263"/>
      <c r="K111" s="263"/>
      <c r="L111" s="263"/>
      <c r="M111" s="263"/>
      <c r="N111" s="263"/>
      <c r="O111" s="263"/>
      <c r="P111" s="263"/>
      <c r="Q111" s="263"/>
    </row>
    <row r="112" spans="1:23" ht="54" customHeight="1">
      <c r="A112" s="260" t="s">
        <v>363</v>
      </c>
      <c r="B112" s="212"/>
      <c r="C112" s="744" t="s">
        <v>568</v>
      </c>
      <c r="D112" s="744"/>
      <c r="E112" s="744"/>
      <c r="F112" s="744"/>
      <c r="G112" s="744"/>
      <c r="H112" s="744"/>
      <c r="I112" s="744"/>
      <c r="J112" s="744"/>
      <c r="K112" s="744"/>
      <c r="L112" s="744"/>
    </row>
    <row r="113" spans="1:12">
      <c r="A113" s="209" t="s">
        <v>365</v>
      </c>
      <c r="B113" s="212"/>
      <c r="C113" s="162" t="s">
        <v>569</v>
      </c>
    </row>
    <row r="114" spans="1:12" ht="45" customHeight="1">
      <c r="A114" s="209" t="s">
        <v>367</v>
      </c>
      <c r="C114" s="740" t="s">
        <v>570</v>
      </c>
      <c r="D114" s="740"/>
      <c r="E114" s="740"/>
      <c r="F114" s="740"/>
      <c r="G114" s="740"/>
      <c r="H114" s="740"/>
      <c r="I114" s="740"/>
      <c r="J114" s="740"/>
      <c r="K114" s="740"/>
      <c r="L114" s="740"/>
    </row>
  </sheetData>
  <mergeCells count="7">
    <mergeCell ref="C114:L114"/>
    <mergeCell ref="C103:Q103"/>
    <mergeCell ref="C104:L104"/>
    <mergeCell ref="C107:M107"/>
    <mergeCell ref="C109:L109"/>
    <mergeCell ref="C112:L112"/>
    <mergeCell ref="C110:L110"/>
  </mergeCells>
  <pageMargins left="0.25" right="0.25" top="0.5" bottom="0.5" header="0.3" footer="0.3"/>
  <pageSetup scale="57" fitToWidth="2" fitToHeight="2" orientation="landscape" r:id="rId1"/>
  <rowBreaks count="1" manualBreakCount="1">
    <brk id="58" max="22" man="1"/>
  </rowBreaks>
  <colBreaks count="1" manualBreakCount="1">
    <brk id="12" min="58"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63C46-2CC9-44AD-A1D0-9D07575E4719}">
  <sheetPr>
    <pageSetUpPr fitToPage="1"/>
  </sheetPr>
  <dimension ref="A1:L48"/>
  <sheetViews>
    <sheetView workbookViewId="0"/>
  </sheetViews>
  <sheetFormatPr defaultColWidth="8.77734375" defaultRowHeight="15"/>
  <cols>
    <col min="1" max="1" width="5.5546875" style="35" customWidth="1"/>
    <col min="2" max="2" width="24.5546875" style="2" customWidth="1"/>
    <col min="3" max="3" width="35.77734375" style="2" customWidth="1"/>
    <col min="4" max="4" width="30.5546875" style="2" customWidth="1"/>
    <col min="5" max="5" width="11.44140625" style="2" customWidth="1"/>
    <col min="6" max="6" width="9" style="2" bestFit="1" customWidth="1"/>
    <col min="7" max="7" width="4.21875" style="2" customWidth="1"/>
    <col min="8" max="8" width="9" style="2" bestFit="1" customWidth="1"/>
    <col min="9" max="9" width="4" style="2" customWidth="1"/>
    <col min="10" max="10" width="12.33203125" style="2" customWidth="1"/>
    <col min="11" max="11" width="14" style="90" customWidth="1"/>
  </cols>
  <sheetData>
    <row r="1" spans="1:12">
      <c r="C1" s="165"/>
      <c r="D1" s="165"/>
      <c r="E1" s="165"/>
      <c r="F1" s="165"/>
      <c r="G1" s="164"/>
      <c r="H1" s="165"/>
      <c r="I1" s="165"/>
      <c r="J1" s="165"/>
      <c r="K1" s="166"/>
    </row>
    <row r="2" spans="1:12">
      <c r="B2" s="35"/>
      <c r="C2" s="165"/>
      <c r="D2" s="165"/>
      <c r="E2" s="165"/>
      <c r="F2" s="165"/>
      <c r="G2" s="164"/>
      <c r="H2" s="165"/>
      <c r="I2" s="165"/>
      <c r="J2" s="165"/>
      <c r="K2" s="166"/>
    </row>
    <row r="3" spans="1:12" ht="15.75" customHeight="1">
      <c r="A3" s="756" t="s">
        <v>571</v>
      </c>
      <c r="B3" s="756"/>
      <c r="C3" s="756"/>
      <c r="D3" s="756"/>
      <c r="E3" s="756"/>
      <c r="F3" s="756"/>
      <c r="G3" s="756"/>
      <c r="H3" s="756"/>
      <c r="I3" s="756"/>
      <c r="J3" s="756"/>
      <c r="K3" s="756"/>
      <c r="L3" s="268"/>
    </row>
    <row r="4" spans="1:12" ht="15.75" customHeight="1">
      <c r="A4" s="757" t="s">
        <v>520</v>
      </c>
      <c r="B4" s="757"/>
      <c r="C4" s="757"/>
      <c r="D4" s="757"/>
      <c r="E4" s="757"/>
      <c r="F4" s="757"/>
      <c r="G4" s="757"/>
      <c r="H4" s="757"/>
      <c r="I4" s="757"/>
      <c r="J4" s="757"/>
      <c r="K4" s="757"/>
      <c r="L4" s="268"/>
    </row>
    <row r="5" spans="1:12">
      <c r="A5" s="758" t="str">
        <f>+'Attachment O'!D5</f>
        <v>GridLiance Heartland LLC</v>
      </c>
      <c r="B5" s="758"/>
      <c r="C5" s="758"/>
      <c r="D5" s="758"/>
      <c r="E5" s="758"/>
      <c r="F5" s="758"/>
      <c r="G5" s="758"/>
      <c r="H5" s="758"/>
      <c r="I5" s="758"/>
      <c r="J5" s="758"/>
      <c r="K5" s="758"/>
      <c r="L5" s="269"/>
    </row>
    <row r="6" spans="1:12" ht="15.75">
      <c r="B6" s="270" t="s">
        <v>350</v>
      </c>
      <c r="C6" s="270" t="s">
        <v>352</v>
      </c>
      <c r="D6" s="271" t="s">
        <v>354</v>
      </c>
      <c r="E6" s="270" t="s">
        <v>356</v>
      </c>
      <c r="F6" s="270" t="s">
        <v>357</v>
      </c>
      <c r="G6" s="270" t="s">
        <v>359</v>
      </c>
      <c r="H6" s="270" t="s">
        <v>361</v>
      </c>
      <c r="I6" s="272" t="s">
        <v>363</v>
      </c>
      <c r="J6" s="273" t="s">
        <v>365</v>
      </c>
      <c r="K6" s="273" t="s">
        <v>367</v>
      </c>
    </row>
    <row r="7" spans="1:12">
      <c r="A7" s="35">
        <v>1</v>
      </c>
      <c r="B7" s="2" t="s">
        <v>572</v>
      </c>
      <c r="D7" s="2" t="s">
        <v>573</v>
      </c>
      <c r="K7" s="35">
        <f>+'Attachment O'!I109</f>
        <v>11163910.985344131</v>
      </c>
    </row>
    <row r="9" spans="1:12" ht="15.75" thickBot="1">
      <c r="A9" s="135">
        <f>+A7+1</f>
        <v>2</v>
      </c>
      <c r="B9" s="5" t="s">
        <v>574</v>
      </c>
      <c r="C9" s="10"/>
      <c r="D9" s="10"/>
      <c r="E9" s="10"/>
      <c r="F9" s="10"/>
      <c r="G9" s="10"/>
      <c r="H9" s="10"/>
      <c r="I9" s="10"/>
      <c r="J9" s="100" t="s">
        <v>275</v>
      </c>
    </row>
    <row r="10" spans="1:12">
      <c r="A10" s="135"/>
      <c r="B10" s="12"/>
      <c r="C10" s="10"/>
      <c r="D10" s="10"/>
      <c r="E10" s="10"/>
      <c r="F10" s="10"/>
      <c r="G10" s="10"/>
      <c r="H10" s="11" t="s">
        <v>302</v>
      </c>
      <c r="I10" s="10"/>
      <c r="J10" s="10"/>
    </row>
    <row r="11" spans="1:12" ht="15.75" thickBot="1">
      <c r="A11" s="135"/>
      <c r="B11" s="12"/>
      <c r="C11" s="10"/>
      <c r="D11" s="10"/>
      <c r="E11" s="18" t="s">
        <v>275</v>
      </c>
      <c r="F11" s="18" t="s">
        <v>303</v>
      </c>
      <c r="G11" s="10"/>
      <c r="H11" s="18"/>
      <c r="I11" s="10"/>
      <c r="J11" s="18" t="s">
        <v>304</v>
      </c>
    </row>
    <row r="12" spans="1:12">
      <c r="A12" s="135">
        <f>+A9+1</f>
        <v>3</v>
      </c>
      <c r="B12" s="5" t="s">
        <v>305</v>
      </c>
      <c r="D12" s="4" t="s">
        <v>575</v>
      </c>
      <c r="E12" s="274">
        <v>0</v>
      </c>
      <c r="F12" s="275">
        <f>+'Attachment O'!E228</f>
        <v>0.4</v>
      </c>
      <c r="G12" s="21"/>
      <c r="H12" s="114">
        <f>+'Attachment O'!G228</f>
        <v>4.5597125000000002E-2</v>
      </c>
      <c r="I12" s="21"/>
      <c r="J12" s="276">
        <f>F12*H12</f>
        <v>1.8238850000000001E-2</v>
      </c>
    </row>
    <row r="13" spans="1:12">
      <c r="A13" s="135">
        <f>+A12+1</f>
        <v>4</v>
      </c>
      <c r="B13" s="5" t="s">
        <v>576</v>
      </c>
      <c r="D13" s="4" t="s">
        <v>575</v>
      </c>
      <c r="E13" s="274">
        <v>0</v>
      </c>
      <c r="F13" s="275">
        <f>+'Attachment O'!E229</f>
        <v>0</v>
      </c>
      <c r="G13" s="21"/>
      <c r="H13" s="21">
        <v>0</v>
      </c>
      <c r="I13" s="21"/>
      <c r="J13" s="21">
        <f>F13*H13</f>
        <v>0</v>
      </c>
    </row>
    <row r="14" spans="1:12" ht="15" customHeight="1" thickBot="1">
      <c r="A14" s="135">
        <f>+A13+1</f>
        <v>5</v>
      </c>
      <c r="B14" s="5" t="s">
        <v>577</v>
      </c>
      <c r="C14" s="277" t="s">
        <v>578</v>
      </c>
      <c r="D14" s="4" t="s">
        <v>579</v>
      </c>
      <c r="E14" s="587">
        <v>0</v>
      </c>
      <c r="F14" s="275">
        <f>+'Attachment O'!E230</f>
        <v>0.6</v>
      </c>
      <c r="G14" s="21"/>
      <c r="H14" s="278">
        <f>+'Attachment O'!G230+0.01</f>
        <v>0.1182</v>
      </c>
      <c r="I14" s="21"/>
      <c r="J14" s="279">
        <f>F14*H14</f>
        <v>7.0919999999999997E-2</v>
      </c>
    </row>
    <row r="15" spans="1:12">
      <c r="A15" s="135">
        <f>+A14+1</f>
        <v>6</v>
      </c>
      <c r="B15" s="12" t="s">
        <v>312</v>
      </c>
      <c r="D15" s="4" t="s">
        <v>580</v>
      </c>
      <c r="E15" s="45">
        <f>SUM(E12:E14)</f>
        <v>0</v>
      </c>
      <c r="F15" s="21" t="s">
        <v>9</v>
      </c>
      <c r="G15" s="21"/>
      <c r="H15" s="21"/>
      <c r="I15" s="21"/>
      <c r="J15" s="276">
        <f>SUM(J12:J14)</f>
        <v>8.9158849999999998E-2</v>
      </c>
    </row>
    <row r="16" spans="1:12">
      <c r="A16" s="135">
        <f t="shared" ref="A16:A40" si="0">+A15+1</f>
        <v>7</v>
      </c>
      <c r="B16" s="12" t="s">
        <v>581</v>
      </c>
      <c r="C16" s="4"/>
      <c r="D16" s="4" t="s">
        <v>582</v>
      </c>
      <c r="E16" s="45"/>
      <c r="F16" s="10"/>
      <c r="G16" s="10"/>
      <c r="H16" s="10"/>
      <c r="I16" s="10"/>
      <c r="J16" s="52"/>
      <c r="K16" s="35">
        <f>+J15*K7</f>
        <v>995361.46495564946</v>
      </c>
    </row>
    <row r="17" spans="1:11">
      <c r="A17" s="135"/>
    </row>
    <row r="18" spans="1:11">
      <c r="A18" s="135">
        <f>+A16+1</f>
        <v>8</v>
      </c>
      <c r="B18" s="12" t="s">
        <v>217</v>
      </c>
      <c r="C18" s="10"/>
      <c r="D18" s="10"/>
      <c r="E18" s="10"/>
      <c r="F18" s="10"/>
      <c r="G18" s="4"/>
      <c r="H18" s="106"/>
      <c r="I18" s="10"/>
      <c r="J18" s="4"/>
    </row>
    <row r="19" spans="1:11">
      <c r="A19" s="135">
        <f t="shared" si="0"/>
        <v>9</v>
      </c>
      <c r="B19" s="706" t="s">
        <v>1171</v>
      </c>
      <c r="C19" s="571"/>
      <c r="D19" s="722" t="str">
        <f>"Attachment O-GLH, Page 3, Line "&amp;+'[3]Attachment O'!A159</f>
        <v>Attachment O-GLH, Page 3, Line 21</v>
      </c>
      <c r="E19" s="707">
        <f>'Attachment O'!D159</f>
        <v>0.20652455397773772</v>
      </c>
      <c r="F19" s="78"/>
      <c r="G19" s="4"/>
      <c r="H19" s="106"/>
      <c r="I19" s="10"/>
      <c r="J19" s="4"/>
    </row>
    <row r="20" spans="1:11">
      <c r="A20" s="135">
        <f t="shared" si="0"/>
        <v>10</v>
      </c>
      <c r="B20" s="708" t="s">
        <v>218</v>
      </c>
      <c r="C20" s="571"/>
      <c r="D20" s="571"/>
      <c r="E20" s="707">
        <f>IF(J15&gt;0,(E19/(1-E19))*(1-J12/J15),0)</f>
        <v>0.20703437972681382</v>
      </c>
      <c r="F20" s="10"/>
      <c r="G20" s="4"/>
      <c r="H20" s="106"/>
      <c r="I20" s="10"/>
      <c r="J20" s="4"/>
    </row>
    <row r="21" spans="1:11">
      <c r="A21" s="135">
        <f t="shared" si="0"/>
        <v>11</v>
      </c>
      <c r="B21" s="571" t="s">
        <v>583</v>
      </c>
      <c r="C21" s="571"/>
      <c r="D21" s="571"/>
      <c r="E21" s="571"/>
      <c r="F21" s="10"/>
      <c r="G21" s="4"/>
      <c r="H21" s="106"/>
      <c r="I21" s="10"/>
      <c r="J21" s="4"/>
    </row>
    <row r="22" spans="1:11">
      <c r="A22" s="135">
        <f t="shared" si="0"/>
        <v>12</v>
      </c>
      <c r="B22" s="574" t="s">
        <v>584</v>
      </c>
      <c r="C22" s="571"/>
      <c r="D22" s="571"/>
      <c r="E22" s="571"/>
      <c r="F22" s="10"/>
      <c r="G22" s="4"/>
      <c r="H22" s="106"/>
      <c r="I22" s="10"/>
      <c r="J22" s="4"/>
    </row>
    <row r="23" spans="1:11">
      <c r="A23" s="135">
        <f>+A22+1</f>
        <v>13</v>
      </c>
      <c r="B23" s="706" t="str">
        <f>"      1 / (1 - T)  =  (from line "&amp;A19&amp;")"</f>
        <v xml:space="preserve">      1 / (1 - T)  =  (from line 9)</v>
      </c>
      <c r="C23" s="571"/>
      <c r="D23" s="571"/>
      <c r="E23" s="707">
        <f>IF(E19&gt;0,1/(1-E19),0)</f>
        <v>1.2602784434137906</v>
      </c>
      <c r="F23" s="10"/>
      <c r="G23" s="4"/>
      <c r="H23" s="106"/>
      <c r="I23" s="10"/>
      <c r="J23" s="4"/>
    </row>
    <row r="24" spans="1:11">
      <c r="A24" s="135">
        <f t="shared" si="0"/>
        <v>14</v>
      </c>
      <c r="B24" s="12" t="s">
        <v>585</v>
      </c>
      <c r="C24" s="10"/>
      <c r="D24" s="280" t="str">
        <f>"Attachment O-GLH, Page 3, Line "&amp;+'Attachment O'!A164</f>
        <v>Attachment O-GLH, Page 3, Line 24</v>
      </c>
      <c r="E24" s="59">
        <f>+'Attachment O'!D164</f>
        <v>0</v>
      </c>
      <c r="F24" s="10"/>
      <c r="G24" s="4"/>
      <c r="H24" s="106"/>
      <c r="I24" s="10"/>
      <c r="J24" s="4"/>
    </row>
    <row r="25" spans="1:11">
      <c r="A25" s="135">
        <f t="shared" si="0"/>
        <v>15</v>
      </c>
      <c r="B25" s="12" t="s">
        <v>586</v>
      </c>
      <c r="C25" s="10"/>
      <c r="D25" s="280" t="str">
        <f>"Attachment O-GLH, Page 3, Line "&amp;+'Attachment O'!A165</f>
        <v>Attachment O-GLH, Page 3, Line 24a</v>
      </c>
      <c r="E25" s="59">
        <f>+'Attachment O'!D165</f>
        <v>0</v>
      </c>
      <c r="F25" s="10"/>
      <c r="G25" s="4"/>
      <c r="H25" s="35"/>
      <c r="I25" s="10"/>
      <c r="J25" s="4"/>
    </row>
    <row r="26" spans="1:11">
      <c r="A26" s="135">
        <f t="shared" si="0"/>
        <v>16</v>
      </c>
      <c r="B26" s="12" t="s">
        <v>587</v>
      </c>
      <c r="C26" s="10"/>
      <c r="D26" s="280" t="str">
        <f>"Attachment O-GLH, Page 3, Line "&amp;+'Attachment O'!A166</f>
        <v>Attachment O-GLH, Page 3, Line 24b</v>
      </c>
      <c r="E26" s="59">
        <f>+'Attachment O'!D166</f>
        <v>0</v>
      </c>
      <c r="F26" s="10"/>
      <c r="G26" s="4"/>
      <c r="H26" s="106"/>
      <c r="I26" s="10"/>
      <c r="J26" s="4"/>
    </row>
    <row r="27" spans="1:11">
      <c r="A27" s="135">
        <f t="shared" si="0"/>
        <v>17</v>
      </c>
      <c r="B27" s="77" t="str">
        <f>"Income Tax Calculation"</f>
        <v>Income Tax Calculation</v>
      </c>
      <c r="C27" s="79"/>
      <c r="D27" s="79" t="s">
        <v>588</v>
      </c>
      <c r="E27" s="69">
        <f>+E20*K16</f>
        <v>206074.04350106561</v>
      </c>
      <c r="F27" s="22"/>
      <c r="G27" s="22" t="s">
        <v>83</v>
      </c>
      <c r="H27" s="26"/>
      <c r="I27" s="22"/>
      <c r="J27" s="69">
        <f>+E20*K16</f>
        <v>206074.04350106561</v>
      </c>
    </row>
    <row r="28" spans="1:11">
      <c r="A28" s="135">
        <f t="shared" si="0"/>
        <v>18</v>
      </c>
      <c r="B28" s="4" t="str">
        <f>"ITC adjustment"</f>
        <v>ITC adjustment</v>
      </c>
      <c r="C28" s="79"/>
      <c r="D28" s="79" t="s">
        <v>589</v>
      </c>
      <c r="E28" s="59">
        <f>+E23*E24</f>
        <v>0</v>
      </c>
      <c r="F28" s="22"/>
      <c r="G28" s="1" t="s">
        <v>119</v>
      </c>
      <c r="H28" s="21">
        <f>+'Attachment O'!I168</f>
        <v>0</v>
      </c>
      <c r="I28" s="22"/>
      <c r="J28" s="59">
        <f>+'Attachment O'!N168</f>
        <v>0</v>
      </c>
    </row>
    <row r="29" spans="1:11">
      <c r="A29" s="135">
        <f t="shared" si="0"/>
        <v>19</v>
      </c>
      <c r="B29" s="4" t="str">
        <f>"Excess Deferred Income Tax Adjustment"</f>
        <v>Excess Deferred Income Tax Adjustment</v>
      </c>
      <c r="C29" s="79"/>
      <c r="D29" s="79" t="s">
        <v>590</v>
      </c>
      <c r="E29" s="59">
        <f>+E23*E25</f>
        <v>0</v>
      </c>
      <c r="F29" s="22"/>
      <c r="G29" s="1" t="s">
        <v>119</v>
      </c>
      <c r="H29" s="21">
        <f>H28</f>
        <v>0</v>
      </c>
      <c r="I29" s="22"/>
      <c r="J29" s="59">
        <f>+'Attachment O'!N169</f>
        <v>0</v>
      </c>
    </row>
    <row r="30" spans="1:11" ht="15.75" thickBot="1">
      <c r="A30" s="135">
        <f t="shared" si="0"/>
        <v>20</v>
      </c>
      <c r="B30" s="4" t="str">
        <f>"Permanent Differences Tax Adjustment"</f>
        <v>Permanent Differences Tax Adjustment</v>
      </c>
      <c r="C30" s="79"/>
      <c r="D30" s="79" t="s">
        <v>591</v>
      </c>
      <c r="E30" s="281">
        <f>+E23*E26</f>
        <v>0</v>
      </c>
      <c r="F30" s="22"/>
      <c r="G30" s="1" t="s">
        <v>119</v>
      </c>
      <c r="H30" s="21">
        <f>H29</f>
        <v>0</v>
      </c>
      <c r="I30" s="22"/>
      <c r="J30" s="281">
        <f>+'Attachment O'!N170</f>
        <v>0</v>
      </c>
    </row>
    <row r="31" spans="1:11">
      <c r="A31" s="135">
        <f t="shared" si="0"/>
        <v>21</v>
      </c>
      <c r="B31" s="81" t="str">
        <f>"Total Income Taxes"</f>
        <v>Total Income Taxes</v>
      </c>
      <c r="C31" s="4"/>
      <c r="D31" s="4" t="s">
        <v>592</v>
      </c>
      <c r="E31" s="69">
        <f>SUM(E27:E30)</f>
        <v>206074.04350106561</v>
      </c>
      <c r="F31" s="22"/>
      <c r="G31" s="22" t="s">
        <v>9</v>
      </c>
      <c r="H31" s="26" t="s">
        <v>9</v>
      </c>
      <c r="I31" s="22"/>
      <c r="J31" s="69">
        <f>SUM(J27:J30)</f>
        <v>206074.04350106561</v>
      </c>
      <c r="K31" s="35">
        <f>+J31</f>
        <v>206074.04350106561</v>
      </c>
    </row>
    <row r="32" spans="1:11">
      <c r="A32" s="135"/>
      <c r="K32" s="588"/>
    </row>
    <row r="33" spans="1:11">
      <c r="A33" s="135">
        <f>+A31+1</f>
        <v>22</v>
      </c>
      <c r="B33" s="4" t="s">
        <v>593</v>
      </c>
      <c r="K33" s="35">
        <f>+K31+K16</f>
        <v>1201435.5084567151</v>
      </c>
    </row>
    <row r="34" spans="1:11">
      <c r="A34" s="135"/>
      <c r="K34" s="588"/>
    </row>
    <row r="35" spans="1:11">
      <c r="A35" s="135">
        <f>+A33+1</f>
        <v>23</v>
      </c>
      <c r="B35" s="2" t="s">
        <v>594</v>
      </c>
      <c r="D35" s="2" t="s">
        <v>595</v>
      </c>
      <c r="K35" s="35">
        <f>+'Attachment O'!I174</f>
        <v>928377.9990435848</v>
      </c>
    </row>
    <row r="36" spans="1:11">
      <c r="A36" s="135">
        <f t="shared" si="0"/>
        <v>24</v>
      </c>
      <c r="B36" s="2" t="s">
        <v>596</v>
      </c>
      <c r="D36" s="2" t="s">
        <v>597</v>
      </c>
      <c r="K36" s="35">
        <f>+'Attachment O'!I171</f>
        <v>188639.69125901273</v>
      </c>
    </row>
    <row r="37" spans="1:11">
      <c r="A37" s="135">
        <f t="shared" si="0"/>
        <v>25</v>
      </c>
      <c r="B37" s="4" t="s">
        <v>598</v>
      </c>
      <c r="D37" s="2" t="s">
        <v>599</v>
      </c>
      <c r="K37" s="186">
        <f>SUM(K35:K36)</f>
        <v>1117017.6903025976</v>
      </c>
    </row>
    <row r="38" spans="1:11">
      <c r="A38" s="135">
        <f t="shared" si="0"/>
        <v>26</v>
      </c>
      <c r="B38" s="4" t="s">
        <v>600</v>
      </c>
      <c r="D38" s="2" t="s">
        <v>601</v>
      </c>
      <c r="K38" s="35">
        <f>+K33-K37</f>
        <v>84417.818154117558</v>
      </c>
    </row>
    <row r="39" spans="1:11">
      <c r="A39" s="135">
        <f t="shared" si="0"/>
        <v>27</v>
      </c>
      <c r="B39" s="2" t="s">
        <v>572</v>
      </c>
      <c r="D39" s="2" t="s">
        <v>602</v>
      </c>
      <c r="K39" s="282">
        <f>+K7</f>
        <v>11163910.985344131</v>
      </c>
    </row>
    <row r="40" spans="1:11">
      <c r="A40" s="135">
        <f t="shared" si="0"/>
        <v>28</v>
      </c>
      <c r="B40" s="2" t="s">
        <v>603</v>
      </c>
      <c r="D40" s="2" t="s">
        <v>604</v>
      </c>
      <c r="K40" s="283">
        <f>IF(K39=0,0,K38/K39)</f>
        <v>7.5616706604827305E-3</v>
      </c>
    </row>
    <row r="42" spans="1:11">
      <c r="A42" s="35" t="s">
        <v>605</v>
      </c>
    </row>
    <row r="43" spans="1:11">
      <c r="A43" s="111" t="s">
        <v>350</v>
      </c>
      <c r="B43" s="284" t="s">
        <v>606</v>
      </c>
    </row>
    <row r="44" spans="1:11">
      <c r="A44" s="111"/>
      <c r="B44" s="160" t="s">
        <v>607</v>
      </c>
    </row>
    <row r="45" spans="1:11">
      <c r="A45" s="111"/>
      <c r="B45" s="160" t="s">
        <v>608</v>
      </c>
    </row>
    <row r="46" spans="1:11">
      <c r="A46" s="111"/>
      <c r="B46" s="160" t="s">
        <v>609</v>
      </c>
    </row>
    <row r="47" spans="1:11">
      <c r="A47" s="111" t="s">
        <v>352</v>
      </c>
      <c r="B47" s="160" t="s">
        <v>610</v>
      </c>
    </row>
    <row r="48" spans="1:11">
      <c r="B48" s="160" t="s">
        <v>611</v>
      </c>
    </row>
  </sheetData>
  <mergeCells count="3">
    <mergeCell ref="A3:K3"/>
    <mergeCell ref="A4:K4"/>
    <mergeCell ref="A5:K5"/>
  </mergeCells>
  <pageMargins left="0.25" right="0.25"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DC97F-817D-4C08-994B-181037B40E12}">
  <sheetPr>
    <pageSetUpPr fitToPage="1"/>
  </sheetPr>
  <dimension ref="A1:N49"/>
  <sheetViews>
    <sheetView workbookViewId="0"/>
  </sheetViews>
  <sheetFormatPr defaultColWidth="8.88671875" defaultRowHeight="12.75"/>
  <cols>
    <col min="1" max="1" width="6" style="162" customWidth="1"/>
    <col min="2" max="2" width="27.109375" style="162" customWidth="1"/>
    <col min="3" max="3" width="17.5546875" style="162" customWidth="1"/>
    <col min="4" max="4" width="15" style="162" customWidth="1"/>
    <col min="5" max="6" width="23.109375" style="162" customWidth="1"/>
    <col min="7" max="7" width="21" style="162" customWidth="1"/>
    <col min="8" max="8" width="18.33203125" style="162" customWidth="1"/>
    <col min="9" max="9" width="18.5546875" style="162" customWidth="1"/>
    <col min="10" max="10" width="13.77734375" style="162" customWidth="1"/>
    <col min="11" max="11" width="7.109375" style="162" customWidth="1"/>
    <col min="12" max="12" width="13.5546875" style="162" customWidth="1"/>
    <col min="13" max="16384" width="8.88671875" style="162"/>
  </cols>
  <sheetData>
    <row r="1" spans="1:14">
      <c r="E1" s="209"/>
    </row>
    <row r="2" spans="1:14">
      <c r="D2" s="165"/>
      <c r="E2" s="164" t="s">
        <v>612</v>
      </c>
      <c r="F2" s="165"/>
      <c r="G2" s="165"/>
      <c r="I2" s="165"/>
      <c r="K2" s="165" t="s">
        <v>613</v>
      </c>
      <c r="L2" s="165"/>
    </row>
    <row r="3" spans="1:14">
      <c r="D3" s="165"/>
      <c r="E3" s="285" t="s">
        <v>614</v>
      </c>
      <c r="F3" s="169"/>
      <c r="G3" s="169"/>
      <c r="I3" s="169"/>
      <c r="J3" s="169"/>
      <c r="K3" s="169"/>
      <c r="L3" s="165"/>
    </row>
    <row r="4" spans="1:14">
      <c r="C4" s="167"/>
      <c r="D4" s="167"/>
      <c r="E4" s="17" t="str">
        <f>+'Attachment O'!D5</f>
        <v>GridLiance Heartland LLC</v>
      </c>
      <c r="F4" s="167"/>
      <c r="G4" s="167"/>
      <c r="I4" s="167"/>
      <c r="J4" s="167"/>
      <c r="K4" s="167"/>
      <c r="L4" s="167"/>
    </row>
    <row r="5" spans="1:14">
      <c r="A5" s="164"/>
      <c r="C5" s="167"/>
      <c r="D5" s="167"/>
      <c r="E5" s="177"/>
      <c r="F5" s="167"/>
      <c r="G5" s="167"/>
      <c r="I5" s="167"/>
      <c r="J5" s="167"/>
      <c r="K5" s="167"/>
      <c r="L5" s="167"/>
    </row>
    <row r="6" spans="1:14">
      <c r="A6" s="164"/>
      <c r="C6" s="167"/>
      <c r="D6" s="167"/>
      <c r="E6" s="167"/>
      <c r="F6" s="167"/>
      <c r="G6" s="167"/>
      <c r="H6" s="171"/>
      <c r="I6" s="167"/>
      <c r="J6" s="167"/>
      <c r="K6" s="167"/>
      <c r="L6" s="167"/>
    </row>
    <row r="7" spans="1:14">
      <c r="A7" s="164"/>
      <c r="E7" s="211"/>
      <c r="I7" s="167"/>
      <c r="J7" s="167"/>
      <c r="K7" s="167"/>
      <c r="L7" s="167"/>
    </row>
    <row r="8" spans="1:14" s="212" customFormat="1" ht="15" customHeight="1">
      <c r="B8" s="286"/>
      <c r="C8" s="286"/>
      <c r="D8" s="286"/>
      <c r="E8" s="287"/>
      <c r="F8" s="288"/>
      <c r="G8" s="289"/>
      <c r="H8" s="290"/>
    </row>
    <row r="9" spans="1:14" s="212" customFormat="1">
      <c r="A9" s="287"/>
      <c r="B9" s="286" t="s">
        <v>615</v>
      </c>
      <c r="C9" s="286"/>
      <c r="D9" s="286"/>
      <c r="F9" s="291" t="s">
        <v>616</v>
      </c>
      <c r="G9" s="292"/>
      <c r="H9" s="293"/>
    </row>
    <row r="10" spans="1:14" s="212" customFormat="1">
      <c r="A10" s="294">
        <v>1</v>
      </c>
      <c r="B10" s="295"/>
      <c r="C10" s="286"/>
      <c r="D10" s="296"/>
      <c r="E10" s="296"/>
      <c r="F10" s="296"/>
      <c r="G10" s="296"/>
      <c r="H10" s="296"/>
    </row>
    <row r="11" spans="1:14" s="212" customFormat="1">
      <c r="A11" s="294"/>
      <c r="B11" s="297" t="s">
        <v>350</v>
      </c>
      <c r="C11" s="298" t="s">
        <v>352</v>
      </c>
      <c r="D11" s="299" t="s">
        <v>354</v>
      </c>
      <c r="E11" s="299" t="s">
        <v>356</v>
      </c>
      <c r="F11" s="299" t="s">
        <v>357</v>
      </c>
      <c r="G11" s="299" t="s">
        <v>359</v>
      </c>
      <c r="H11" s="299" t="s">
        <v>361</v>
      </c>
      <c r="M11" s="300"/>
      <c r="N11" s="300"/>
    </row>
    <row r="12" spans="1:14" s="212" customFormat="1">
      <c r="A12" s="294"/>
      <c r="B12" s="296"/>
      <c r="C12" s="301"/>
      <c r="D12" s="302"/>
      <c r="E12" s="302"/>
      <c r="F12" s="302" t="s">
        <v>617</v>
      </c>
      <c r="G12" s="303"/>
      <c r="H12" s="303"/>
    </row>
    <row r="13" spans="1:14" s="212" customFormat="1">
      <c r="A13" s="294"/>
      <c r="B13" s="302" t="s">
        <v>618</v>
      </c>
      <c r="C13" s="302"/>
      <c r="D13" s="302" t="s">
        <v>619</v>
      </c>
      <c r="E13" s="302"/>
      <c r="F13" s="302" t="s">
        <v>620</v>
      </c>
      <c r="G13" s="302" t="s">
        <v>621</v>
      </c>
      <c r="H13" s="304" t="s">
        <v>622</v>
      </c>
    </row>
    <row r="14" spans="1:14" s="212" customFormat="1">
      <c r="A14" s="294"/>
      <c r="B14" s="302" t="s">
        <v>623</v>
      </c>
      <c r="C14" s="302"/>
      <c r="D14" s="302" t="s">
        <v>624</v>
      </c>
      <c r="E14" s="302"/>
      <c r="F14" s="302" t="s">
        <v>625</v>
      </c>
      <c r="G14" s="302" t="s">
        <v>626</v>
      </c>
      <c r="H14" s="304" t="s">
        <v>627</v>
      </c>
    </row>
    <row r="15" spans="1:14" s="212" customFormat="1" ht="15.75">
      <c r="A15" s="294"/>
      <c r="B15" s="299" t="s">
        <v>628</v>
      </c>
      <c r="C15" s="299" t="s">
        <v>629</v>
      </c>
      <c r="D15" s="299" t="s">
        <v>630</v>
      </c>
      <c r="E15" s="300" t="s">
        <v>631</v>
      </c>
      <c r="F15" s="302" t="s">
        <v>632</v>
      </c>
      <c r="G15" s="299" t="s">
        <v>633</v>
      </c>
      <c r="H15" s="299" t="s">
        <v>634</v>
      </c>
    </row>
    <row r="16" spans="1:14" s="212" customFormat="1">
      <c r="A16" s="294">
        <v>2</v>
      </c>
      <c r="B16" s="611"/>
      <c r="C16" s="611"/>
      <c r="D16" s="305">
        <v>0</v>
      </c>
      <c r="E16" s="306">
        <v>0</v>
      </c>
      <c r="F16" s="307">
        <f t="shared" ref="F16:F21" si="0">D16-E16</f>
        <v>0</v>
      </c>
      <c r="G16" s="308">
        <v>0</v>
      </c>
      <c r="H16" s="309">
        <f t="shared" ref="H16:H21" si="1">+F16+G16</f>
        <v>0</v>
      </c>
    </row>
    <row r="17" spans="1:14" s="212" customFormat="1">
      <c r="A17" s="294" t="s">
        <v>635</v>
      </c>
      <c r="B17" s="310"/>
      <c r="C17" s="310"/>
      <c r="D17" s="311">
        <v>0</v>
      </c>
      <c r="E17" s="312">
        <v>0</v>
      </c>
      <c r="F17" s="313">
        <f t="shared" si="0"/>
        <v>0</v>
      </c>
      <c r="G17" s="314">
        <v>0</v>
      </c>
      <c r="H17" s="313">
        <f t="shared" si="1"/>
        <v>0</v>
      </c>
    </row>
    <row r="18" spans="1:14" s="212" customFormat="1">
      <c r="A18" s="294" t="s">
        <v>636</v>
      </c>
      <c r="B18" s="310"/>
      <c r="C18" s="310"/>
      <c r="D18" s="311">
        <v>0</v>
      </c>
      <c r="E18" s="312">
        <v>0</v>
      </c>
      <c r="F18" s="313">
        <f t="shared" si="0"/>
        <v>0</v>
      </c>
      <c r="G18" s="314">
        <v>0</v>
      </c>
      <c r="H18" s="313">
        <f t="shared" si="1"/>
        <v>0</v>
      </c>
    </row>
    <row r="19" spans="1:14" s="212" customFormat="1">
      <c r="A19" s="294" t="s">
        <v>637</v>
      </c>
      <c r="B19" s="310"/>
      <c r="C19" s="310"/>
      <c r="D19" s="311">
        <v>0</v>
      </c>
      <c r="E19" s="312">
        <v>0</v>
      </c>
      <c r="F19" s="313">
        <f t="shared" si="0"/>
        <v>0</v>
      </c>
      <c r="G19" s="314">
        <v>0</v>
      </c>
      <c r="H19" s="313">
        <f t="shared" si="1"/>
        <v>0</v>
      </c>
    </row>
    <row r="20" spans="1:14" s="212" customFormat="1">
      <c r="A20" s="294" t="s">
        <v>638</v>
      </c>
      <c r="B20" s="310"/>
      <c r="C20" s="310"/>
      <c r="D20" s="311">
        <v>0</v>
      </c>
      <c r="E20" s="312">
        <v>0</v>
      </c>
      <c r="F20" s="313">
        <f t="shared" si="0"/>
        <v>0</v>
      </c>
      <c r="G20" s="314">
        <v>0</v>
      </c>
      <c r="H20" s="313">
        <f t="shared" si="1"/>
        <v>0</v>
      </c>
    </row>
    <row r="21" spans="1:14" s="212" customFormat="1">
      <c r="A21" s="294"/>
      <c r="B21" s="315"/>
      <c r="C21" s="315"/>
      <c r="D21" s="316">
        <v>0</v>
      </c>
      <c r="E21" s="317">
        <v>0</v>
      </c>
      <c r="F21" s="318">
        <f t="shared" si="0"/>
        <v>0</v>
      </c>
      <c r="G21" s="319">
        <v>0</v>
      </c>
      <c r="H21" s="318">
        <f t="shared" si="1"/>
        <v>0</v>
      </c>
    </row>
    <row r="22" spans="1:14" s="212" customFormat="1">
      <c r="A22" s="294"/>
      <c r="B22" s="286"/>
      <c r="C22" s="320"/>
      <c r="D22" s="320"/>
      <c r="E22" s="320"/>
      <c r="F22" s="320"/>
      <c r="G22" s="320"/>
      <c r="H22" s="321"/>
      <c r="J22" s="320"/>
      <c r="K22" s="320"/>
    </row>
    <row r="23" spans="1:14" s="212" customFormat="1">
      <c r="A23" s="294">
        <v>3</v>
      </c>
      <c r="B23" s="322" t="s">
        <v>21</v>
      </c>
      <c r="C23" s="320"/>
      <c r="D23" s="320">
        <f>SUM(D16:D21)</f>
        <v>0</v>
      </c>
      <c r="E23" s="320">
        <f t="shared" ref="E23" si="2">SUM(E16:E21)</f>
        <v>0</v>
      </c>
      <c r="F23" s="320">
        <f>SUM(F16:F21)</f>
        <v>0</v>
      </c>
      <c r="G23" s="320">
        <f>SUM(G16:G21)</f>
        <v>0</v>
      </c>
      <c r="H23" s="320">
        <f>SUM(H16:H21)</f>
        <v>0</v>
      </c>
      <c r="J23" s="320"/>
      <c r="K23" s="320"/>
    </row>
    <row r="24" spans="1:14" s="212" customFormat="1">
      <c r="A24" s="294"/>
      <c r="B24" s="286"/>
      <c r="C24" s="320"/>
      <c r="D24" s="320"/>
      <c r="E24" s="320"/>
      <c r="F24" s="320"/>
      <c r="G24" s="320"/>
      <c r="H24" s="320"/>
      <c r="I24" s="321"/>
      <c r="J24" s="320"/>
      <c r="K24" s="320"/>
    </row>
    <row r="25" spans="1:14" s="212" customFormat="1">
      <c r="A25" s="322"/>
      <c r="B25" s="286"/>
      <c r="C25" s="320"/>
      <c r="D25" s="320"/>
      <c r="E25" s="320"/>
      <c r="F25" s="320"/>
      <c r="G25" s="320"/>
      <c r="H25" s="320"/>
      <c r="I25" s="321"/>
      <c r="J25" s="320"/>
      <c r="K25" s="320"/>
    </row>
    <row r="26" spans="1:14" s="212" customFormat="1" ht="15">
      <c r="A26" s="322"/>
      <c r="B26" s="323"/>
      <c r="C26" s="2"/>
      <c r="D26" s="2"/>
      <c r="E26" s="2"/>
      <c r="F26" s="35"/>
      <c r="G26" s="35"/>
      <c r="H26" s="2"/>
      <c r="I26" s="324"/>
      <c r="J26" s="21"/>
      <c r="K26" s="325"/>
      <c r="L26" s="325"/>
    </row>
    <row r="27" spans="1:14" s="212" customFormat="1">
      <c r="A27" s="322"/>
      <c r="B27" s="2" t="s">
        <v>995</v>
      </c>
      <c r="C27" s="2"/>
      <c r="D27" s="2"/>
      <c r="E27" s="2"/>
      <c r="F27" s="2"/>
      <c r="G27" s="2"/>
      <c r="H27" s="2"/>
      <c r="I27" s="286"/>
      <c r="J27" s="286"/>
      <c r="K27" s="286"/>
      <c r="L27" s="286"/>
      <c r="M27" s="286"/>
      <c r="N27" s="286"/>
    </row>
    <row r="28" spans="1:14" s="212" customFormat="1">
      <c r="A28" s="322"/>
      <c r="B28" s="2" t="s">
        <v>639</v>
      </c>
      <c r="C28" s="2"/>
      <c r="D28" s="2"/>
      <c r="E28" s="2"/>
      <c r="F28" s="2"/>
      <c r="G28" s="2"/>
      <c r="H28" s="2"/>
      <c r="I28" s="286"/>
      <c r="J28" s="286"/>
      <c r="K28" s="286"/>
      <c r="L28" s="286"/>
      <c r="M28" s="286"/>
      <c r="N28" s="286"/>
    </row>
    <row r="29" spans="1:14" s="212" customFormat="1">
      <c r="A29" s="322"/>
      <c r="B29" s="2" t="s">
        <v>640</v>
      </c>
      <c r="C29" s="2"/>
      <c r="D29" s="2"/>
      <c r="E29" s="2"/>
      <c r="F29" s="2"/>
      <c r="G29" s="2"/>
      <c r="H29" s="2"/>
      <c r="I29" s="286"/>
      <c r="J29" s="286"/>
      <c r="K29" s="286"/>
      <c r="L29" s="286"/>
      <c r="M29" s="286"/>
      <c r="N29" s="286"/>
    </row>
    <row r="30" spans="1:14" s="212" customFormat="1">
      <c r="A30" s="322"/>
      <c r="B30" s="2"/>
      <c r="C30" s="2"/>
      <c r="D30" s="2"/>
      <c r="E30" s="2"/>
      <c r="F30" s="2"/>
      <c r="G30" s="2"/>
      <c r="H30" s="2"/>
      <c r="I30" s="286"/>
      <c r="J30" s="286"/>
      <c r="K30" s="286"/>
      <c r="L30" s="286"/>
      <c r="M30" s="286"/>
      <c r="N30" s="286"/>
    </row>
    <row r="31" spans="1:14" s="212" customFormat="1" ht="57.75" customHeight="1">
      <c r="A31" s="326"/>
      <c r="B31" s="735" t="s">
        <v>641</v>
      </c>
      <c r="C31" s="735"/>
      <c r="D31" s="735"/>
      <c r="E31" s="735"/>
      <c r="F31" s="735"/>
      <c r="G31" s="735"/>
      <c r="H31" s="735"/>
      <c r="I31" s="735"/>
      <c r="J31" s="735"/>
      <c r="K31" s="326"/>
      <c r="L31" s="326"/>
      <c r="M31" s="326"/>
      <c r="N31" s="326"/>
    </row>
    <row r="32" spans="1:14">
      <c r="A32" s="164"/>
      <c r="E32" s="211"/>
      <c r="F32" s="211"/>
      <c r="G32" s="211"/>
      <c r="I32" s="167"/>
      <c r="J32" s="167"/>
      <c r="K32" s="327"/>
      <c r="L32" s="327"/>
      <c r="M32" s="212"/>
      <c r="N32" s="212"/>
    </row>
    <row r="33" spans="1:12">
      <c r="A33" s="328"/>
      <c r="B33" s="14"/>
      <c r="C33" s="14"/>
      <c r="D33" s="14"/>
      <c r="E33" s="14"/>
      <c r="F33" s="14"/>
      <c r="G33" s="14"/>
      <c r="H33" s="14"/>
      <c r="I33" s="14"/>
      <c r="J33" s="14"/>
      <c r="L33" s="212"/>
    </row>
    <row r="34" spans="1:12">
      <c r="A34" s="328" t="s">
        <v>642</v>
      </c>
      <c r="K34" s="212"/>
      <c r="L34" s="212"/>
    </row>
    <row r="35" spans="1:12">
      <c r="K35" s="212"/>
      <c r="L35" s="212"/>
    </row>
    <row r="36" spans="1:12">
      <c r="B36" s="14" t="s">
        <v>336</v>
      </c>
      <c r="C36" s="14" t="s">
        <v>337</v>
      </c>
      <c r="D36" s="14" t="s">
        <v>338</v>
      </c>
      <c r="E36" s="14" t="s">
        <v>339</v>
      </c>
      <c r="K36" s="212"/>
      <c r="L36" s="212"/>
    </row>
    <row r="37" spans="1:12" ht="25.5">
      <c r="A37" s="329">
        <v>4</v>
      </c>
      <c r="B37" s="330" t="s">
        <v>643</v>
      </c>
      <c r="C37" s="209" t="s">
        <v>644</v>
      </c>
      <c r="D37" s="209" t="s">
        <v>615</v>
      </c>
      <c r="E37" s="331" t="s">
        <v>645</v>
      </c>
      <c r="K37" s="212"/>
      <c r="L37" s="212"/>
    </row>
    <row r="38" spans="1:12">
      <c r="A38" s="329">
        <v>5</v>
      </c>
      <c r="C38" s="330" t="s">
        <v>646</v>
      </c>
      <c r="D38" s="243">
        <v>0</v>
      </c>
      <c r="E38" s="243">
        <v>0</v>
      </c>
      <c r="F38" s="21"/>
      <c r="G38" s="21"/>
      <c r="H38" s="21"/>
      <c r="K38" s="212"/>
      <c r="L38" s="212"/>
    </row>
    <row r="39" spans="1:12">
      <c r="A39" s="329">
        <v>6</v>
      </c>
      <c r="C39" s="330" t="s">
        <v>647</v>
      </c>
      <c r="D39" s="243">
        <v>0</v>
      </c>
      <c r="E39" s="243">
        <v>0</v>
      </c>
      <c r="F39" s="21"/>
      <c r="G39" s="21"/>
      <c r="H39" s="21"/>
      <c r="K39" s="212"/>
      <c r="L39" s="212"/>
    </row>
    <row r="40" spans="1:12">
      <c r="A40" s="329">
        <v>7</v>
      </c>
      <c r="C40" s="330" t="s">
        <v>648</v>
      </c>
      <c r="D40" s="243">
        <v>0</v>
      </c>
      <c r="E40" s="243">
        <v>0</v>
      </c>
      <c r="F40" s="21"/>
      <c r="G40" s="21"/>
      <c r="H40" s="21"/>
      <c r="K40" s="212"/>
      <c r="L40" s="212"/>
    </row>
    <row r="41" spans="1:12">
      <c r="A41" s="329">
        <v>8</v>
      </c>
      <c r="C41" s="330" t="s">
        <v>649</v>
      </c>
      <c r="D41" s="243">
        <v>0</v>
      </c>
      <c r="E41" s="243">
        <v>0</v>
      </c>
      <c r="F41" s="21"/>
      <c r="G41" s="21"/>
      <c r="H41" s="21"/>
      <c r="K41" s="212"/>
      <c r="L41" s="212"/>
    </row>
    <row r="42" spans="1:12">
      <c r="A42" s="329">
        <v>9</v>
      </c>
      <c r="C42" s="330" t="s">
        <v>650</v>
      </c>
      <c r="D42" s="243">
        <v>0</v>
      </c>
      <c r="E42" s="243">
        <v>0</v>
      </c>
      <c r="F42" s="21"/>
      <c r="G42" s="21"/>
      <c r="H42" s="21"/>
      <c r="K42" s="212"/>
      <c r="L42" s="212"/>
    </row>
    <row r="43" spans="1:12">
      <c r="A43" s="329">
        <v>10</v>
      </c>
      <c r="C43" s="330" t="s">
        <v>647</v>
      </c>
      <c r="D43" s="243">
        <v>0</v>
      </c>
      <c r="E43" s="243">
        <v>0</v>
      </c>
      <c r="F43" s="21"/>
      <c r="G43" s="21"/>
      <c r="H43" s="21"/>
      <c r="K43" s="212"/>
      <c r="L43" s="212"/>
    </row>
    <row r="44" spans="1:12">
      <c r="A44" s="329">
        <v>11</v>
      </c>
      <c r="C44" s="330" t="s">
        <v>648</v>
      </c>
      <c r="D44" s="243">
        <f>+D43</f>
        <v>0</v>
      </c>
      <c r="E44" s="243">
        <v>0</v>
      </c>
      <c r="F44" s="21"/>
      <c r="G44" s="21"/>
      <c r="H44" s="21"/>
      <c r="K44" s="212"/>
      <c r="L44" s="212"/>
    </row>
    <row r="45" spans="1:12">
      <c r="A45" s="329">
        <v>12</v>
      </c>
      <c r="C45" s="162" t="s">
        <v>651</v>
      </c>
      <c r="D45" s="21"/>
      <c r="E45" s="332">
        <f>SUM(E38:E44)</f>
        <v>0</v>
      </c>
      <c r="F45" s="21"/>
      <c r="G45" s="21"/>
      <c r="H45" s="21"/>
      <c r="K45" s="212"/>
      <c r="L45" s="212"/>
    </row>
    <row r="46" spans="1:12">
      <c r="A46" s="329"/>
      <c r="C46" s="330"/>
      <c r="D46" s="21"/>
      <c r="E46" s="21"/>
      <c r="F46" s="21"/>
      <c r="G46" s="21"/>
      <c r="H46" s="21"/>
      <c r="K46" s="212"/>
      <c r="L46" s="212"/>
    </row>
    <row r="47" spans="1:12">
      <c r="A47" s="329">
        <v>13</v>
      </c>
      <c r="B47" s="263" t="s">
        <v>652</v>
      </c>
      <c r="C47" s="162" t="s">
        <v>653</v>
      </c>
      <c r="D47" s="21"/>
      <c r="E47" s="21">
        <f>E45/7</f>
        <v>0</v>
      </c>
      <c r="F47" s="21"/>
      <c r="G47" s="21"/>
      <c r="H47" s="21"/>
      <c r="K47" s="212"/>
      <c r="L47" s="212"/>
    </row>
    <row r="48" spans="1:12">
      <c r="A48" s="111"/>
      <c r="D48" s="21"/>
      <c r="E48" s="21"/>
      <c r="F48" s="21"/>
      <c r="G48" s="21"/>
      <c r="H48" s="21"/>
      <c r="K48" s="212"/>
      <c r="L48" s="212"/>
    </row>
    <row r="49" spans="1:12">
      <c r="A49" s="333"/>
      <c r="C49" s="2"/>
      <c r="D49" s="334"/>
      <c r="E49" s="334"/>
      <c r="F49" s="334"/>
      <c r="G49" s="334"/>
      <c r="H49" s="334"/>
      <c r="I49" s="334"/>
      <c r="K49" s="212"/>
      <c r="L49" s="212"/>
    </row>
  </sheetData>
  <mergeCells count="1">
    <mergeCell ref="B31:J31"/>
  </mergeCells>
  <pageMargins left="0.25" right="0.25" top="0.75" bottom="0.75" header="0.3" footer="0.3"/>
  <pageSetup scale="58"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D2141-010B-4F91-A985-781887E8B66B}">
  <sheetPr>
    <pageSetUpPr fitToPage="1"/>
  </sheetPr>
  <dimension ref="A1:Q74"/>
  <sheetViews>
    <sheetView workbookViewId="0"/>
  </sheetViews>
  <sheetFormatPr defaultColWidth="8.88671875" defaultRowHeight="15"/>
  <cols>
    <col min="1" max="1" width="5.88671875" style="335" customWidth="1"/>
    <col min="2" max="2" width="29" style="2" bestFit="1" customWidth="1"/>
    <col min="3" max="3" width="13.109375" style="2" customWidth="1"/>
    <col min="4" max="4" width="14.6640625" style="2" customWidth="1"/>
    <col min="5" max="5" width="16.6640625" style="2" customWidth="1"/>
    <col min="6" max="6" width="16.77734375" style="2" customWidth="1"/>
    <col min="7" max="7" width="17.44140625" style="2" customWidth="1"/>
    <col min="8" max="8" width="17.6640625" style="2" customWidth="1"/>
    <col min="9" max="9" width="13.6640625" style="2" customWidth="1"/>
    <col min="10" max="10" width="11.77734375" style="2" customWidth="1"/>
    <col min="11" max="11" width="14.33203125" style="2" customWidth="1"/>
    <col min="12" max="12" width="12.33203125" style="2" customWidth="1"/>
    <col min="13" max="13" width="15.5546875" style="2" customWidth="1"/>
    <col min="14" max="14" width="13.77734375" style="2" customWidth="1"/>
    <col min="15" max="15" width="10.33203125" style="2" customWidth="1"/>
    <col min="16" max="16" width="10.88671875" style="2" customWidth="1"/>
    <col min="17" max="17" width="8.88671875" style="337"/>
    <col min="18" max="16384" width="8.88671875" style="2"/>
  </cols>
  <sheetData>
    <row r="1" spans="1:17">
      <c r="C1" s="336"/>
      <c r="E1" s="336"/>
      <c r="F1" s="336"/>
      <c r="G1" s="164" t="s">
        <v>654</v>
      </c>
      <c r="H1" s="336"/>
      <c r="I1" s="336"/>
      <c r="J1" s="336"/>
    </row>
    <row r="2" spans="1:17">
      <c r="A2" s="173"/>
      <c r="C2" s="336"/>
      <c r="D2" s="336"/>
      <c r="E2" s="336"/>
      <c r="F2" s="336"/>
      <c r="G2" s="338" t="s">
        <v>655</v>
      </c>
      <c r="H2" s="336"/>
      <c r="I2" s="336"/>
      <c r="J2" s="336"/>
      <c r="L2" s="339"/>
      <c r="O2" s="165" t="s">
        <v>656</v>
      </c>
    </row>
    <row r="3" spans="1:17">
      <c r="A3" s="173"/>
      <c r="C3" s="336"/>
      <c r="D3" s="336"/>
      <c r="E3" s="336"/>
      <c r="F3" s="336"/>
      <c r="G3" s="17" t="str">
        <f>+'Attachment O'!D5</f>
        <v>GridLiance Heartland LLC</v>
      </c>
      <c r="H3" s="336"/>
      <c r="I3" s="336"/>
      <c r="J3" s="336"/>
    </row>
    <row r="4" spans="1:17">
      <c r="A4" s="173"/>
      <c r="C4" s="336"/>
      <c r="D4" s="336"/>
      <c r="E4" s="336"/>
      <c r="F4" s="336"/>
      <c r="G4" s="336"/>
      <c r="H4" s="336"/>
      <c r="I4" s="336"/>
      <c r="J4" s="336"/>
    </row>
    <row r="5" spans="1:17" ht="15" customHeight="1">
      <c r="A5" s="173"/>
      <c r="B5" s="340"/>
      <c r="C5" s="761" t="s">
        <v>657</v>
      </c>
      <c r="D5" s="762"/>
      <c r="E5" s="762"/>
      <c r="F5" s="762"/>
      <c r="G5" s="763"/>
      <c r="H5" s="341" t="s">
        <v>658</v>
      </c>
      <c r="I5" s="341" t="s">
        <v>659</v>
      </c>
      <c r="J5" s="761" t="s">
        <v>660</v>
      </c>
      <c r="K5" s="762"/>
      <c r="L5" s="764" t="s">
        <v>661</v>
      </c>
      <c r="M5" s="765"/>
      <c r="N5" s="765"/>
      <c r="O5" s="765"/>
      <c r="P5" s="766"/>
    </row>
    <row r="6" spans="1:17">
      <c r="A6" s="173"/>
      <c r="B6" s="340"/>
    </row>
    <row r="7" spans="1:17" s="346" customFormat="1" ht="42" customHeight="1">
      <c r="A7" s="342" t="s">
        <v>662</v>
      </c>
      <c r="B7" s="343" t="s">
        <v>663</v>
      </c>
      <c r="C7" s="343" t="s">
        <v>664</v>
      </c>
      <c r="D7" s="343" t="s">
        <v>75</v>
      </c>
      <c r="E7" s="343" t="s">
        <v>665</v>
      </c>
      <c r="F7" s="343" t="s">
        <v>666</v>
      </c>
      <c r="G7" s="344" t="s">
        <v>667</v>
      </c>
      <c r="H7" s="343" t="s">
        <v>668</v>
      </c>
      <c r="I7" s="343" t="s">
        <v>669</v>
      </c>
      <c r="J7" s="343" t="s">
        <v>137</v>
      </c>
      <c r="K7" s="343" t="s">
        <v>670</v>
      </c>
      <c r="L7" s="343" t="s">
        <v>664</v>
      </c>
      <c r="M7" s="343" t="s">
        <v>75</v>
      </c>
      <c r="N7" s="343" t="s">
        <v>665</v>
      </c>
      <c r="O7" s="343" t="s">
        <v>666</v>
      </c>
      <c r="P7" s="343" t="s">
        <v>667</v>
      </c>
      <c r="Q7" s="345"/>
    </row>
    <row r="8" spans="1:17" s="72" customFormat="1">
      <c r="A8" s="173"/>
      <c r="B8" s="347" t="s">
        <v>336</v>
      </c>
      <c r="C8" s="347" t="s">
        <v>337</v>
      </c>
      <c r="D8" s="347" t="s">
        <v>338</v>
      </c>
      <c r="E8" s="343" t="s">
        <v>339</v>
      </c>
      <c r="F8" s="343" t="s">
        <v>671</v>
      </c>
      <c r="G8" s="343" t="s">
        <v>672</v>
      </c>
      <c r="H8" s="343" t="s">
        <v>673</v>
      </c>
      <c r="I8" s="348" t="s">
        <v>674</v>
      </c>
      <c r="J8" s="348" t="s">
        <v>675</v>
      </c>
      <c r="K8" s="348" t="s">
        <v>676</v>
      </c>
      <c r="L8" s="348" t="s">
        <v>677</v>
      </c>
      <c r="M8" s="348" t="s">
        <v>678</v>
      </c>
      <c r="N8" s="348" t="s">
        <v>679</v>
      </c>
      <c r="O8" s="348" t="s">
        <v>680</v>
      </c>
      <c r="P8" s="348" t="s">
        <v>681</v>
      </c>
      <c r="Q8" s="349"/>
    </row>
    <row r="9" spans="1:17" s="72" customFormat="1" ht="29.25" customHeight="1">
      <c r="A9" s="173"/>
      <c r="B9" s="350" t="s">
        <v>682</v>
      </c>
      <c r="C9" s="347" t="s">
        <v>683</v>
      </c>
      <c r="D9" s="347" t="s">
        <v>684</v>
      </c>
      <c r="E9" s="347" t="s">
        <v>685</v>
      </c>
      <c r="F9" s="343" t="s">
        <v>686</v>
      </c>
      <c r="G9" s="347">
        <v>356.1</v>
      </c>
      <c r="H9" s="347" t="s">
        <v>687</v>
      </c>
      <c r="I9" s="347" t="s">
        <v>688</v>
      </c>
      <c r="J9" s="343" t="s">
        <v>689</v>
      </c>
      <c r="K9" s="347" t="s">
        <v>690</v>
      </c>
      <c r="L9" s="347" t="s">
        <v>691</v>
      </c>
      <c r="M9" s="347" t="s">
        <v>692</v>
      </c>
      <c r="N9" s="347" t="s">
        <v>693</v>
      </c>
      <c r="O9" s="343" t="s">
        <v>694</v>
      </c>
      <c r="P9" s="347">
        <v>356.1</v>
      </c>
      <c r="Q9" s="349"/>
    </row>
    <row r="10" spans="1:17">
      <c r="A10" s="173">
        <v>1</v>
      </c>
      <c r="B10" s="351" t="s">
        <v>695</v>
      </c>
      <c r="C10" s="352">
        <v>0</v>
      </c>
      <c r="D10" s="353">
        <v>24588103.606495105</v>
      </c>
      <c r="E10" s="352">
        <v>0</v>
      </c>
      <c r="F10" s="352">
        <v>0</v>
      </c>
      <c r="G10" s="352">
        <v>0</v>
      </c>
      <c r="H10" s="352">
        <v>0</v>
      </c>
      <c r="I10" s="352">
        <v>0</v>
      </c>
      <c r="J10" s="353">
        <v>0</v>
      </c>
      <c r="K10" s="353">
        <v>1999999.9999999998</v>
      </c>
      <c r="L10" s="352">
        <v>0</v>
      </c>
      <c r="M10" s="353">
        <v>12065313.806426983</v>
      </c>
      <c r="N10" s="352">
        <v>0</v>
      </c>
      <c r="O10" s="352">
        <v>0</v>
      </c>
      <c r="P10" s="352">
        <v>0</v>
      </c>
    </row>
    <row r="11" spans="1:17">
      <c r="A11" s="173">
        <v>2</v>
      </c>
      <c r="B11" s="351" t="s">
        <v>696</v>
      </c>
      <c r="C11" s="352">
        <v>0</v>
      </c>
      <c r="D11" s="353">
        <v>24588103.606495105</v>
      </c>
      <c r="E11" s="352">
        <v>0</v>
      </c>
      <c r="F11" s="352">
        <v>0</v>
      </c>
      <c r="G11" s="352">
        <v>0</v>
      </c>
      <c r="H11" s="352">
        <v>0</v>
      </c>
      <c r="I11" s="352">
        <v>0</v>
      </c>
      <c r="J11" s="353">
        <v>0</v>
      </c>
      <c r="K11" s="353">
        <v>1916666.6666666665</v>
      </c>
      <c r="L11" s="352">
        <v>0</v>
      </c>
      <c r="M11" s="353">
        <v>12106002.90737858</v>
      </c>
      <c r="N11" s="352">
        <v>0</v>
      </c>
      <c r="O11" s="352">
        <v>0</v>
      </c>
      <c r="P11" s="352">
        <v>0</v>
      </c>
    </row>
    <row r="12" spans="1:17">
      <c r="A12" s="173">
        <v>3</v>
      </c>
      <c r="B12" s="336" t="s">
        <v>697</v>
      </c>
      <c r="C12" s="352">
        <v>0</v>
      </c>
      <c r="D12" s="353">
        <v>24588103.606495105</v>
      </c>
      <c r="E12" s="352">
        <v>0</v>
      </c>
      <c r="F12" s="352">
        <v>0</v>
      </c>
      <c r="G12" s="352">
        <v>0</v>
      </c>
      <c r="H12" s="352">
        <v>0</v>
      </c>
      <c r="I12" s="352">
        <v>0</v>
      </c>
      <c r="J12" s="353">
        <v>0</v>
      </c>
      <c r="K12" s="353">
        <v>1833333.3333333335</v>
      </c>
      <c r="L12" s="352">
        <v>0</v>
      </c>
      <c r="M12" s="353">
        <v>12146692.008330185</v>
      </c>
      <c r="N12" s="352">
        <v>0</v>
      </c>
      <c r="O12" s="352">
        <v>0</v>
      </c>
      <c r="P12" s="352">
        <v>0</v>
      </c>
    </row>
    <row r="13" spans="1:17">
      <c r="A13" s="173">
        <v>4</v>
      </c>
      <c r="B13" s="336" t="s">
        <v>698</v>
      </c>
      <c r="C13" s="352">
        <v>0</v>
      </c>
      <c r="D13" s="353">
        <v>24588103.606495105</v>
      </c>
      <c r="E13" s="352">
        <v>0</v>
      </c>
      <c r="F13" s="352">
        <v>0</v>
      </c>
      <c r="G13" s="352">
        <v>0</v>
      </c>
      <c r="H13" s="352">
        <v>0</v>
      </c>
      <c r="I13" s="352">
        <v>0</v>
      </c>
      <c r="J13" s="353">
        <v>0</v>
      </c>
      <c r="K13" s="353">
        <v>1750000</v>
      </c>
      <c r="L13" s="352">
        <v>0</v>
      </c>
      <c r="M13" s="353">
        <v>12187381.10928179</v>
      </c>
      <c r="N13" s="352">
        <v>0</v>
      </c>
      <c r="O13" s="352">
        <v>0</v>
      </c>
      <c r="P13" s="352">
        <v>0</v>
      </c>
    </row>
    <row r="14" spans="1:17">
      <c r="A14" s="173">
        <v>5</v>
      </c>
      <c r="B14" s="336" t="s">
        <v>699</v>
      </c>
      <c r="C14" s="352">
        <v>0</v>
      </c>
      <c r="D14" s="353">
        <v>24588103.606495105</v>
      </c>
      <c r="E14" s="352">
        <v>0</v>
      </c>
      <c r="F14" s="352">
        <v>0</v>
      </c>
      <c r="G14" s="352">
        <v>0</v>
      </c>
      <c r="H14" s="352">
        <v>0</v>
      </c>
      <c r="I14" s="352">
        <v>0</v>
      </c>
      <c r="J14" s="353">
        <v>0</v>
      </c>
      <c r="K14" s="353">
        <v>1666666.6666666665</v>
      </c>
      <c r="L14" s="352">
        <v>0</v>
      </c>
      <c r="M14" s="353">
        <v>12228070.21023339</v>
      </c>
      <c r="N14" s="352">
        <v>0</v>
      </c>
      <c r="O14" s="352">
        <v>0</v>
      </c>
      <c r="P14" s="352">
        <v>0</v>
      </c>
    </row>
    <row r="15" spans="1:17">
      <c r="A15" s="173">
        <v>6</v>
      </c>
      <c r="B15" s="336" t="s">
        <v>700</v>
      </c>
      <c r="C15" s="352">
        <v>0</v>
      </c>
      <c r="D15" s="353">
        <v>24588103.606495105</v>
      </c>
      <c r="E15" s="352">
        <v>0</v>
      </c>
      <c r="F15" s="352">
        <v>0</v>
      </c>
      <c r="G15" s="352">
        <v>0</v>
      </c>
      <c r="H15" s="352">
        <v>0</v>
      </c>
      <c r="I15" s="352">
        <v>0</v>
      </c>
      <c r="J15" s="353">
        <v>0</v>
      </c>
      <c r="K15" s="353">
        <v>1583333.3333333333</v>
      </c>
      <c r="L15" s="352">
        <v>0</v>
      </c>
      <c r="M15" s="353">
        <v>12268759.311184991</v>
      </c>
      <c r="N15" s="352">
        <v>0</v>
      </c>
      <c r="O15" s="352">
        <v>0</v>
      </c>
      <c r="P15" s="352">
        <v>0</v>
      </c>
    </row>
    <row r="16" spans="1:17">
      <c r="A16" s="173">
        <v>7</v>
      </c>
      <c r="B16" s="336" t="s">
        <v>701</v>
      </c>
      <c r="C16" s="352">
        <v>0</v>
      </c>
      <c r="D16" s="353">
        <v>24588103.606495105</v>
      </c>
      <c r="E16" s="352">
        <v>0</v>
      </c>
      <c r="F16" s="352">
        <v>0</v>
      </c>
      <c r="G16" s="352">
        <v>0</v>
      </c>
      <c r="H16" s="352">
        <v>0</v>
      </c>
      <c r="I16" s="352">
        <v>0</v>
      </c>
      <c r="J16" s="353">
        <v>0</v>
      </c>
      <c r="K16" s="353">
        <v>1500000</v>
      </c>
      <c r="L16" s="352">
        <v>0</v>
      </c>
      <c r="M16" s="353">
        <v>12309448.412136594</v>
      </c>
      <c r="N16" s="352">
        <v>0</v>
      </c>
      <c r="O16" s="352">
        <v>0</v>
      </c>
      <c r="P16" s="352">
        <v>0</v>
      </c>
    </row>
    <row r="17" spans="1:17">
      <c r="A17" s="173">
        <v>8</v>
      </c>
      <c r="B17" s="336" t="s">
        <v>702</v>
      </c>
      <c r="C17" s="352">
        <v>0</v>
      </c>
      <c r="D17" s="353">
        <v>24588103.606495105</v>
      </c>
      <c r="E17" s="352">
        <v>0</v>
      </c>
      <c r="F17" s="352">
        <v>0</v>
      </c>
      <c r="G17" s="352">
        <v>0</v>
      </c>
      <c r="H17" s="352">
        <v>0</v>
      </c>
      <c r="I17" s="352">
        <v>0</v>
      </c>
      <c r="J17" s="353">
        <v>0</v>
      </c>
      <c r="K17" s="353">
        <v>1416666.6666666665</v>
      </c>
      <c r="L17" s="352">
        <v>0</v>
      </c>
      <c r="M17" s="353">
        <v>12350137.513088197</v>
      </c>
      <c r="N17" s="352">
        <v>0</v>
      </c>
      <c r="O17" s="352">
        <v>0</v>
      </c>
      <c r="P17" s="352">
        <v>0</v>
      </c>
    </row>
    <row r="18" spans="1:17">
      <c r="A18" s="173">
        <v>9</v>
      </c>
      <c r="B18" s="336" t="s">
        <v>703</v>
      </c>
      <c r="C18" s="352">
        <v>0</v>
      </c>
      <c r="D18" s="353">
        <v>24588103.606495105</v>
      </c>
      <c r="E18" s="352">
        <v>0</v>
      </c>
      <c r="F18" s="352">
        <v>0</v>
      </c>
      <c r="G18" s="352">
        <v>0</v>
      </c>
      <c r="H18" s="352">
        <v>0</v>
      </c>
      <c r="I18" s="352">
        <v>0</v>
      </c>
      <c r="J18" s="353">
        <v>0</v>
      </c>
      <c r="K18" s="353">
        <v>1333333.3333333335</v>
      </c>
      <c r="L18" s="352">
        <v>0</v>
      </c>
      <c r="M18" s="353">
        <v>12390826.614039797</v>
      </c>
      <c r="N18" s="352">
        <v>0</v>
      </c>
      <c r="O18" s="352">
        <v>0</v>
      </c>
      <c r="P18" s="352">
        <v>0</v>
      </c>
    </row>
    <row r="19" spans="1:17">
      <c r="A19" s="173">
        <v>10</v>
      </c>
      <c r="B19" s="336" t="s">
        <v>704</v>
      </c>
      <c r="C19" s="352"/>
      <c r="D19" s="353">
        <v>24588103.606495105</v>
      </c>
      <c r="E19" s="352">
        <v>0</v>
      </c>
      <c r="F19" s="352">
        <v>0</v>
      </c>
      <c r="G19" s="352">
        <v>0</v>
      </c>
      <c r="H19" s="352">
        <v>0</v>
      </c>
      <c r="I19" s="352">
        <v>0</v>
      </c>
      <c r="J19" s="353">
        <v>0</v>
      </c>
      <c r="K19" s="353">
        <v>1250000</v>
      </c>
      <c r="L19" s="352">
        <v>0</v>
      </c>
      <c r="M19" s="353">
        <v>12431515.714991402</v>
      </c>
      <c r="N19" s="352">
        <v>0</v>
      </c>
      <c r="O19" s="352">
        <v>0</v>
      </c>
      <c r="P19" s="352">
        <v>0</v>
      </c>
    </row>
    <row r="20" spans="1:17">
      <c r="A20" s="173">
        <v>11</v>
      </c>
      <c r="B20" s="336" t="s">
        <v>705</v>
      </c>
      <c r="C20" s="352">
        <v>0</v>
      </c>
      <c r="D20" s="353">
        <v>24588103.606495105</v>
      </c>
      <c r="E20" s="352">
        <v>0</v>
      </c>
      <c r="F20" s="352">
        <v>0</v>
      </c>
      <c r="G20" s="352">
        <v>0</v>
      </c>
      <c r="H20" s="352">
        <v>0</v>
      </c>
      <c r="I20" s="352">
        <v>0</v>
      </c>
      <c r="J20" s="353">
        <v>0</v>
      </c>
      <c r="K20" s="353">
        <v>1166666.6666666667</v>
      </c>
      <c r="L20" s="352">
        <v>0</v>
      </c>
      <c r="M20" s="353">
        <v>12472204.815943001</v>
      </c>
      <c r="N20" s="352">
        <v>0</v>
      </c>
      <c r="O20" s="352">
        <v>0</v>
      </c>
      <c r="P20" s="352">
        <v>0</v>
      </c>
    </row>
    <row r="21" spans="1:17">
      <c r="A21" s="173">
        <v>12</v>
      </c>
      <c r="B21" s="336" t="s">
        <v>706</v>
      </c>
      <c r="C21" s="352">
        <v>0</v>
      </c>
      <c r="D21" s="353">
        <v>24588103.606495105</v>
      </c>
      <c r="E21" s="352">
        <v>0</v>
      </c>
      <c r="F21" s="352">
        <v>0</v>
      </c>
      <c r="G21" s="352">
        <v>0</v>
      </c>
      <c r="H21" s="352">
        <v>0</v>
      </c>
      <c r="I21" s="352">
        <v>0</v>
      </c>
      <c r="J21" s="353">
        <v>0</v>
      </c>
      <c r="K21" s="353">
        <v>1083333.3333333333</v>
      </c>
      <c r="L21" s="352">
        <v>0</v>
      </c>
      <c r="M21" s="353">
        <v>12512893.916894609</v>
      </c>
      <c r="N21" s="352">
        <v>0</v>
      </c>
      <c r="O21" s="352">
        <v>0</v>
      </c>
      <c r="P21" s="352">
        <v>0</v>
      </c>
    </row>
    <row r="22" spans="1:17">
      <c r="A22" s="173">
        <v>13</v>
      </c>
      <c r="B22" s="336" t="s">
        <v>707</v>
      </c>
      <c r="C22" s="352">
        <v>0</v>
      </c>
      <c r="D22" s="353">
        <v>24588103.606495105</v>
      </c>
      <c r="E22" s="352">
        <v>0</v>
      </c>
      <c r="F22" s="352">
        <v>0</v>
      </c>
      <c r="G22" s="352">
        <v>0</v>
      </c>
      <c r="H22" s="352">
        <v>0</v>
      </c>
      <c r="I22" s="352">
        <v>0</v>
      </c>
      <c r="J22" s="353">
        <v>0</v>
      </c>
      <c r="K22" s="353">
        <v>999999.99999999988</v>
      </c>
      <c r="L22" s="352">
        <v>0</v>
      </c>
      <c r="M22" s="353">
        <v>12553583.01784621</v>
      </c>
      <c r="N22" s="352">
        <v>0</v>
      </c>
      <c r="O22" s="352">
        <v>0</v>
      </c>
      <c r="P22" s="352">
        <v>0</v>
      </c>
    </row>
    <row r="23" spans="1:17" ht="15.75" thickBot="1">
      <c r="A23" s="173">
        <v>14</v>
      </c>
      <c r="B23" s="354" t="s">
        <v>708</v>
      </c>
      <c r="C23" s="355">
        <f>SUM(C10:C22)/13</f>
        <v>0</v>
      </c>
      <c r="D23" s="355">
        <f t="shared" ref="D23" si="0">SUM(D10:D22)/13</f>
        <v>24588103.606495105</v>
      </c>
      <c r="E23" s="355">
        <f t="shared" ref="E23:P23" si="1">SUM(E10:E22)/13</f>
        <v>0</v>
      </c>
      <c r="F23" s="355">
        <f t="shared" si="1"/>
        <v>0</v>
      </c>
      <c r="G23" s="355">
        <f t="shared" si="1"/>
        <v>0</v>
      </c>
      <c r="H23" s="355">
        <f t="shared" si="1"/>
        <v>0</v>
      </c>
      <c r="I23" s="355">
        <f t="shared" si="1"/>
        <v>0</v>
      </c>
      <c r="J23" s="355">
        <f t="shared" si="1"/>
        <v>0</v>
      </c>
      <c r="K23" s="355">
        <f t="shared" si="1"/>
        <v>1500000</v>
      </c>
      <c r="L23" s="355">
        <f t="shared" si="1"/>
        <v>0</v>
      </c>
      <c r="M23" s="355">
        <f t="shared" si="1"/>
        <v>12309448.412136594</v>
      </c>
      <c r="N23" s="355">
        <f t="shared" si="1"/>
        <v>0</v>
      </c>
      <c r="O23" s="355">
        <f t="shared" si="1"/>
        <v>0</v>
      </c>
      <c r="P23" s="355">
        <f t="shared" si="1"/>
        <v>0</v>
      </c>
    </row>
    <row r="24" spans="1:17" ht="15.75" thickTop="1">
      <c r="A24" s="173"/>
      <c r="B24" s="336"/>
      <c r="C24" s="356"/>
      <c r="D24" s="357"/>
      <c r="E24" s="357"/>
      <c r="F24" s="357"/>
      <c r="G24" s="356"/>
      <c r="H24" s="356"/>
      <c r="I24" s="356"/>
    </row>
    <row r="25" spans="1:17">
      <c r="A25" s="173"/>
      <c r="B25" s="358"/>
      <c r="C25" s="764" t="s">
        <v>709</v>
      </c>
      <c r="D25" s="765"/>
      <c r="E25" s="765"/>
      <c r="F25" s="765"/>
      <c r="G25" s="765"/>
      <c r="H25" s="765"/>
      <c r="I25" s="766"/>
    </row>
    <row r="26" spans="1:17" ht="87" customHeight="1">
      <c r="A26" s="173" t="s">
        <v>662</v>
      </c>
      <c r="B26" s="347" t="s">
        <v>663</v>
      </c>
      <c r="C26" s="348" t="s">
        <v>710</v>
      </c>
      <c r="D26" s="348" t="s">
        <v>711</v>
      </c>
      <c r="E26" s="359" t="s">
        <v>414</v>
      </c>
      <c r="F26" s="359" t="s">
        <v>414</v>
      </c>
      <c r="G26" s="359" t="s">
        <v>414</v>
      </c>
      <c r="H26" s="359" t="s">
        <v>414</v>
      </c>
      <c r="I26" s="348" t="s">
        <v>712</v>
      </c>
    </row>
    <row r="27" spans="1:17" s="72" customFormat="1">
      <c r="A27" s="173"/>
      <c r="B27" s="347" t="s">
        <v>336</v>
      </c>
      <c r="C27" s="348" t="s">
        <v>337</v>
      </c>
      <c r="D27" s="348" t="s">
        <v>338</v>
      </c>
      <c r="E27" s="359" t="s">
        <v>339</v>
      </c>
      <c r="F27" s="359" t="s">
        <v>671</v>
      </c>
      <c r="G27" s="359" t="s">
        <v>672</v>
      </c>
      <c r="H27" s="359" t="s">
        <v>673</v>
      </c>
      <c r="I27" s="348" t="s">
        <v>674</v>
      </c>
      <c r="Q27" s="349"/>
    </row>
    <row r="28" spans="1:17" s="72" customFormat="1" ht="63.75" customHeight="1">
      <c r="A28" s="173"/>
      <c r="B28" s="350" t="s">
        <v>682</v>
      </c>
      <c r="C28" s="343" t="s">
        <v>713</v>
      </c>
      <c r="D28" s="348" t="s">
        <v>714</v>
      </c>
      <c r="E28" s="348"/>
      <c r="F28" s="348"/>
      <c r="G28" s="348"/>
      <c r="H28" s="348"/>
      <c r="I28" s="348" t="s">
        <v>715</v>
      </c>
      <c r="Q28" s="349"/>
    </row>
    <row r="29" spans="1:17">
      <c r="A29" s="173">
        <v>15</v>
      </c>
      <c r="B29" s="351" t="s">
        <v>695</v>
      </c>
      <c r="C29" s="352">
        <v>0</v>
      </c>
      <c r="D29" s="352">
        <v>0</v>
      </c>
      <c r="E29" s="360">
        <v>0</v>
      </c>
      <c r="F29" s="360">
        <v>0</v>
      </c>
      <c r="G29" s="360">
        <v>0</v>
      </c>
      <c r="H29" s="360">
        <v>0</v>
      </c>
      <c r="I29" s="352">
        <v>0</v>
      </c>
    </row>
    <row r="30" spans="1:17">
      <c r="A30" s="173">
        <v>16</v>
      </c>
      <c r="B30" s="351" t="s">
        <v>696</v>
      </c>
      <c r="C30" s="352">
        <v>0</v>
      </c>
      <c r="D30" s="352">
        <f t="shared" ref="D30:D41" si="2">+D29</f>
        <v>0</v>
      </c>
      <c r="E30" s="360">
        <v>0</v>
      </c>
      <c r="F30" s="360">
        <v>0</v>
      </c>
      <c r="G30" s="360">
        <v>0</v>
      </c>
      <c r="H30" s="360">
        <v>0</v>
      </c>
      <c r="I30" s="352">
        <v>0</v>
      </c>
    </row>
    <row r="31" spans="1:17">
      <c r="A31" s="173">
        <v>17</v>
      </c>
      <c r="B31" s="336" t="s">
        <v>697</v>
      </c>
      <c r="C31" s="352">
        <v>0</v>
      </c>
      <c r="D31" s="352">
        <f t="shared" si="2"/>
        <v>0</v>
      </c>
      <c r="E31" s="360">
        <v>0</v>
      </c>
      <c r="F31" s="360">
        <v>0</v>
      </c>
      <c r="G31" s="360">
        <v>0</v>
      </c>
      <c r="H31" s="360">
        <v>0</v>
      </c>
      <c r="I31" s="352">
        <v>0</v>
      </c>
    </row>
    <row r="32" spans="1:17">
      <c r="A32" s="173">
        <v>18</v>
      </c>
      <c r="B32" s="336" t="s">
        <v>698</v>
      </c>
      <c r="C32" s="352">
        <v>0</v>
      </c>
      <c r="D32" s="352">
        <f t="shared" si="2"/>
        <v>0</v>
      </c>
      <c r="E32" s="360">
        <v>0</v>
      </c>
      <c r="F32" s="360">
        <v>0</v>
      </c>
      <c r="G32" s="360">
        <v>0</v>
      </c>
      <c r="H32" s="360">
        <v>0</v>
      </c>
      <c r="I32" s="352">
        <v>0</v>
      </c>
    </row>
    <row r="33" spans="1:17">
      <c r="A33" s="173">
        <v>19</v>
      </c>
      <c r="B33" s="336" t="s">
        <v>699</v>
      </c>
      <c r="C33" s="352">
        <v>0</v>
      </c>
      <c r="D33" s="352">
        <f t="shared" si="2"/>
        <v>0</v>
      </c>
      <c r="E33" s="360">
        <v>0</v>
      </c>
      <c r="F33" s="360">
        <v>0</v>
      </c>
      <c r="G33" s="360">
        <v>0</v>
      </c>
      <c r="H33" s="360">
        <v>0</v>
      </c>
      <c r="I33" s="352">
        <v>0</v>
      </c>
    </row>
    <row r="34" spans="1:17">
      <c r="A34" s="173">
        <v>20</v>
      </c>
      <c r="B34" s="336" t="s">
        <v>700</v>
      </c>
      <c r="C34" s="352">
        <v>0</v>
      </c>
      <c r="D34" s="352">
        <f t="shared" si="2"/>
        <v>0</v>
      </c>
      <c r="E34" s="360">
        <v>0</v>
      </c>
      <c r="F34" s="360">
        <v>0</v>
      </c>
      <c r="G34" s="360">
        <v>0</v>
      </c>
      <c r="H34" s="360">
        <v>0</v>
      </c>
      <c r="I34" s="352">
        <v>0</v>
      </c>
    </row>
    <row r="35" spans="1:17">
      <c r="A35" s="173">
        <v>21</v>
      </c>
      <c r="B35" s="336" t="s">
        <v>701</v>
      </c>
      <c r="C35" s="352">
        <v>0</v>
      </c>
      <c r="D35" s="352">
        <f t="shared" si="2"/>
        <v>0</v>
      </c>
      <c r="E35" s="360">
        <v>0</v>
      </c>
      <c r="F35" s="360">
        <v>0</v>
      </c>
      <c r="G35" s="360">
        <v>0</v>
      </c>
      <c r="H35" s="360">
        <v>0</v>
      </c>
      <c r="I35" s="352">
        <v>0</v>
      </c>
    </row>
    <row r="36" spans="1:17">
      <c r="A36" s="173">
        <v>22</v>
      </c>
      <c r="B36" s="336" t="s">
        <v>702</v>
      </c>
      <c r="C36" s="352">
        <v>0</v>
      </c>
      <c r="D36" s="352">
        <f t="shared" si="2"/>
        <v>0</v>
      </c>
      <c r="E36" s="360">
        <v>0</v>
      </c>
      <c r="F36" s="360">
        <v>0</v>
      </c>
      <c r="G36" s="360">
        <v>0</v>
      </c>
      <c r="H36" s="360">
        <v>0</v>
      </c>
      <c r="I36" s="352">
        <v>0</v>
      </c>
    </row>
    <row r="37" spans="1:17">
      <c r="A37" s="173">
        <v>23</v>
      </c>
      <c r="B37" s="336" t="s">
        <v>703</v>
      </c>
      <c r="C37" s="352">
        <v>0</v>
      </c>
      <c r="D37" s="352">
        <f t="shared" si="2"/>
        <v>0</v>
      </c>
      <c r="E37" s="360">
        <v>0</v>
      </c>
      <c r="F37" s="360">
        <v>0</v>
      </c>
      <c r="G37" s="360">
        <v>0</v>
      </c>
      <c r="H37" s="360">
        <v>0</v>
      </c>
      <c r="I37" s="352">
        <v>0</v>
      </c>
    </row>
    <row r="38" spans="1:17">
      <c r="A38" s="173">
        <v>24</v>
      </c>
      <c r="B38" s="336" t="s">
        <v>704</v>
      </c>
      <c r="C38" s="352">
        <v>0</v>
      </c>
      <c r="D38" s="352">
        <f t="shared" si="2"/>
        <v>0</v>
      </c>
      <c r="E38" s="360">
        <v>0</v>
      </c>
      <c r="F38" s="360">
        <v>0</v>
      </c>
      <c r="G38" s="360">
        <v>0</v>
      </c>
      <c r="H38" s="360">
        <v>0</v>
      </c>
      <c r="I38" s="352">
        <v>0</v>
      </c>
    </row>
    <row r="39" spans="1:17">
      <c r="A39" s="173">
        <v>25</v>
      </c>
      <c r="B39" s="336" t="s">
        <v>705</v>
      </c>
      <c r="C39" s="352">
        <v>0</v>
      </c>
      <c r="D39" s="352">
        <f t="shared" si="2"/>
        <v>0</v>
      </c>
      <c r="E39" s="360">
        <v>0</v>
      </c>
      <c r="F39" s="360">
        <v>0</v>
      </c>
      <c r="G39" s="360">
        <v>0</v>
      </c>
      <c r="H39" s="360">
        <v>0</v>
      </c>
      <c r="I39" s="352">
        <v>0</v>
      </c>
    </row>
    <row r="40" spans="1:17">
      <c r="A40" s="173">
        <v>26</v>
      </c>
      <c r="B40" s="336" t="s">
        <v>706</v>
      </c>
      <c r="C40" s="352">
        <v>0</v>
      </c>
      <c r="D40" s="352">
        <f t="shared" si="2"/>
        <v>0</v>
      </c>
      <c r="E40" s="360">
        <v>0</v>
      </c>
      <c r="F40" s="360">
        <v>0</v>
      </c>
      <c r="G40" s="360">
        <v>0</v>
      </c>
      <c r="H40" s="360">
        <v>0</v>
      </c>
      <c r="I40" s="352">
        <v>0</v>
      </c>
    </row>
    <row r="41" spans="1:17">
      <c r="A41" s="173">
        <v>27</v>
      </c>
      <c r="B41" s="336" t="s">
        <v>707</v>
      </c>
      <c r="C41" s="352">
        <v>0</v>
      </c>
      <c r="D41" s="352">
        <f t="shared" si="2"/>
        <v>0</v>
      </c>
      <c r="E41" s="360">
        <v>0</v>
      </c>
      <c r="F41" s="360">
        <v>0</v>
      </c>
      <c r="G41" s="360">
        <v>0</v>
      </c>
      <c r="H41" s="360">
        <v>0</v>
      </c>
      <c r="I41" s="352">
        <v>0</v>
      </c>
    </row>
    <row r="42" spans="1:17" ht="15.75" thickBot="1">
      <c r="A42" s="173">
        <v>28</v>
      </c>
      <c r="B42" s="350" t="s">
        <v>716</v>
      </c>
      <c r="C42" s="84">
        <f t="shared" ref="C42:I42" si="3">SUM(C29:C41)/13</f>
        <v>0</v>
      </c>
      <c r="D42" s="84">
        <f t="shared" si="3"/>
        <v>0</v>
      </c>
      <c r="E42" s="361"/>
      <c r="F42" s="361"/>
      <c r="G42" s="361"/>
      <c r="H42" s="361"/>
      <c r="I42" s="355">
        <f t="shared" si="3"/>
        <v>0</v>
      </c>
    </row>
    <row r="43" spans="1:17" ht="15.75" thickTop="1">
      <c r="A43" s="173"/>
      <c r="B43" s="562"/>
      <c r="E43" s="362"/>
      <c r="F43" s="362"/>
      <c r="G43" s="362"/>
      <c r="H43" s="362"/>
      <c r="I43" s="357"/>
    </row>
    <row r="44" spans="1:17" s="72" customFormat="1">
      <c r="A44" s="173"/>
      <c r="B44" s="14"/>
      <c r="C44" s="363"/>
      <c r="D44" s="363"/>
      <c r="E44" s="363"/>
      <c r="F44" s="363"/>
      <c r="G44" s="363"/>
      <c r="H44" s="2"/>
      <c r="I44" s="2"/>
      <c r="J44" s="2"/>
      <c r="Q44" s="349"/>
    </row>
    <row r="45" spans="1:17" s="72" customFormat="1">
      <c r="A45" s="173"/>
      <c r="B45" s="14"/>
      <c r="C45" s="363"/>
      <c r="D45" s="363"/>
      <c r="E45" s="363"/>
      <c r="F45" s="363"/>
      <c r="G45" s="363"/>
      <c r="H45" s="2"/>
      <c r="I45" s="2"/>
      <c r="J45" s="2"/>
      <c r="Q45" s="349"/>
    </row>
    <row r="46" spans="1:17" s="72" customFormat="1">
      <c r="A46" s="173"/>
      <c r="B46" s="14"/>
      <c r="C46" s="363"/>
      <c r="D46" s="363"/>
      <c r="E46" s="363"/>
      <c r="F46" s="363"/>
      <c r="G46" s="164" t="s">
        <v>654</v>
      </c>
      <c r="H46" s="2"/>
      <c r="I46" s="2"/>
      <c r="J46" s="2"/>
      <c r="K46" s="2"/>
      <c r="L46" s="2"/>
      <c r="O46" s="165" t="s">
        <v>717</v>
      </c>
      <c r="Q46" s="349"/>
    </row>
    <row r="47" spans="1:17" s="72" customFormat="1">
      <c r="A47" s="173"/>
      <c r="B47" s="14"/>
      <c r="C47" s="363"/>
      <c r="D47" s="363"/>
      <c r="E47" s="363"/>
      <c r="F47" s="363"/>
      <c r="G47" s="338" t="s">
        <v>655</v>
      </c>
      <c r="H47" s="2"/>
      <c r="I47" s="2"/>
      <c r="J47" s="2"/>
      <c r="K47" s="2"/>
      <c r="L47" s="2"/>
      <c r="Q47" s="349"/>
    </row>
    <row r="48" spans="1:17" s="72" customFormat="1">
      <c r="A48" s="173"/>
      <c r="B48" s="14"/>
      <c r="C48" s="363"/>
      <c r="D48" s="363"/>
      <c r="E48" s="363"/>
      <c r="F48" s="363"/>
      <c r="G48" s="17" t="str">
        <f>+G3</f>
        <v>GridLiance Heartland LLC</v>
      </c>
      <c r="H48" s="2"/>
      <c r="I48" s="2"/>
      <c r="J48" s="2"/>
      <c r="K48" s="2"/>
      <c r="L48" s="2"/>
      <c r="Q48" s="349"/>
    </row>
    <row r="49" spans="1:17" s="72" customFormat="1">
      <c r="A49" s="173"/>
      <c r="B49" s="14"/>
      <c r="C49" s="363"/>
      <c r="D49" s="363"/>
      <c r="E49" s="363"/>
      <c r="F49" s="363"/>
      <c r="G49" s="363"/>
      <c r="H49" s="2"/>
      <c r="I49" s="2"/>
      <c r="J49" s="2"/>
      <c r="K49" s="2"/>
      <c r="L49" s="2"/>
      <c r="Q49" s="349"/>
    </row>
    <row r="50" spans="1:17" s="72" customFormat="1">
      <c r="A50" s="173"/>
      <c r="B50" s="14" t="s">
        <v>718</v>
      </c>
      <c r="C50" s="363"/>
      <c r="D50" s="363"/>
      <c r="E50" s="363"/>
      <c r="F50" s="363"/>
      <c r="G50" s="363"/>
      <c r="H50" s="2"/>
      <c r="I50" s="2"/>
      <c r="J50" s="2"/>
      <c r="L50" s="2"/>
      <c r="Q50" s="349"/>
    </row>
    <row r="51" spans="1:17" s="72" customFormat="1">
      <c r="A51" s="173" t="s">
        <v>662</v>
      </c>
      <c r="B51" s="14" t="s">
        <v>336</v>
      </c>
      <c r="C51" s="14" t="s">
        <v>337</v>
      </c>
      <c r="D51" s="14" t="s">
        <v>338</v>
      </c>
      <c r="E51" s="14" t="s">
        <v>339</v>
      </c>
      <c r="F51" s="14" t="s">
        <v>671</v>
      </c>
      <c r="G51" s="14" t="s">
        <v>672</v>
      </c>
      <c r="H51" s="14" t="s">
        <v>673</v>
      </c>
      <c r="I51" s="14" t="s">
        <v>674</v>
      </c>
      <c r="J51" s="2"/>
      <c r="K51" s="2"/>
      <c r="L51" s="2"/>
      <c r="Q51" s="349"/>
    </row>
    <row r="52" spans="1:17" s="72" customFormat="1" ht="107.25" customHeight="1">
      <c r="A52" s="173">
        <f>+A42+1</f>
        <v>29</v>
      </c>
      <c r="B52" s="364" t="s">
        <v>719</v>
      </c>
      <c r="C52" s="365"/>
      <c r="D52" s="366" t="s">
        <v>720</v>
      </c>
      <c r="E52" s="366" t="s">
        <v>721</v>
      </c>
      <c r="F52" s="366" t="s">
        <v>722</v>
      </c>
      <c r="G52" s="366" t="s">
        <v>723</v>
      </c>
      <c r="H52" s="367" t="s">
        <v>724</v>
      </c>
      <c r="I52" s="367" t="s">
        <v>725</v>
      </c>
      <c r="J52" s="364"/>
      <c r="K52" s="364"/>
      <c r="L52" s="364"/>
      <c r="Q52" s="349"/>
    </row>
    <row r="53" spans="1:17" s="72" customFormat="1">
      <c r="A53" s="173" t="s">
        <v>249</v>
      </c>
      <c r="B53" s="2"/>
      <c r="C53" s="368" t="s">
        <v>726</v>
      </c>
      <c r="D53" s="369">
        <v>0</v>
      </c>
      <c r="E53" s="369">
        <v>0</v>
      </c>
      <c r="F53" s="369">
        <v>0</v>
      </c>
      <c r="G53" s="369">
        <v>0</v>
      </c>
      <c r="H53" s="369">
        <v>0</v>
      </c>
      <c r="I53" s="370">
        <f t="shared" ref="I53:I58" si="4">+H53*E53*D53*F53*G53</f>
        <v>0</v>
      </c>
      <c r="J53" s="2"/>
      <c r="K53" s="2"/>
      <c r="L53" s="2"/>
      <c r="Q53" s="349"/>
    </row>
    <row r="54" spans="1:17" s="72" customFormat="1">
      <c r="A54" s="173" t="s">
        <v>252</v>
      </c>
      <c r="B54" s="2"/>
      <c r="C54" s="368" t="s">
        <v>727</v>
      </c>
      <c r="D54" s="73">
        <v>0</v>
      </c>
      <c r="E54" s="369">
        <v>0</v>
      </c>
      <c r="F54" s="369">
        <v>0</v>
      </c>
      <c r="G54" s="369">
        <v>0</v>
      </c>
      <c r="H54" s="369">
        <v>0</v>
      </c>
      <c r="I54" s="370">
        <f t="shared" si="4"/>
        <v>0</v>
      </c>
      <c r="J54" s="2"/>
      <c r="K54" s="2"/>
      <c r="L54" s="2"/>
      <c r="Q54" s="349"/>
    </row>
    <row r="55" spans="1:17" s="72" customFormat="1">
      <c r="A55" s="173" t="s">
        <v>728</v>
      </c>
      <c r="B55" s="2"/>
      <c r="C55" s="368" t="s">
        <v>729</v>
      </c>
      <c r="D55" s="73"/>
      <c r="E55" s="369"/>
      <c r="F55" s="371"/>
      <c r="G55" s="371"/>
      <c r="H55" s="369"/>
      <c r="I55" s="370">
        <f t="shared" si="4"/>
        <v>0</v>
      </c>
      <c r="J55" s="2"/>
      <c r="K55" s="2"/>
      <c r="L55" s="2"/>
      <c r="Q55" s="349"/>
    </row>
    <row r="56" spans="1:17" s="72" customFormat="1">
      <c r="A56" s="173" t="s">
        <v>730</v>
      </c>
      <c r="B56" s="2"/>
      <c r="C56" s="368" t="s">
        <v>731</v>
      </c>
      <c r="D56" s="73"/>
      <c r="E56" s="369"/>
      <c r="F56" s="371"/>
      <c r="G56" s="371"/>
      <c r="H56" s="369"/>
      <c r="I56" s="370">
        <f t="shared" si="4"/>
        <v>0</v>
      </c>
      <c r="J56" s="2"/>
      <c r="K56" s="2"/>
      <c r="L56" s="2"/>
      <c r="Q56" s="349"/>
    </row>
    <row r="57" spans="1:17" s="72" customFormat="1">
      <c r="A57" s="173" t="s">
        <v>732</v>
      </c>
      <c r="B57" s="2"/>
      <c r="C57" s="368" t="s">
        <v>733</v>
      </c>
      <c r="D57" s="73"/>
      <c r="E57" s="369"/>
      <c r="F57" s="371"/>
      <c r="G57" s="371"/>
      <c r="H57" s="369"/>
      <c r="I57" s="370">
        <f t="shared" si="4"/>
        <v>0</v>
      </c>
      <c r="J57" s="2"/>
      <c r="K57" s="2"/>
      <c r="L57" s="2"/>
      <c r="Q57" s="349"/>
    </row>
    <row r="58" spans="1:17" s="72" customFormat="1">
      <c r="A58" s="173" t="s">
        <v>734</v>
      </c>
      <c r="B58" s="2"/>
      <c r="C58" s="372" t="s">
        <v>733</v>
      </c>
      <c r="D58" s="373">
        <v>0</v>
      </c>
      <c r="E58" s="374">
        <v>0</v>
      </c>
      <c r="F58" s="375"/>
      <c r="G58" s="375"/>
      <c r="H58" s="374"/>
      <c r="I58" s="376">
        <f t="shared" si="4"/>
        <v>0</v>
      </c>
      <c r="J58" s="2"/>
      <c r="K58" s="2"/>
      <c r="L58" s="2"/>
      <c r="Q58" s="349"/>
    </row>
    <row r="59" spans="1:17" s="72" customFormat="1">
      <c r="A59" s="173">
        <v>31</v>
      </c>
      <c r="B59" s="2"/>
      <c r="C59" s="364" t="s">
        <v>21</v>
      </c>
      <c r="D59" s="35">
        <f>SUM(D53:D58)</f>
        <v>0</v>
      </c>
      <c r="E59" s="111"/>
      <c r="H59" s="111"/>
      <c r="I59" s="370">
        <f>SUM(I53:I58)</f>
        <v>0</v>
      </c>
      <c r="J59" s="2"/>
      <c r="K59" s="2"/>
      <c r="L59" s="2"/>
      <c r="Q59" s="349"/>
    </row>
    <row r="60" spans="1:17" s="72" customFormat="1">
      <c r="A60" s="377"/>
      <c r="B60" s="378"/>
      <c r="C60" s="379"/>
      <c r="D60" s="379"/>
      <c r="E60" s="379"/>
      <c r="F60" s="379"/>
      <c r="G60" s="379"/>
      <c r="H60" s="2"/>
      <c r="I60" s="2"/>
      <c r="J60" s="2"/>
      <c r="K60" s="2"/>
      <c r="Q60" s="349"/>
    </row>
    <row r="61" spans="1:17" s="72" customFormat="1">
      <c r="A61" s="377"/>
      <c r="B61" s="378"/>
      <c r="C61" s="379"/>
      <c r="D61" s="379"/>
      <c r="E61" s="379"/>
      <c r="F61" s="379"/>
      <c r="G61" s="379"/>
      <c r="H61" s="2"/>
      <c r="I61" s="2"/>
      <c r="J61" s="2"/>
      <c r="K61" s="2"/>
      <c r="Q61" s="349"/>
    </row>
    <row r="62" spans="1:17" s="72" customFormat="1">
      <c r="A62" s="377"/>
      <c r="B62" s="378"/>
      <c r="C62" s="379"/>
      <c r="D62" s="379"/>
      <c r="E62" s="379"/>
      <c r="F62" s="379"/>
      <c r="G62" s="379"/>
      <c r="H62" s="2"/>
      <c r="I62" s="2">
        <v>0</v>
      </c>
      <c r="J62" s="2"/>
      <c r="K62" s="2"/>
      <c r="Q62" s="349"/>
    </row>
    <row r="63" spans="1:17">
      <c r="A63" s="173" t="s">
        <v>735</v>
      </c>
    </row>
    <row r="64" spans="1:17" ht="15" customHeight="1">
      <c r="A64" s="173" t="s">
        <v>350</v>
      </c>
      <c r="B64" s="767" t="s">
        <v>736</v>
      </c>
      <c r="C64" s="767"/>
      <c r="D64" s="767"/>
      <c r="E64" s="767"/>
      <c r="F64" s="767"/>
      <c r="G64" s="767"/>
      <c r="H64" s="767"/>
      <c r="I64" s="767"/>
      <c r="J64" s="767"/>
      <c r="K64" s="767"/>
      <c r="L64" s="148"/>
      <c r="M64" s="148"/>
      <c r="N64" s="148"/>
    </row>
    <row r="65" spans="1:14" ht="15" customHeight="1">
      <c r="A65" s="173" t="s">
        <v>352</v>
      </c>
      <c r="B65" s="767" t="s">
        <v>737</v>
      </c>
      <c r="C65" s="767"/>
      <c r="D65" s="767"/>
      <c r="E65" s="767"/>
      <c r="F65" s="767"/>
      <c r="G65" s="767"/>
      <c r="H65" s="767"/>
      <c r="I65" s="767"/>
      <c r="J65" s="767"/>
      <c r="K65" s="767"/>
      <c r="L65" s="339"/>
      <c r="M65" s="148"/>
      <c r="N65" s="148"/>
    </row>
    <row r="66" spans="1:14" ht="15" customHeight="1">
      <c r="A66" s="173" t="s">
        <v>354</v>
      </c>
      <c r="B66" s="759" t="s">
        <v>738</v>
      </c>
      <c r="C66" s="759"/>
      <c r="D66" s="759"/>
      <c r="E66" s="759"/>
      <c r="F66" s="759"/>
      <c r="G66" s="759"/>
      <c r="H66" s="759"/>
      <c r="I66" s="759"/>
      <c r="J66" s="759"/>
      <c r="K66" s="759"/>
      <c r="L66" s="759"/>
      <c r="M66" s="759"/>
      <c r="N66" s="759"/>
    </row>
    <row r="67" spans="1:14">
      <c r="A67" s="173"/>
      <c r="B67" s="759"/>
      <c r="C67" s="759"/>
      <c r="D67" s="759"/>
      <c r="E67" s="759"/>
      <c r="F67" s="759"/>
      <c r="G67" s="759"/>
      <c r="H67" s="759"/>
      <c r="I67" s="759"/>
      <c r="J67" s="759"/>
      <c r="K67" s="759"/>
      <c r="L67" s="759"/>
      <c r="M67" s="759"/>
      <c r="N67" s="759"/>
    </row>
    <row r="68" spans="1:14">
      <c r="A68" s="173" t="s">
        <v>356</v>
      </c>
      <c r="B68" s="160" t="s">
        <v>739</v>
      </c>
      <c r="C68" s="160"/>
      <c r="D68" s="160"/>
      <c r="E68" s="160"/>
      <c r="F68" s="160"/>
      <c r="G68" s="160"/>
      <c r="H68" s="160"/>
      <c r="I68" s="160"/>
      <c r="J68" s="160"/>
      <c r="K68" s="160"/>
      <c r="L68" s="160"/>
      <c r="M68" s="160"/>
      <c r="N68" s="160"/>
    </row>
    <row r="69" spans="1:14" ht="30.75" customHeight="1">
      <c r="A69" s="380" t="s">
        <v>357</v>
      </c>
      <c r="B69" s="748" t="s">
        <v>740</v>
      </c>
      <c r="C69" s="748"/>
      <c r="D69" s="748"/>
      <c r="E69" s="748"/>
      <c r="F69" s="748"/>
      <c r="G69" s="748"/>
      <c r="H69" s="748"/>
      <c r="I69" s="748"/>
      <c r="J69" s="748"/>
      <c r="K69" s="748"/>
      <c r="L69" s="748"/>
      <c r="M69" s="748"/>
      <c r="N69" s="748"/>
    </row>
    <row r="70" spans="1:14" ht="15" customHeight="1">
      <c r="A70" s="173" t="s">
        <v>359</v>
      </c>
      <c r="B70" s="760" t="s">
        <v>741</v>
      </c>
      <c r="C70" s="748"/>
      <c r="D70" s="748"/>
      <c r="E70" s="748"/>
      <c r="F70" s="748"/>
      <c r="G70" s="748"/>
      <c r="H70" s="748"/>
      <c r="I70" s="748"/>
      <c r="J70" s="748"/>
      <c r="K70" s="748"/>
      <c r="L70" s="148"/>
      <c r="M70" s="148"/>
      <c r="N70" s="148"/>
    </row>
    <row r="71" spans="1:14" ht="61.9" customHeight="1">
      <c r="A71" s="380" t="s">
        <v>361</v>
      </c>
      <c r="B71" s="748" t="s">
        <v>742</v>
      </c>
      <c r="C71" s="748"/>
      <c r="D71" s="748"/>
      <c r="E71" s="748"/>
      <c r="F71" s="748"/>
      <c r="G71" s="748"/>
      <c r="H71" s="748"/>
      <c r="I71" s="748"/>
      <c r="J71" s="748"/>
      <c r="K71" s="748"/>
      <c r="L71" s="748"/>
      <c r="M71" s="748"/>
      <c r="N71" s="748"/>
    </row>
    <row r="72" spans="1:14" ht="15" customHeight="1">
      <c r="A72" s="173"/>
      <c r="B72" s="381"/>
      <c r="C72" s="381"/>
      <c r="D72" s="381"/>
      <c r="E72" s="381"/>
      <c r="F72" s="381"/>
      <c r="G72" s="381"/>
      <c r="H72" s="381"/>
      <c r="I72" s="381"/>
      <c r="J72" s="381"/>
      <c r="K72" s="381"/>
    </row>
    <row r="73" spans="1:14">
      <c r="C73" s="381"/>
      <c r="D73" s="381"/>
      <c r="E73" s="381"/>
      <c r="F73" s="381"/>
      <c r="G73" s="381"/>
      <c r="H73" s="381"/>
      <c r="I73" s="381"/>
      <c r="J73" s="381"/>
      <c r="K73" s="381"/>
    </row>
    <row r="74" spans="1:14">
      <c r="C74" s="381"/>
      <c r="D74" s="381"/>
      <c r="E74" s="381"/>
      <c r="F74" s="381"/>
      <c r="G74" s="381"/>
      <c r="H74" s="381"/>
      <c r="I74" s="381"/>
      <c r="J74" s="381"/>
      <c r="K74" s="381"/>
    </row>
  </sheetData>
  <mergeCells count="10">
    <mergeCell ref="B66:N67"/>
    <mergeCell ref="B69:N69"/>
    <mergeCell ref="B70:K70"/>
    <mergeCell ref="B71:N71"/>
    <mergeCell ref="C5:G5"/>
    <mergeCell ref="J5:K5"/>
    <mergeCell ref="L5:P5"/>
    <mergeCell ref="C25:I25"/>
    <mergeCell ref="B64:K64"/>
    <mergeCell ref="B65:K65"/>
  </mergeCells>
  <pageMargins left="0.25" right="0.25" top="0.75" bottom="0.75" header="0.3" footer="0.3"/>
  <pageSetup scale="48" fitToHeight="0" orientation="landscape" r:id="rId1"/>
  <rowBreaks count="1" manualBreakCount="1">
    <brk id="4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D383-32F2-4374-9ABE-F9DA96B005C2}">
  <sheetPr>
    <pageSetUpPr fitToPage="1"/>
  </sheetPr>
  <dimension ref="A1:O87"/>
  <sheetViews>
    <sheetView workbookViewId="0">
      <selection sqref="A1:N1"/>
    </sheetView>
  </sheetViews>
  <sheetFormatPr defaultColWidth="14" defaultRowHeight="12.75"/>
  <cols>
    <col min="1" max="1" width="7.88671875" style="174" customWidth="1"/>
    <col min="2" max="2" width="21" style="2" customWidth="1"/>
    <col min="3" max="6" width="17.88671875" style="2" customWidth="1"/>
    <col min="7" max="7" width="17.109375" style="2" customWidth="1"/>
    <col min="8" max="12" width="17.88671875" style="2" customWidth="1"/>
    <col min="13" max="13" width="20.6640625" style="2" customWidth="1"/>
    <col min="14" max="14" width="17.88671875" style="2" customWidth="1"/>
    <col min="15" max="15" width="14.21875" style="2" customWidth="1"/>
    <col min="16" max="16384" width="14" style="2"/>
  </cols>
  <sheetData>
    <row r="1" spans="1:15">
      <c r="A1" s="768" t="s">
        <v>743</v>
      </c>
      <c r="B1" s="768"/>
      <c r="C1" s="768"/>
      <c r="D1" s="768"/>
      <c r="E1" s="768"/>
      <c r="F1" s="768"/>
      <c r="G1" s="768"/>
      <c r="H1" s="768"/>
      <c r="I1" s="768"/>
      <c r="J1" s="768"/>
      <c r="K1" s="768"/>
      <c r="L1" s="768"/>
      <c r="M1" s="768"/>
      <c r="N1" s="768"/>
    </row>
    <row r="2" spans="1:15" ht="15" customHeight="1">
      <c r="A2" s="769" t="s">
        <v>744</v>
      </c>
      <c r="B2" s="769"/>
      <c r="C2" s="769"/>
      <c r="D2" s="769"/>
      <c r="E2" s="769"/>
      <c r="F2" s="769"/>
      <c r="G2" s="769"/>
      <c r="H2" s="769"/>
      <c r="I2" s="769"/>
      <c r="J2" s="769"/>
      <c r="K2" s="769"/>
      <c r="L2" s="769"/>
      <c r="M2" s="769"/>
      <c r="N2" s="769"/>
    </row>
    <row r="3" spans="1:15">
      <c r="A3" s="758" t="str">
        <f>+'Attachment O'!D5</f>
        <v>GridLiance Heartland LLC</v>
      </c>
      <c r="B3" s="758"/>
      <c r="C3" s="758"/>
      <c r="D3" s="758"/>
      <c r="E3" s="758"/>
      <c r="F3" s="758"/>
      <c r="G3" s="758"/>
      <c r="H3" s="758"/>
      <c r="I3" s="758"/>
      <c r="J3" s="758"/>
      <c r="K3" s="758"/>
      <c r="L3" s="758"/>
      <c r="M3" s="758"/>
      <c r="N3" s="758"/>
    </row>
    <row r="4" spans="1:15">
      <c r="B4" s="10"/>
    </row>
    <row r="6" spans="1:15" s="384" customFormat="1" ht="85.5" customHeight="1">
      <c r="A6" s="382" t="s">
        <v>506</v>
      </c>
      <c r="B6" s="383" t="s">
        <v>663</v>
      </c>
      <c r="C6" s="383" t="s">
        <v>745</v>
      </c>
      <c r="D6" s="383" t="s">
        <v>746</v>
      </c>
      <c r="E6" s="383" t="s">
        <v>747</v>
      </c>
      <c r="F6" s="383" t="s">
        <v>748</v>
      </c>
      <c r="G6" s="383" t="s">
        <v>749</v>
      </c>
      <c r="H6" s="383" t="s">
        <v>750</v>
      </c>
      <c r="I6" s="383" t="s">
        <v>751</v>
      </c>
      <c r="J6" s="383" t="s">
        <v>752</v>
      </c>
      <c r="K6" s="383" t="s">
        <v>753</v>
      </c>
      <c r="L6" s="383" t="s">
        <v>754</v>
      </c>
      <c r="M6" s="383" t="s">
        <v>755</v>
      </c>
      <c r="N6" s="578" t="s">
        <v>1006</v>
      </c>
    </row>
    <row r="7" spans="1:15" ht="42" customHeight="1">
      <c r="B7" s="385" t="s">
        <v>756</v>
      </c>
      <c r="C7" s="386">
        <v>1</v>
      </c>
      <c r="D7" s="386" t="s">
        <v>153</v>
      </c>
      <c r="E7" s="386">
        <v>2</v>
      </c>
      <c r="F7" s="386">
        <v>3</v>
      </c>
      <c r="G7" s="386">
        <v>4</v>
      </c>
      <c r="H7" s="386">
        <v>5</v>
      </c>
      <c r="I7" s="386" t="s">
        <v>164</v>
      </c>
      <c r="J7" s="386">
        <v>7</v>
      </c>
      <c r="K7" s="386" t="s">
        <v>178</v>
      </c>
      <c r="L7" s="386" t="s">
        <v>181</v>
      </c>
      <c r="M7" s="386">
        <v>9</v>
      </c>
      <c r="N7" s="386" t="s">
        <v>151</v>
      </c>
      <c r="O7" s="386"/>
    </row>
    <row r="8" spans="1:15" s="389" customFormat="1">
      <c r="A8" s="174"/>
      <c r="B8" s="385"/>
      <c r="C8" s="386" t="s">
        <v>336</v>
      </c>
      <c r="D8" s="338" t="s">
        <v>337</v>
      </c>
      <c r="E8" s="338" t="s">
        <v>338</v>
      </c>
      <c r="F8" s="387" t="s">
        <v>339</v>
      </c>
      <c r="G8" s="387" t="s">
        <v>671</v>
      </c>
      <c r="H8" s="387" t="s">
        <v>672</v>
      </c>
      <c r="I8" s="387" t="s">
        <v>673</v>
      </c>
      <c r="J8" s="388" t="s">
        <v>674</v>
      </c>
      <c r="K8" s="388" t="s">
        <v>675</v>
      </c>
      <c r="L8" s="14" t="s">
        <v>676</v>
      </c>
      <c r="M8" s="14" t="s">
        <v>677</v>
      </c>
      <c r="N8" s="14" t="s">
        <v>678</v>
      </c>
      <c r="O8" s="14"/>
    </row>
    <row r="9" spans="1:15" ht="34.5" customHeight="1">
      <c r="B9" s="390" t="s">
        <v>757</v>
      </c>
      <c r="C9" s="386" t="s">
        <v>758</v>
      </c>
      <c r="D9" s="386" t="s">
        <v>759</v>
      </c>
      <c r="E9" s="386" t="s">
        <v>760</v>
      </c>
      <c r="F9" s="386" t="s">
        <v>761</v>
      </c>
      <c r="G9" s="385" t="s">
        <v>762</v>
      </c>
      <c r="H9" s="385" t="s">
        <v>762</v>
      </c>
      <c r="I9" s="385" t="s">
        <v>762</v>
      </c>
      <c r="J9" s="386"/>
      <c r="K9" s="386" t="s">
        <v>759</v>
      </c>
      <c r="L9" s="386" t="str">
        <f>+K9</f>
        <v>321.97.b</v>
      </c>
      <c r="M9" s="386" t="s">
        <v>763</v>
      </c>
      <c r="N9" s="385" t="s">
        <v>764</v>
      </c>
      <c r="O9" s="391"/>
    </row>
    <row r="10" spans="1:15">
      <c r="A10" s="174" t="s">
        <v>765</v>
      </c>
      <c r="B10" s="392" t="s">
        <v>696</v>
      </c>
      <c r="C10" s="73">
        <v>259429.67320728421</v>
      </c>
      <c r="D10" s="73">
        <v>0</v>
      </c>
      <c r="E10" s="73">
        <v>0</v>
      </c>
      <c r="F10" s="73">
        <v>344333.64429720386</v>
      </c>
      <c r="G10" s="73">
        <v>0</v>
      </c>
      <c r="H10" s="73">
        <v>0</v>
      </c>
      <c r="I10" s="73">
        <v>0</v>
      </c>
      <c r="J10" s="73">
        <v>0</v>
      </c>
      <c r="K10" s="73">
        <v>0</v>
      </c>
      <c r="L10" s="73">
        <v>0</v>
      </c>
      <c r="M10" s="393">
        <v>40689.10095160082</v>
      </c>
      <c r="N10" s="393">
        <f>844418/12</f>
        <v>70368.166666666672</v>
      </c>
    </row>
    <row r="11" spans="1:15">
      <c r="A11" s="174" t="s">
        <v>766</v>
      </c>
      <c r="B11" s="392" t="s">
        <v>697</v>
      </c>
      <c r="C11" s="73">
        <v>259429.67320728421</v>
      </c>
      <c r="D11" s="73">
        <v>0</v>
      </c>
      <c r="E11" s="73">
        <v>0</v>
      </c>
      <c r="F11" s="73">
        <v>344333.64429720386</v>
      </c>
      <c r="G11" s="73">
        <v>0</v>
      </c>
      <c r="H11" s="73">
        <v>0</v>
      </c>
      <c r="I11" s="73">
        <v>0</v>
      </c>
      <c r="J11" s="73">
        <v>0</v>
      </c>
      <c r="K11" s="73">
        <v>0</v>
      </c>
      <c r="L11" s="73">
        <v>0</v>
      </c>
      <c r="M11" s="393">
        <v>40689.100951603148</v>
      </c>
      <c r="N11" s="393">
        <f t="shared" ref="N11:N21" si="0">844418/12</f>
        <v>70368.166666666672</v>
      </c>
    </row>
    <row r="12" spans="1:15">
      <c r="A12" s="174" t="s">
        <v>767</v>
      </c>
      <c r="B12" s="392" t="s">
        <v>768</v>
      </c>
      <c r="C12" s="73">
        <v>259429.67320728421</v>
      </c>
      <c r="D12" s="73">
        <v>0</v>
      </c>
      <c r="E12" s="73">
        <v>0</v>
      </c>
      <c r="F12" s="73">
        <v>344333.64429720386</v>
      </c>
      <c r="G12" s="73">
        <v>0</v>
      </c>
      <c r="H12" s="73">
        <v>0</v>
      </c>
      <c r="I12" s="73">
        <v>0</v>
      </c>
      <c r="J12" s="73">
        <v>0</v>
      </c>
      <c r="K12" s="73">
        <v>0</v>
      </c>
      <c r="L12" s="73">
        <v>0</v>
      </c>
      <c r="M12" s="393">
        <v>40689.100951602682</v>
      </c>
      <c r="N12" s="393">
        <f t="shared" si="0"/>
        <v>70368.166666666672</v>
      </c>
    </row>
    <row r="13" spans="1:15">
      <c r="A13" s="174" t="s">
        <v>769</v>
      </c>
      <c r="B13" s="392" t="s">
        <v>699</v>
      </c>
      <c r="C13" s="73">
        <v>259429.67320728421</v>
      </c>
      <c r="D13" s="73">
        <v>0</v>
      </c>
      <c r="E13" s="73">
        <v>0</v>
      </c>
      <c r="F13" s="73">
        <v>344333.64429720386</v>
      </c>
      <c r="G13" s="73">
        <v>0</v>
      </c>
      <c r="H13" s="73">
        <v>0</v>
      </c>
      <c r="I13" s="73">
        <v>0</v>
      </c>
      <c r="J13" s="73">
        <v>0</v>
      </c>
      <c r="K13" s="73">
        <v>0</v>
      </c>
      <c r="L13" s="73">
        <v>0</v>
      </c>
      <c r="M13" s="393">
        <v>40689.100951603148</v>
      </c>
      <c r="N13" s="393">
        <f t="shared" si="0"/>
        <v>70368.166666666672</v>
      </c>
    </row>
    <row r="14" spans="1:15">
      <c r="A14" s="174" t="s">
        <v>465</v>
      </c>
      <c r="B14" s="392" t="s">
        <v>700</v>
      </c>
      <c r="C14" s="73">
        <v>259429.67320728421</v>
      </c>
      <c r="D14" s="73">
        <v>0</v>
      </c>
      <c r="E14" s="73">
        <v>0</v>
      </c>
      <c r="F14" s="73">
        <v>344333.64429720386</v>
      </c>
      <c r="G14" s="73">
        <v>0</v>
      </c>
      <c r="H14" s="73">
        <v>0</v>
      </c>
      <c r="I14" s="73">
        <v>0</v>
      </c>
      <c r="J14" s="73">
        <v>0</v>
      </c>
      <c r="K14" s="73">
        <v>0</v>
      </c>
      <c r="L14" s="73">
        <v>0</v>
      </c>
      <c r="M14" s="393">
        <v>40689.10095160082</v>
      </c>
      <c r="N14" s="393">
        <f t="shared" si="0"/>
        <v>70368.166666666672</v>
      </c>
    </row>
    <row r="15" spans="1:15">
      <c r="A15" s="174" t="s">
        <v>468</v>
      </c>
      <c r="B15" s="392" t="s">
        <v>701</v>
      </c>
      <c r="C15" s="73">
        <v>259429.67320728421</v>
      </c>
      <c r="D15" s="73">
        <v>0</v>
      </c>
      <c r="E15" s="73">
        <v>0</v>
      </c>
      <c r="F15" s="73">
        <v>344333.64429720386</v>
      </c>
      <c r="G15" s="73">
        <v>0</v>
      </c>
      <c r="H15" s="73">
        <v>0</v>
      </c>
      <c r="I15" s="73">
        <v>0</v>
      </c>
      <c r="J15" s="73">
        <v>0</v>
      </c>
      <c r="K15" s="73">
        <v>0</v>
      </c>
      <c r="L15" s="73">
        <v>0</v>
      </c>
      <c r="M15" s="393">
        <v>40689.10095160082</v>
      </c>
      <c r="N15" s="393">
        <f t="shared" si="0"/>
        <v>70368.166666666672</v>
      </c>
    </row>
    <row r="16" spans="1:15">
      <c r="A16" s="174" t="s">
        <v>472</v>
      </c>
      <c r="B16" s="392" t="s">
        <v>702</v>
      </c>
      <c r="C16" s="73">
        <v>259429.67320728421</v>
      </c>
      <c r="D16" s="73">
        <v>0</v>
      </c>
      <c r="E16" s="73">
        <v>0</v>
      </c>
      <c r="F16" s="73">
        <v>344333.64429720386</v>
      </c>
      <c r="G16" s="73">
        <v>0</v>
      </c>
      <c r="H16" s="73">
        <v>0</v>
      </c>
      <c r="I16" s="73">
        <v>0</v>
      </c>
      <c r="J16" s="73">
        <v>0</v>
      </c>
      <c r="K16" s="73">
        <v>0</v>
      </c>
      <c r="L16" s="73">
        <v>0</v>
      </c>
      <c r="M16" s="393">
        <v>40689.100951605011</v>
      </c>
      <c r="N16" s="393">
        <f t="shared" si="0"/>
        <v>70368.166666666672</v>
      </c>
    </row>
    <row r="17" spans="1:15">
      <c r="A17" s="174" t="s">
        <v>475</v>
      </c>
      <c r="B17" s="392" t="s">
        <v>770</v>
      </c>
      <c r="C17" s="73">
        <v>259429.67320728421</v>
      </c>
      <c r="D17" s="73">
        <v>0</v>
      </c>
      <c r="E17" s="73">
        <v>0</v>
      </c>
      <c r="F17" s="73">
        <v>344333.64429720386</v>
      </c>
      <c r="G17" s="73">
        <v>0</v>
      </c>
      <c r="H17" s="73">
        <v>0</v>
      </c>
      <c r="I17" s="73">
        <v>0</v>
      </c>
      <c r="J17" s="73">
        <v>0</v>
      </c>
      <c r="K17" s="73">
        <v>0</v>
      </c>
      <c r="L17" s="73">
        <v>0</v>
      </c>
      <c r="M17" s="393">
        <v>40689.10095160082</v>
      </c>
      <c r="N17" s="393">
        <f t="shared" si="0"/>
        <v>70368.166666666672</v>
      </c>
    </row>
    <row r="18" spans="1:15">
      <c r="A18" s="174" t="s">
        <v>478</v>
      </c>
      <c r="B18" s="392" t="s">
        <v>704</v>
      </c>
      <c r="C18" s="73">
        <v>259429.67320728421</v>
      </c>
      <c r="D18" s="73">
        <v>0</v>
      </c>
      <c r="E18" s="73">
        <v>0</v>
      </c>
      <c r="F18" s="73">
        <v>344333.64429720386</v>
      </c>
      <c r="G18" s="73">
        <v>0</v>
      </c>
      <c r="H18" s="73">
        <v>0</v>
      </c>
      <c r="I18" s="73">
        <v>0</v>
      </c>
      <c r="J18" s="73">
        <v>0</v>
      </c>
      <c r="K18" s="73">
        <v>0</v>
      </c>
      <c r="L18" s="73">
        <v>0</v>
      </c>
      <c r="M18" s="393">
        <v>40689.100951603148</v>
      </c>
      <c r="N18" s="393">
        <f t="shared" si="0"/>
        <v>70368.166666666672</v>
      </c>
    </row>
    <row r="19" spans="1:15">
      <c r="A19" s="174" t="s">
        <v>482</v>
      </c>
      <c r="B19" s="392" t="s">
        <v>705</v>
      </c>
      <c r="C19" s="73">
        <v>259429.67320728421</v>
      </c>
      <c r="D19" s="73">
        <v>0</v>
      </c>
      <c r="E19" s="73">
        <v>0</v>
      </c>
      <c r="F19" s="73">
        <v>344333.64429720386</v>
      </c>
      <c r="G19" s="73">
        <v>0</v>
      </c>
      <c r="H19" s="73">
        <v>0</v>
      </c>
      <c r="I19" s="73">
        <v>0</v>
      </c>
      <c r="J19" s="73">
        <v>0</v>
      </c>
      <c r="K19" s="73">
        <v>0</v>
      </c>
      <c r="L19" s="73">
        <v>0</v>
      </c>
      <c r="M19" s="393">
        <v>40689.10095160082</v>
      </c>
      <c r="N19" s="393">
        <f t="shared" si="0"/>
        <v>70368.166666666672</v>
      </c>
    </row>
    <row r="20" spans="1:15">
      <c r="A20" s="174" t="s">
        <v>484</v>
      </c>
      <c r="B20" s="392" t="s">
        <v>706</v>
      </c>
      <c r="C20" s="73">
        <v>259429.67320728421</v>
      </c>
      <c r="D20" s="73">
        <v>0</v>
      </c>
      <c r="E20" s="73">
        <v>0</v>
      </c>
      <c r="F20" s="73">
        <v>344333.64429720386</v>
      </c>
      <c r="G20" s="73">
        <v>0</v>
      </c>
      <c r="H20" s="73">
        <v>0</v>
      </c>
      <c r="I20" s="73">
        <v>0</v>
      </c>
      <c r="J20" s="73">
        <v>0</v>
      </c>
      <c r="K20" s="73">
        <v>0</v>
      </c>
      <c r="L20" s="73">
        <v>0</v>
      </c>
      <c r="M20" s="393">
        <v>40689.100951605011</v>
      </c>
      <c r="N20" s="393">
        <f t="shared" si="0"/>
        <v>70368.166666666672</v>
      </c>
    </row>
    <row r="21" spans="1:15">
      <c r="A21" s="174" t="s">
        <v>487</v>
      </c>
      <c r="B21" s="392" t="s">
        <v>771</v>
      </c>
      <c r="C21" s="73">
        <v>259429.67320728421</v>
      </c>
      <c r="D21" s="73">
        <v>0</v>
      </c>
      <c r="E21" s="73">
        <v>0</v>
      </c>
      <c r="F21" s="73">
        <v>344333.64429720386</v>
      </c>
      <c r="G21" s="73">
        <v>0</v>
      </c>
      <c r="H21" s="73">
        <v>0</v>
      </c>
      <c r="I21" s="73">
        <v>0</v>
      </c>
      <c r="J21" s="73">
        <v>0</v>
      </c>
      <c r="K21" s="73">
        <v>0</v>
      </c>
      <c r="L21" s="73">
        <v>0</v>
      </c>
      <c r="M21" s="393">
        <v>40689.10095160082</v>
      </c>
      <c r="N21" s="393">
        <f t="shared" si="0"/>
        <v>70368.166666666672</v>
      </c>
    </row>
    <row r="22" spans="1:15">
      <c r="A22" s="174" t="s">
        <v>490</v>
      </c>
      <c r="B22" s="394" t="s">
        <v>21</v>
      </c>
      <c r="C22" s="395">
        <f>SUM(C10:C21)</f>
        <v>3113156.0784874111</v>
      </c>
      <c r="D22" s="395">
        <f>SUM(D10:D21)</f>
        <v>0</v>
      </c>
      <c r="E22" s="395">
        <f>SUM(E10:E21)</f>
        <v>0</v>
      </c>
      <c r="F22" s="395">
        <f t="shared" ref="F22:N22" si="1">SUM(F10:F21)</f>
        <v>4132003.7315664473</v>
      </c>
      <c r="G22" s="395">
        <f>SUM(G10:G21)</f>
        <v>0</v>
      </c>
      <c r="H22" s="395">
        <f t="shared" si="1"/>
        <v>0</v>
      </c>
      <c r="I22" s="395">
        <f t="shared" si="1"/>
        <v>0</v>
      </c>
      <c r="J22" s="395">
        <f t="shared" si="1"/>
        <v>0</v>
      </c>
      <c r="K22" s="395">
        <f t="shared" si="1"/>
        <v>0</v>
      </c>
      <c r="L22" s="395">
        <f t="shared" si="1"/>
        <v>0</v>
      </c>
      <c r="M22" s="395">
        <f t="shared" si="1"/>
        <v>488269.21141922707</v>
      </c>
      <c r="N22" s="395">
        <f t="shared" si="1"/>
        <v>844417.99999999988</v>
      </c>
    </row>
    <row r="23" spans="1:15">
      <c r="B23" s="392"/>
      <c r="C23" s="392"/>
      <c r="D23" s="392"/>
      <c r="E23" s="392"/>
      <c r="F23" s="392"/>
      <c r="G23" s="392"/>
      <c r="H23" s="392"/>
      <c r="I23" s="392"/>
      <c r="J23" s="392"/>
      <c r="N23" s="392"/>
      <c r="O23" s="396"/>
    </row>
    <row r="24" spans="1:15">
      <c r="B24" s="392"/>
      <c r="C24" s="392"/>
      <c r="D24" s="392"/>
      <c r="E24" s="392"/>
      <c r="F24" s="392"/>
      <c r="G24" s="392"/>
      <c r="H24" s="392"/>
      <c r="I24" s="392"/>
      <c r="J24" s="392"/>
      <c r="N24" s="392"/>
      <c r="O24" s="396"/>
    </row>
    <row r="25" spans="1:15" ht="87.75" customHeight="1">
      <c r="C25" s="383" t="s">
        <v>772</v>
      </c>
      <c r="D25" s="384" t="s">
        <v>773</v>
      </c>
      <c r="E25" s="383" t="s">
        <v>774</v>
      </c>
      <c r="F25" s="384" t="s">
        <v>775</v>
      </c>
      <c r="G25" s="383" t="s">
        <v>776</v>
      </c>
      <c r="H25" s="383" t="s">
        <v>777</v>
      </c>
      <c r="I25" s="383" t="s">
        <v>778</v>
      </c>
      <c r="J25" s="383" t="s">
        <v>779</v>
      </c>
      <c r="K25" s="383" t="s">
        <v>780</v>
      </c>
      <c r="L25" s="383" t="s">
        <v>781</v>
      </c>
      <c r="M25" s="383" t="s">
        <v>228</v>
      </c>
      <c r="N25" s="383" t="s">
        <v>782</v>
      </c>
    </row>
    <row r="26" spans="1:15" ht="48.75" customHeight="1">
      <c r="B26" s="397" t="s">
        <v>783</v>
      </c>
      <c r="C26" s="386">
        <v>10</v>
      </c>
      <c r="D26" s="174" t="s">
        <v>194</v>
      </c>
      <c r="E26" s="386">
        <v>13</v>
      </c>
      <c r="F26" s="386">
        <v>14</v>
      </c>
      <c r="G26" s="386">
        <v>16</v>
      </c>
      <c r="H26" s="386">
        <v>17</v>
      </c>
      <c r="I26" s="386">
        <v>18</v>
      </c>
      <c r="J26" s="386">
        <v>19</v>
      </c>
      <c r="K26" s="385">
        <v>24</v>
      </c>
      <c r="L26" s="386" t="s">
        <v>224</v>
      </c>
      <c r="M26" s="386" t="s">
        <v>227</v>
      </c>
      <c r="N26" s="386">
        <v>11</v>
      </c>
    </row>
    <row r="27" spans="1:15" s="389" customFormat="1">
      <c r="A27" s="174"/>
      <c r="B27" s="385"/>
      <c r="C27" s="386" t="s">
        <v>336</v>
      </c>
      <c r="D27" s="338" t="s">
        <v>337</v>
      </c>
      <c r="E27" s="338" t="s">
        <v>338</v>
      </c>
      <c r="F27" s="387" t="s">
        <v>339</v>
      </c>
      <c r="G27" s="387" t="s">
        <v>671</v>
      </c>
      <c r="H27" s="387" t="s">
        <v>672</v>
      </c>
      <c r="I27" s="387" t="s">
        <v>673</v>
      </c>
      <c r="J27" s="388" t="s">
        <v>674</v>
      </c>
      <c r="K27" s="388" t="s">
        <v>675</v>
      </c>
      <c r="L27" s="14" t="s">
        <v>676</v>
      </c>
      <c r="M27" s="14" t="s">
        <v>677</v>
      </c>
      <c r="N27" s="14" t="s">
        <v>678</v>
      </c>
    </row>
    <row r="28" spans="1:15" ht="33.75" customHeight="1">
      <c r="B28" s="390" t="s">
        <v>757</v>
      </c>
      <c r="C28" s="386" t="s">
        <v>784</v>
      </c>
      <c r="D28" s="385" t="s">
        <v>785</v>
      </c>
      <c r="E28" s="386" t="s">
        <v>786</v>
      </c>
      <c r="F28" s="386" t="str">
        <f>+E28</f>
        <v>263.i</v>
      </c>
      <c r="G28" s="386" t="str">
        <f>+F28</f>
        <v>263.i</v>
      </c>
      <c r="H28" s="386" t="str">
        <f>+G28</f>
        <v>263.i</v>
      </c>
      <c r="I28" s="386" t="str">
        <f>+H28</f>
        <v>263.i</v>
      </c>
      <c r="J28" s="386"/>
      <c r="K28" s="386" t="s">
        <v>787</v>
      </c>
      <c r="L28" s="386"/>
      <c r="M28" s="386"/>
      <c r="N28" s="386" t="s">
        <v>788</v>
      </c>
    </row>
    <row r="29" spans="1:15">
      <c r="A29" s="174" t="s">
        <v>493</v>
      </c>
      <c r="B29" s="392" t="s">
        <v>696</v>
      </c>
      <c r="C29" s="73">
        <v>0</v>
      </c>
      <c r="D29" s="243">
        <v>0</v>
      </c>
      <c r="E29" s="243">
        <v>0</v>
      </c>
      <c r="F29" s="243">
        <v>0</v>
      </c>
      <c r="G29" s="73">
        <v>36176.288277747721</v>
      </c>
      <c r="H29" s="243">
        <v>0</v>
      </c>
      <c r="I29" s="73">
        <v>0</v>
      </c>
      <c r="J29" s="243">
        <v>0</v>
      </c>
      <c r="K29" s="243">
        <v>0</v>
      </c>
      <c r="L29" s="243">
        <v>0</v>
      </c>
      <c r="M29" s="243">
        <v>0</v>
      </c>
      <c r="N29" s="243">
        <v>0</v>
      </c>
    </row>
    <row r="30" spans="1:15">
      <c r="A30" s="174" t="s">
        <v>789</v>
      </c>
      <c r="B30" s="392" t="s">
        <v>697</v>
      </c>
      <c r="C30" s="73">
        <v>0</v>
      </c>
      <c r="D30" s="243">
        <v>0</v>
      </c>
      <c r="E30" s="243">
        <v>0</v>
      </c>
      <c r="F30" s="243">
        <v>0</v>
      </c>
      <c r="G30" s="73">
        <v>36176.288277747721</v>
      </c>
      <c r="H30" s="243">
        <v>0</v>
      </c>
      <c r="I30" s="73">
        <v>0</v>
      </c>
      <c r="J30" s="243">
        <v>0</v>
      </c>
      <c r="K30" s="243">
        <v>0</v>
      </c>
      <c r="L30" s="243">
        <v>0</v>
      </c>
      <c r="M30" s="243">
        <v>0</v>
      </c>
      <c r="N30" s="243">
        <v>0</v>
      </c>
    </row>
    <row r="31" spans="1:15">
      <c r="A31" s="174" t="s">
        <v>556</v>
      </c>
      <c r="B31" s="392" t="s">
        <v>768</v>
      </c>
      <c r="C31" s="73">
        <v>0</v>
      </c>
      <c r="D31" s="243">
        <v>0</v>
      </c>
      <c r="E31" s="243">
        <v>0</v>
      </c>
      <c r="F31" s="243">
        <v>0</v>
      </c>
      <c r="G31" s="73">
        <v>36176.288277747721</v>
      </c>
      <c r="H31" s="243">
        <v>0</v>
      </c>
      <c r="I31" s="73">
        <v>0</v>
      </c>
      <c r="J31" s="243">
        <v>0</v>
      </c>
      <c r="K31" s="243">
        <v>0</v>
      </c>
      <c r="L31" s="243">
        <v>0</v>
      </c>
      <c r="M31" s="243">
        <v>0</v>
      </c>
      <c r="N31" s="243">
        <v>0</v>
      </c>
    </row>
    <row r="32" spans="1:15">
      <c r="A32" s="174" t="s">
        <v>790</v>
      </c>
      <c r="B32" s="392" t="s">
        <v>699</v>
      </c>
      <c r="C32" s="73">
        <v>0</v>
      </c>
      <c r="D32" s="243">
        <v>0</v>
      </c>
      <c r="E32" s="243">
        <v>0</v>
      </c>
      <c r="F32" s="243">
        <v>0</v>
      </c>
      <c r="G32" s="73">
        <v>36176.288277747721</v>
      </c>
      <c r="H32" s="243">
        <v>0</v>
      </c>
      <c r="I32" s="73">
        <v>0</v>
      </c>
      <c r="J32" s="243">
        <v>0</v>
      </c>
      <c r="K32" s="243">
        <v>0</v>
      </c>
      <c r="L32" s="243">
        <v>0</v>
      </c>
      <c r="M32" s="243">
        <v>0</v>
      </c>
      <c r="N32" s="243">
        <v>0</v>
      </c>
    </row>
    <row r="33" spans="1:15">
      <c r="A33" s="174" t="s">
        <v>791</v>
      </c>
      <c r="B33" s="392" t="s">
        <v>700</v>
      </c>
      <c r="C33" s="73">
        <v>0</v>
      </c>
      <c r="D33" s="243">
        <v>0</v>
      </c>
      <c r="E33" s="243">
        <v>0</v>
      </c>
      <c r="F33" s="243">
        <v>0</v>
      </c>
      <c r="G33" s="73">
        <v>36176.288277747721</v>
      </c>
      <c r="H33" s="243">
        <v>0</v>
      </c>
      <c r="I33" s="73">
        <v>0</v>
      </c>
      <c r="J33" s="243">
        <v>0</v>
      </c>
      <c r="K33" s="243">
        <v>0</v>
      </c>
      <c r="L33" s="243">
        <v>0</v>
      </c>
      <c r="M33" s="243">
        <v>0</v>
      </c>
      <c r="N33" s="243">
        <v>0</v>
      </c>
    </row>
    <row r="34" spans="1:15">
      <c r="A34" s="174" t="s">
        <v>792</v>
      </c>
      <c r="B34" s="392" t="s">
        <v>701</v>
      </c>
      <c r="C34" s="73">
        <v>0</v>
      </c>
      <c r="D34" s="243">
        <v>0</v>
      </c>
      <c r="E34" s="243">
        <v>0</v>
      </c>
      <c r="F34" s="243">
        <v>0</v>
      </c>
      <c r="G34" s="73">
        <v>36176.288277747721</v>
      </c>
      <c r="H34" s="243">
        <v>0</v>
      </c>
      <c r="I34" s="73">
        <v>0</v>
      </c>
      <c r="J34" s="243">
        <v>0</v>
      </c>
      <c r="K34" s="243">
        <v>0</v>
      </c>
      <c r="L34" s="243">
        <v>0</v>
      </c>
      <c r="M34" s="243">
        <v>0</v>
      </c>
      <c r="N34" s="243">
        <v>0</v>
      </c>
    </row>
    <row r="35" spans="1:15">
      <c r="A35" s="174" t="s">
        <v>793</v>
      </c>
      <c r="B35" s="392" t="s">
        <v>702</v>
      </c>
      <c r="C35" s="73">
        <v>0</v>
      </c>
      <c r="D35" s="243">
        <v>0</v>
      </c>
      <c r="E35" s="243">
        <v>0</v>
      </c>
      <c r="F35" s="243">
        <v>0</v>
      </c>
      <c r="G35" s="73">
        <v>36176.288277747721</v>
      </c>
      <c r="H35" s="243">
        <v>0</v>
      </c>
      <c r="I35" s="73">
        <v>0</v>
      </c>
      <c r="J35" s="243">
        <v>0</v>
      </c>
      <c r="K35" s="243">
        <v>0</v>
      </c>
      <c r="L35" s="243">
        <v>0</v>
      </c>
      <c r="M35" s="243">
        <v>0</v>
      </c>
      <c r="N35" s="243">
        <v>0</v>
      </c>
    </row>
    <row r="36" spans="1:15">
      <c r="A36" s="174" t="s">
        <v>794</v>
      </c>
      <c r="B36" s="392" t="s">
        <v>770</v>
      </c>
      <c r="C36" s="73">
        <v>0</v>
      </c>
      <c r="D36" s="243">
        <v>0</v>
      </c>
      <c r="E36" s="243">
        <v>0</v>
      </c>
      <c r="F36" s="243">
        <v>0</v>
      </c>
      <c r="G36" s="73">
        <v>36176.288277747721</v>
      </c>
      <c r="H36" s="243">
        <v>0</v>
      </c>
      <c r="I36" s="73">
        <v>0</v>
      </c>
      <c r="J36" s="243">
        <v>0</v>
      </c>
      <c r="K36" s="243">
        <v>0</v>
      </c>
      <c r="L36" s="243">
        <v>0</v>
      </c>
      <c r="M36" s="243">
        <v>0</v>
      </c>
      <c r="N36" s="243">
        <v>0</v>
      </c>
    </row>
    <row r="37" spans="1:15">
      <c r="A37" s="174" t="s">
        <v>795</v>
      </c>
      <c r="B37" s="392" t="s">
        <v>704</v>
      </c>
      <c r="C37" s="73">
        <v>0</v>
      </c>
      <c r="D37" s="243">
        <v>0</v>
      </c>
      <c r="E37" s="243">
        <v>0</v>
      </c>
      <c r="F37" s="243">
        <v>0</v>
      </c>
      <c r="G37" s="73">
        <v>36176.288277747721</v>
      </c>
      <c r="H37" s="243">
        <v>0</v>
      </c>
      <c r="I37" s="73">
        <v>0</v>
      </c>
      <c r="J37" s="243">
        <v>0</v>
      </c>
      <c r="K37" s="243">
        <v>0</v>
      </c>
      <c r="L37" s="243">
        <v>0</v>
      </c>
      <c r="M37" s="243">
        <v>0</v>
      </c>
      <c r="N37" s="243">
        <v>0</v>
      </c>
    </row>
    <row r="38" spans="1:15">
      <c r="A38" s="174" t="s">
        <v>796</v>
      </c>
      <c r="B38" s="392" t="s">
        <v>705</v>
      </c>
      <c r="C38" s="73">
        <v>0</v>
      </c>
      <c r="D38" s="243">
        <v>0</v>
      </c>
      <c r="E38" s="243">
        <v>0</v>
      </c>
      <c r="F38" s="243">
        <v>0</v>
      </c>
      <c r="G38" s="73">
        <v>36176.288277747721</v>
      </c>
      <c r="H38" s="243">
        <v>0</v>
      </c>
      <c r="I38" s="73">
        <v>0</v>
      </c>
      <c r="J38" s="243">
        <v>0</v>
      </c>
      <c r="K38" s="243">
        <v>0</v>
      </c>
      <c r="L38" s="243">
        <v>0</v>
      </c>
      <c r="M38" s="243">
        <v>0</v>
      </c>
      <c r="N38" s="243">
        <v>0</v>
      </c>
    </row>
    <row r="39" spans="1:15">
      <c r="A39" s="174" t="s">
        <v>797</v>
      </c>
      <c r="B39" s="392" t="s">
        <v>706</v>
      </c>
      <c r="C39" s="73">
        <v>0</v>
      </c>
      <c r="D39" s="243">
        <v>0</v>
      </c>
      <c r="E39" s="243">
        <v>0</v>
      </c>
      <c r="F39" s="243">
        <v>0</v>
      </c>
      <c r="G39" s="73">
        <v>36176.288277747721</v>
      </c>
      <c r="H39" s="243">
        <v>0</v>
      </c>
      <c r="I39" s="73">
        <v>0</v>
      </c>
      <c r="J39" s="243">
        <v>0</v>
      </c>
      <c r="K39" s="243">
        <v>0</v>
      </c>
      <c r="L39" s="243">
        <v>0</v>
      </c>
      <c r="M39" s="243">
        <v>0</v>
      </c>
      <c r="N39" s="243">
        <v>0</v>
      </c>
    </row>
    <row r="40" spans="1:15">
      <c r="A40" s="174" t="s">
        <v>798</v>
      </c>
      <c r="B40" s="392" t="s">
        <v>771</v>
      </c>
      <c r="C40" s="73">
        <v>0</v>
      </c>
      <c r="D40" s="243">
        <v>0</v>
      </c>
      <c r="E40" s="243">
        <v>0</v>
      </c>
      <c r="F40" s="243">
        <v>0</v>
      </c>
      <c r="G40" s="73">
        <v>36176.288277747721</v>
      </c>
      <c r="H40" s="243">
        <v>0</v>
      </c>
      <c r="I40" s="73">
        <v>0</v>
      </c>
      <c r="J40" s="243">
        <v>0</v>
      </c>
      <c r="K40" s="243">
        <v>0</v>
      </c>
      <c r="L40" s="243">
        <v>0</v>
      </c>
      <c r="M40" s="243">
        <v>0</v>
      </c>
      <c r="N40" s="243">
        <v>0</v>
      </c>
    </row>
    <row r="41" spans="1:15">
      <c r="A41" s="174" t="s">
        <v>799</v>
      </c>
      <c r="B41" s="394" t="s">
        <v>21</v>
      </c>
      <c r="C41" s="395">
        <f t="shared" ref="C41:N41" si="2">SUM(C29:C40)</f>
        <v>0</v>
      </c>
      <c r="D41" s="395">
        <f t="shared" si="2"/>
        <v>0</v>
      </c>
      <c r="E41" s="395">
        <f t="shared" si="2"/>
        <v>0</v>
      </c>
      <c r="F41" s="395">
        <f t="shared" si="2"/>
        <v>0</v>
      </c>
      <c r="G41" s="398">
        <f t="shared" si="2"/>
        <v>434115.45933297253</v>
      </c>
      <c r="H41" s="395">
        <f t="shared" si="2"/>
        <v>0</v>
      </c>
      <c r="I41" s="395">
        <f t="shared" si="2"/>
        <v>0</v>
      </c>
      <c r="J41" s="395">
        <f t="shared" si="2"/>
        <v>0</v>
      </c>
      <c r="K41" s="395">
        <f t="shared" si="2"/>
        <v>0</v>
      </c>
      <c r="L41" s="395">
        <f t="shared" si="2"/>
        <v>0</v>
      </c>
      <c r="M41" s="395">
        <f t="shared" si="2"/>
        <v>0</v>
      </c>
      <c r="N41" s="395">
        <f t="shared" si="2"/>
        <v>0</v>
      </c>
    </row>
    <row r="42" spans="1:15">
      <c r="B42" s="392"/>
      <c r="C42" s="392"/>
      <c r="D42" s="392"/>
      <c r="E42" s="392"/>
      <c r="F42" s="392"/>
      <c r="G42" s="392"/>
      <c r="H42" s="392"/>
      <c r="I42" s="392"/>
      <c r="J42" s="392"/>
      <c r="N42" s="392"/>
      <c r="O42" s="396"/>
    </row>
    <row r="43" spans="1:15">
      <c r="B43" s="392"/>
      <c r="C43" s="392"/>
      <c r="D43" s="392"/>
      <c r="E43" s="392"/>
      <c r="F43" s="392"/>
      <c r="G43" s="392"/>
      <c r="H43" s="392"/>
      <c r="I43" s="392"/>
      <c r="J43" s="392"/>
      <c r="N43" s="392"/>
      <c r="O43" s="396"/>
    </row>
    <row r="44" spans="1:15">
      <c r="A44" s="399"/>
      <c r="B44" s="392"/>
      <c r="C44" s="392"/>
      <c r="D44" s="392"/>
      <c r="E44" s="392"/>
      <c r="F44" s="392"/>
      <c r="G44" s="392"/>
      <c r="H44" s="392"/>
      <c r="I44" s="392"/>
      <c r="J44" s="392"/>
      <c r="N44" s="392"/>
      <c r="O44" s="392"/>
    </row>
    <row r="45" spans="1:15">
      <c r="A45" s="399">
        <f>+A41+1</f>
        <v>27</v>
      </c>
      <c r="B45" s="5" t="s">
        <v>800</v>
      </c>
      <c r="C45" s="10"/>
      <c r="F45" s="10"/>
      <c r="G45" s="10"/>
      <c r="H45" s="10"/>
      <c r="I45" s="10"/>
      <c r="J45" s="10"/>
      <c r="K45" s="11"/>
      <c r="L45" s="10"/>
      <c r="N45" s="392"/>
      <c r="O45" s="392"/>
    </row>
    <row r="46" spans="1:15">
      <c r="A46" s="399"/>
      <c r="B46" s="5"/>
      <c r="C46" s="10"/>
      <c r="F46" s="10"/>
      <c r="G46" s="10"/>
      <c r="H46" s="10"/>
      <c r="I46" s="10"/>
      <c r="J46" s="10"/>
      <c r="K46" s="11"/>
      <c r="L46" s="10"/>
      <c r="N46" s="392"/>
      <c r="O46" s="392"/>
    </row>
    <row r="47" spans="1:15">
      <c r="A47" s="399"/>
      <c r="B47" s="5"/>
      <c r="C47" s="10"/>
      <c r="F47" s="10"/>
      <c r="G47" s="10"/>
      <c r="H47" s="10"/>
      <c r="I47" s="10"/>
      <c r="J47" s="10"/>
      <c r="K47" s="11"/>
      <c r="L47" s="10"/>
      <c r="N47" s="392"/>
      <c r="O47" s="392"/>
    </row>
    <row r="48" spans="1:15">
      <c r="A48" s="399"/>
      <c r="C48" s="386" t="s">
        <v>336</v>
      </c>
      <c r="D48" s="338" t="s">
        <v>337</v>
      </c>
      <c r="E48" s="338" t="s">
        <v>338</v>
      </c>
      <c r="F48" s="387" t="s">
        <v>339</v>
      </c>
      <c r="G48" s="387" t="s">
        <v>671</v>
      </c>
      <c r="H48" s="387" t="s">
        <v>672</v>
      </c>
      <c r="I48" s="387" t="s">
        <v>673</v>
      </c>
      <c r="J48" s="388" t="s">
        <v>674</v>
      </c>
      <c r="K48" s="388" t="s">
        <v>675</v>
      </c>
      <c r="L48" s="14" t="s">
        <v>676</v>
      </c>
      <c r="M48" s="14" t="s">
        <v>677</v>
      </c>
      <c r="N48" s="392"/>
      <c r="O48" s="392"/>
    </row>
    <row r="49" spans="1:15">
      <c r="A49" s="399">
        <f>+A45+1</f>
        <v>28</v>
      </c>
      <c r="B49" s="5"/>
      <c r="C49" s="10"/>
      <c r="D49" s="40" t="s">
        <v>801</v>
      </c>
      <c r="E49" s="40"/>
      <c r="F49" s="40"/>
      <c r="G49" s="40"/>
      <c r="H49" s="40"/>
      <c r="I49" s="40"/>
      <c r="J49" s="73">
        <v>0</v>
      </c>
      <c r="N49" s="392"/>
      <c r="O49" s="392"/>
    </row>
    <row r="50" spans="1:15">
      <c r="A50" s="399"/>
      <c r="B50" s="5"/>
      <c r="C50" s="10"/>
      <c r="D50" s="40"/>
      <c r="E50" s="40"/>
      <c r="F50" s="40"/>
      <c r="G50" s="40"/>
      <c r="H50" s="40"/>
      <c r="I50" s="40"/>
      <c r="J50" s="35"/>
      <c r="N50" s="392"/>
      <c r="O50" s="392"/>
    </row>
    <row r="51" spans="1:15">
      <c r="A51" s="399">
        <f>+A49+1</f>
        <v>29</v>
      </c>
      <c r="B51" s="5"/>
      <c r="C51" s="10"/>
      <c r="D51" s="40" t="s">
        <v>802</v>
      </c>
      <c r="E51" s="40"/>
      <c r="F51" s="40"/>
      <c r="G51" s="40"/>
      <c r="H51" s="40"/>
      <c r="I51" s="40"/>
      <c r="J51" s="86">
        <v>0</v>
      </c>
      <c r="N51" s="392"/>
      <c r="O51" s="392"/>
    </row>
    <row r="52" spans="1:15">
      <c r="A52" s="399"/>
      <c r="B52" s="5"/>
      <c r="C52" s="10"/>
      <c r="D52" s="40"/>
      <c r="E52" s="40"/>
      <c r="F52" s="40"/>
      <c r="G52" s="40"/>
      <c r="H52" s="40"/>
      <c r="I52" s="40"/>
      <c r="J52" s="35"/>
      <c r="N52" s="392"/>
      <c r="O52" s="392"/>
    </row>
    <row r="53" spans="1:15">
      <c r="A53" s="399"/>
      <c r="B53" s="5"/>
      <c r="C53" s="10"/>
      <c r="D53" s="40"/>
      <c r="E53" s="40"/>
      <c r="F53" s="40"/>
      <c r="G53" s="40"/>
      <c r="H53" s="40"/>
      <c r="I53" s="40"/>
      <c r="J53" s="35"/>
      <c r="N53" s="392"/>
      <c r="O53" s="392"/>
    </row>
    <row r="54" spans="1:15">
      <c r="A54" s="399">
        <f>+A51+1</f>
        <v>30</v>
      </c>
      <c r="B54" s="5"/>
      <c r="C54" s="10"/>
      <c r="D54" s="400" t="s">
        <v>803</v>
      </c>
      <c r="E54" s="42"/>
      <c r="F54" s="40"/>
      <c r="G54" s="40"/>
      <c r="H54" s="40"/>
      <c r="I54" s="40"/>
      <c r="J54" s="86">
        <v>0</v>
      </c>
      <c r="N54" s="392"/>
      <c r="O54" s="392"/>
    </row>
    <row r="55" spans="1:15">
      <c r="A55" s="399">
        <f t="shared" ref="A55:A57" si="3">+A54+1</f>
        <v>31</v>
      </c>
      <c r="B55" s="5"/>
      <c r="C55" s="10"/>
      <c r="D55" s="40" t="s">
        <v>804</v>
      </c>
      <c r="E55" s="40"/>
      <c r="F55" s="40"/>
      <c r="G55" s="40"/>
      <c r="H55" s="40"/>
      <c r="I55" s="40"/>
      <c r="J55" s="401">
        <f>+F63</f>
        <v>0</v>
      </c>
      <c r="N55" s="392"/>
      <c r="O55" s="392"/>
    </row>
    <row r="56" spans="1:15" ht="13.5" thickBot="1">
      <c r="A56" s="399">
        <f t="shared" si="3"/>
        <v>32</v>
      </c>
      <c r="B56" s="5"/>
      <c r="C56" s="10"/>
      <c r="D56" s="40" t="s">
        <v>805</v>
      </c>
      <c r="E56" s="40"/>
      <c r="F56" s="40" t="s">
        <v>806</v>
      </c>
      <c r="G56" s="40"/>
      <c r="H56" s="40"/>
      <c r="I56" s="40"/>
      <c r="J56" s="96">
        <v>0</v>
      </c>
      <c r="N56" s="392"/>
      <c r="O56" s="392"/>
    </row>
    <row r="57" spans="1:15">
      <c r="A57" s="399">
        <f t="shared" si="3"/>
        <v>33</v>
      </c>
      <c r="B57" s="5"/>
      <c r="C57" s="10"/>
      <c r="D57" s="40" t="s">
        <v>807</v>
      </c>
      <c r="F57" s="42" t="s">
        <v>808</v>
      </c>
      <c r="G57" s="42"/>
      <c r="H57" s="188"/>
      <c r="I57" s="42"/>
      <c r="J57" s="35">
        <f>+J54-J55-J56</f>
        <v>0</v>
      </c>
      <c r="N57" s="392"/>
      <c r="O57" s="392"/>
    </row>
    <row r="58" spans="1:15">
      <c r="A58" s="399"/>
      <c r="B58" s="5"/>
      <c r="C58" s="10"/>
      <c r="J58" s="21"/>
      <c r="N58" s="392"/>
      <c r="O58" s="392"/>
    </row>
    <row r="59" spans="1:15">
      <c r="A59" s="399"/>
      <c r="B59" s="5"/>
      <c r="C59" s="10"/>
      <c r="F59" s="10"/>
      <c r="G59" s="10"/>
      <c r="H59" s="10"/>
      <c r="I59" s="10"/>
      <c r="J59" s="21"/>
      <c r="K59" s="11"/>
      <c r="L59" s="10"/>
      <c r="N59" s="392"/>
      <c r="O59" s="392"/>
    </row>
    <row r="60" spans="1:15">
      <c r="A60" s="399"/>
      <c r="B60" s="12"/>
      <c r="C60" s="10"/>
      <c r="F60" s="10"/>
      <c r="G60" s="11"/>
      <c r="H60" s="10"/>
      <c r="I60" s="11" t="s">
        <v>809</v>
      </c>
      <c r="J60" s="10"/>
      <c r="K60" s="10"/>
      <c r="L60" s="10"/>
      <c r="N60" s="21"/>
      <c r="O60" s="21"/>
    </row>
    <row r="61" spans="1:15" ht="13.5" thickBot="1">
      <c r="A61" s="399"/>
      <c r="B61" s="12"/>
      <c r="C61" s="10"/>
      <c r="F61" s="18" t="s">
        <v>275</v>
      </c>
      <c r="G61" s="18" t="s">
        <v>303</v>
      </c>
      <c r="H61" s="10"/>
      <c r="I61" s="91"/>
      <c r="J61" s="10"/>
      <c r="K61" s="18" t="s">
        <v>304</v>
      </c>
      <c r="L61" s="10"/>
      <c r="N61" s="392"/>
      <c r="O61" s="392"/>
    </row>
    <row r="62" spans="1:15">
      <c r="A62" s="399">
        <f>+A57+1</f>
        <v>34</v>
      </c>
      <c r="B62" s="5" t="s">
        <v>305</v>
      </c>
      <c r="C62" s="4" t="s">
        <v>1002</v>
      </c>
      <c r="F62" s="369">
        <v>40</v>
      </c>
      <c r="G62" s="275">
        <f>IFERROR(F62/$F$65,0)</f>
        <v>0.4</v>
      </c>
      <c r="H62" s="21"/>
      <c r="I62" s="402">
        <v>4.5597125000000002E-2</v>
      </c>
      <c r="J62" s="21"/>
      <c r="K62" s="114">
        <f>G62*I62</f>
        <v>1.8238850000000001E-2</v>
      </c>
      <c r="L62" s="115" t="s">
        <v>307</v>
      </c>
      <c r="N62" s="403"/>
      <c r="O62" s="403"/>
    </row>
    <row r="63" spans="1:15">
      <c r="A63" s="399">
        <f t="shared" ref="A63:A65" si="4">+A62+1</f>
        <v>35</v>
      </c>
      <c r="B63" s="5" t="s">
        <v>811</v>
      </c>
      <c r="C63" s="4" t="s">
        <v>812</v>
      </c>
      <c r="F63" s="369">
        <v>0</v>
      </c>
      <c r="G63" s="275">
        <f t="shared" ref="G63:G64" si="5">IFERROR(F63/$F$65,0)</f>
        <v>0</v>
      </c>
      <c r="H63" s="21"/>
      <c r="I63" s="404">
        <v>0</v>
      </c>
      <c r="J63" s="21"/>
      <c r="K63" s="114">
        <f>G63*I63</f>
        <v>0</v>
      </c>
      <c r="L63" s="10"/>
      <c r="N63" s="392"/>
      <c r="O63" s="392"/>
    </row>
    <row r="64" spans="1:15" ht="13.5" thickBot="1">
      <c r="A64" s="399">
        <f t="shared" si="4"/>
        <v>36</v>
      </c>
      <c r="B64" s="5" t="s">
        <v>310</v>
      </c>
      <c r="C64" s="4" t="s">
        <v>813</v>
      </c>
      <c r="F64" s="405">
        <v>60</v>
      </c>
      <c r="G64" s="275">
        <f t="shared" si="5"/>
        <v>0.6</v>
      </c>
      <c r="H64" s="52"/>
      <c r="I64" s="406">
        <v>0.1082</v>
      </c>
      <c r="J64" s="4"/>
      <c r="K64" s="118">
        <f>G64*I64</f>
        <v>6.4920000000000005E-2</v>
      </c>
      <c r="L64" s="10"/>
      <c r="N64" s="392"/>
      <c r="O64" s="392"/>
    </row>
    <row r="65" spans="1:15">
      <c r="A65" s="399">
        <f t="shared" si="4"/>
        <v>37</v>
      </c>
      <c r="B65" s="12" t="s">
        <v>312</v>
      </c>
      <c r="C65" s="4" t="s">
        <v>814</v>
      </c>
      <c r="F65" s="111">
        <f>SUM(F62:F64)</f>
        <v>100</v>
      </c>
      <c r="G65" s="21"/>
      <c r="H65" s="10"/>
      <c r="I65" s="10"/>
      <c r="J65" s="10"/>
      <c r="K65" s="114">
        <f>SUM(K62:K64)</f>
        <v>8.3158850000000006E-2</v>
      </c>
      <c r="L65" s="115" t="s">
        <v>314</v>
      </c>
      <c r="N65" s="392"/>
      <c r="O65" s="392"/>
    </row>
    <row r="66" spans="1:15">
      <c r="A66" s="399"/>
      <c r="G66" s="21"/>
    </row>
    <row r="67" spans="1:15" ht="17.25" customHeight="1">
      <c r="A67" s="2" t="s">
        <v>815</v>
      </c>
    </row>
    <row r="68" spans="1:15">
      <c r="A68" s="174" t="s">
        <v>350</v>
      </c>
      <c r="B68" s="2" t="s">
        <v>816</v>
      </c>
    </row>
    <row r="69" spans="1:15">
      <c r="A69" s="174" t="s">
        <v>352</v>
      </c>
      <c r="B69" s="2" t="s">
        <v>817</v>
      </c>
    </row>
    <row r="70" spans="1:15" s="152" customFormat="1">
      <c r="A70" s="407" t="s">
        <v>354</v>
      </c>
      <c r="B70" s="152" t="s">
        <v>818</v>
      </c>
    </row>
    <row r="71" spans="1:15" s="152" customFormat="1">
      <c r="A71" s="408" t="s">
        <v>356</v>
      </c>
      <c r="B71" s="152" t="s">
        <v>819</v>
      </c>
    </row>
    <row r="72" spans="1:15" s="152" customFormat="1">
      <c r="A72" s="408"/>
    </row>
    <row r="73" spans="1:15" s="152" customFormat="1">
      <c r="A73" s="561"/>
      <c r="B73" s="152" t="s">
        <v>820</v>
      </c>
      <c r="D73" s="152" t="s">
        <v>821</v>
      </c>
    </row>
    <row r="74" spans="1:15" s="152" customFormat="1">
      <c r="A74" s="561"/>
      <c r="B74" s="152" t="s">
        <v>822</v>
      </c>
      <c r="D74" s="152" t="s">
        <v>823</v>
      </c>
    </row>
    <row r="75" spans="1:15" s="152" customFormat="1">
      <c r="A75" s="408"/>
      <c r="C75" s="142"/>
      <c r="D75" s="400"/>
      <c r="E75" s="400"/>
      <c r="F75" s="400"/>
      <c r="G75" s="400"/>
      <c r="H75" s="400"/>
      <c r="I75" s="400"/>
    </row>
    <row r="76" spans="1:15" s="152" customFormat="1">
      <c r="A76" s="408"/>
      <c r="C76" s="142"/>
      <c r="D76" s="400"/>
      <c r="E76" s="400"/>
      <c r="F76" s="400"/>
      <c r="G76" s="400"/>
      <c r="H76" s="400"/>
      <c r="I76" s="400"/>
    </row>
    <row r="77" spans="1:15">
      <c r="A77" s="399"/>
      <c r="C77" s="39"/>
      <c r="D77" s="40"/>
      <c r="E77" s="40"/>
      <c r="F77" s="40"/>
      <c r="G77" s="40"/>
      <c r="H77" s="40"/>
      <c r="I77" s="40"/>
    </row>
    <row r="78" spans="1:15">
      <c r="A78" s="399"/>
      <c r="C78" s="42"/>
      <c r="D78" s="40"/>
      <c r="E78" s="40"/>
      <c r="F78" s="40"/>
      <c r="G78" s="40"/>
      <c r="H78" s="40"/>
      <c r="I78" s="40"/>
    </row>
    <row r="79" spans="1:15">
      <c r="A79" s="399"/>
      <c r="C79" s="42"/>
      <c r="D79" s="40"/>
      <c r="E79" s="40"/>
      <c r="F79" s="40"/>
      <c r="G79" s="40"/>
      <c r="H79" s="40"/>
      <c r="I79" s="40"/>
    </row>
    <row r="80" spans="1:15">
      <c r="A80" s="399"/>
      <c r="C80" s="42"/>
      <c r="D80" s="40"/>
      <c r="E80" s="40"/>
      <c r="F80" s="40"/>
      <c r="G80" s="40"/>
      <c r="H80" s="40"/>
      <c r="I80" s="40"/>
    </row>
    <row r="81" spans="1:9">
      <c r="A81" s="399"/>
      <c r="C81" s="42"/>
      <c r="D81" s="40"/>
      <c r="E81" s="42"/>
      <c r="F81" s="40"/>
      <c r="G81" s="40"/>
      <c r="H81" s="40"/>
      <c r="I81" s="40"/>
    </row>
    <row r="82" spans="1:9">
      <c r="A82" s="399"/>
      <c r="C82" s="42"/>
      <c r="D82" s="40"/>
      <c r="E82" s="40"/>
      <c r="F82" s="40"/>
      <c r="G82" s="40"/>
      <c r="H82" s="40"/>
      <c r="I82" s="40"/>
    </row>
    <row r="83" spans="1:9">
      <c r="A83" s="399"/>
      <c r="C83" s="42"/>
      <c r="D83" s="40"/>
      <c r="E83" s="40"/>
      <c r="F83" s="40"/>
      <c r="G83" s="40"/>
      <c r="H83" s="40"/>
      <c r="I83" s="40"/>
    </row>
    <row r="84" spans="1:9">
      <c r="A84" s="399"/>
      <c r="C84" s="42"/>
      <c r="D84" s="40"/>
      <c r="E84" s="42"/>
      <c r="F84" s="42"/>
      <c r="G84" s="42"/>
      <c r="H84" s="188"/>
      <c r="I84" s="42"/>
    </row>
    <row r="85" spans="1:9">
      <c r="A85" s="399"/>
    </row>
    <row r="86" spans="1:9">
      <c r="A86" s="399"/>
    </row>
    <row r="87" spans="1:9">
      <c r="A87" s="399"/>
    </row>
  </sheetData>
  <mergeCells count="3">
    <mergeCell ref="A1:N1"/>
    <mergeCell ref="A2:N2"/>
    <mergeCell ref="A3:N3"/>
  </mergeCells>
  <pageMargins left="0.25" right="0.25" top="0.5" bottom="0.5" header="0.3" footer="0.3"/>
  <pageSetup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p r o p e r t i e s   x m l n s = " h t t p : / / w w w . i m a n a g e . c o m / w o r k / x m l s c h e m a " >  
     < d o c u m e n t i d > A c t i v e ! 2 6 0 9 0 . 3 < / d o c u m e n t i d >  
     < s e n d e r i d > G J O N E S < / s e n d e r i d >  
     < s e n d e r e m a i l > G J O N E S @ G R I D L I A N C E . C O M < / s e n d e r e m a i l >  
     < l a s t m o d i f i e d > 2 0 1 9 - 0 9 - 2 6 T 1 3 : 0 1 : 1 3 . 0 0 0 0 0 0 0 - 0 5 : 0 0 < / l a s t m o d i f i e d >  
 < / 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26862E41EF3B49BEFFB240C87F2FC1" ma:contentTypeVersion="10" ma:contentTypeDescription="Create a new document." ma:contentTypeScope="" ma:versionID="fe90bfc87f62626fa9146876b4490c2c">
  <xsd:schema xmlns:xsd="http://www.w3.org/2001/XMLSchema" xmlns:xs="http://www.w3.org/2001/XMLSchema" xmlns:p="http://schemas.microsoft.com/office/2006/metadata/properties" xmlns:ns3="9cbe8331-62a9-4747-83ed-e512637b45ac" targetNamespace="http://schemas.microsoft.com/office/2006/metadata/properties" ma:root="true" ma:fieldsID="cc19a45c4d18db6572ebaaa2c623348a" ns3:_="">
    <xsd:import namespace="9cbe8331-62a9-4747-83ed-e512637b45a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be8331-62a9-4747-83ed-e512637b45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9854F-0F75-4374-943E-3D766651DD67}">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9cbe8331-62a9-4747-83ed-e512637b45ac"/>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E1D68C68-D4CF-415A-91B8-650D6B361A92}">
  <ds:schemaRefs>
    <ds:schemaRef ds:uri="http://www.imanage.com/work/xmlschema"/>
  </ds:schemaRefs>
</ds:datastoreItem>
</file>

<file path=customXml/itemProps3.xml><?xml version="1.0" encoding="utf-8"?>
<ds:datastoreItem xmlns:ds="http://schemas.openxmlformats.org/officeDocument/2006/customXml" ds:itemID="{38CB8333-DA72-4333-BB4C-2F177D589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be8331-62a9-4747-83ed-e512637b45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2B11694-332E-472D-AF1D-43C2BE6F58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20</vt:i4>
      </vt:variant>
    </vt:vector>
  </HeadingPairs>
  <TitlesOfParts>
    <vt:vector size="39" baseType="lpstr">
      <vt:lpstr>9A-Non-MISO ATRR</vt:lpstr>
      <vt:lpstr>9B-Non-MISO Project Rev Req</vt:lpstr>
      <vt:lpstr>9C-Non-MISO Project True-up</vt:lpstr>
      <vt:lpstr>Attachment O</vt:lpstr>
      <vt:lpstr>1-Project Rev Req</vt:lpstr>
      <vt:lpstr>2-Incentive ROE</vt:lpstr>
      <vt:lpstr>3-Project True-up</vt:lpstr>
      <vt:lpstr>4- Rate Base</vt:lpstr>
      <vt:lpstr>5-P3 Support</vt:lpstr>
      <vt:lpstr>6-Dep Rates</vt:lpstr>
      <vt:lpstr>7 - PBOP</vt:lpstr>
      <vt:lpstr>8a-ADIT Projection</vt:lpstr>
      <vt:lpstr>8b-ADIT Projection Proration</vt:lpstr>
      <vt:lpstr>8c- ADIT BOY</vt:lpstr>
      <vt:lpstr>8d- ADIT EOY</vt:lpstr>
      <vt:lpstr>8e-ADIT True-up</vt:lpstr>
      <vt:lpstr>8f-ADIT True-up Proration</vt:lpstr>
      <vt:lpstr>10 - Income Tax Allowance </vt:lpstr>
      <vt:lpstr>10a - Actual ownership</vt:lpstr>
      <vt:lpstr>'1-Project Rev Req'!Print_Area</vt:lpstr>
      <vt:lpstr>'3-Project True-up'!Print_Area</vt:lpstr>
      <vt:lpstr>'4- Rate Base'!Print_Area</vt:lpstr>
      <vt:lpstr>'5-P3 Support'!Print_Area</vt:lpstr>
      <vt:lpstr>'6-Dep Rates'!Print_Area</vt:lpstr>
      <vt:lpstr>'7 - PBOP'!Print_Area</vt:lpstr>
      <vt:lpstr>'8a-ADIT Projection'!Print_Area</vt:lpstr>
      <vt:lpstr>'8b-ADIT Projection Proration'!Print_Area</vt:lpstr>
      <vt:lpstr>'8c- ADIT BOY'!Print_Area</vt:lpstr>
      <vt:lpstr>'8d- ADIT EOY'!Print_Area</vt:lpstr>
      <vt:lpstr>'8e-ADIT True-up'!Print_Area</vt:lpstr>
      <vt:lpstr>'8f-ADIT True-up Proration'!Print_Area</vt:lpstr>
      <vt:lpstr>'9A-Non-MISO ATRR'!Print_Area</vt:lpstr>
      <vt:lpstr>'9B-Non-MISO Project Rev Req'!Print_Area</vt:lpstr>
      <vt:lpstr>'9C-Non-MISO Project True-up'!Print_Area</vt:lpstr>
      <vt:lpstr>'Attachment O'!Print_Area</vt:lpstr>
      <vt:lpstr>'8a-ADIT Projection'!Print_Titles</vt:lpstr>
      <vt:lpstr>'8b-ADIT Projection Proration'!Print_Titles</vt:lpstr>
      <vt:lpstr>'8e-ADIT True-up'!Print_Titles</vt:lpstr>
      <vt:lpstr>'8f-ADIT True-up Proration'!Print_Titles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2019-09-26T18:00:56Z</dcterms:created>
  <dcterms:modified xsi:type="dcterms:W3CDTF">2020-02-19T02:50:47Z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0x0101002026862E41EF3B49BEFFB240C87F2FC1</vt:lpwstr>
  </property>
</Properties>
</file>