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gridliance-my.sharepoint.com/personal/julio_aguirre_gridliance_com/Documents/Documents/True-Up Filings/2020 True-Up filed in 2021/GLH/Non-MISO/"/>
    </mc:Choice>
  </mc:AlternateContent>
  <xr:revisionPtr revIDLastSave="41" documentId="8_{E79A529E-52AD-4591-9EF4-7DBF10E7D5FF}" xr6:coauthVersionLast="47" xr6:coauthVersionMax="47" xr10:uidLastSave="{8995D694-A893-4426-9AC4-888FAB9195AE}"/>
  <bookViews>
    <workbookView xWindow="28680" yWindow="-120" windowWidth="29040" windowHeight="15840" tabRatio="815" xr2:uid="{698FCCAD-3460-4C8A-A158-D385D6B5105F}"/>
  </bookViews>
  <sheets>
    <sheet name="9A-Non-MISO ATRR" sheetId="1" r:id="rId1"/>
    <sheet name="9B-Non-MISO Project Rev Req" sheetId="2" r:id="rId2"/>
    <sheet name="9C-Non-MISO Project True-up" sheetId="8" r:id="rId3"/>
    <sheet name="Attachment O" sheetId="9" r:id="rId4"/>
    <sheet name="1-Project Rev Req" sheetId="10" r:id="rId5"/>
    <sheet name="2-Incentive ROE" sheetId="11" r:id="rId6"/>
    <sheet name="3-Project True-up" sheetId="12" r:id="rId7"/>
    <sheet name="4- Rate Base" sheetId="3" r:id="rId8"/>
    <sheet name="5-P3 Support" sheetId="4" r:id="rId9"/>
    <sheet name="6-Dep Rates" sheetId="13" r:id="rId10"/>
    <sheet name="7 - PBOP" sheetId="14" r:id="rId11"/>
    <sheet name="8a-ADIT Projection" sheetId="5" r:id="rId12"/>
    <sheet name="8b-ADIT Projection Proration" sheetId="6" r:id="rId13"/>
    <sheet name="8c- ADIT BOY" sheetId="15" r:id="rId14"/>
    <sheet name="8d- ADIT EOY" sheetId="16" r:id="rId15"/>
    <sheet name="8e-ADIT True-up" sheetId="17" r:id="rId16"/>
    <sheet name="8f-ADIT True-up Proration" sheetId="18" r:id="rId17"/>
    <sheet name="10 - Income Tax Allowance " sheetId="7" r:id="rId18"/>
    <sheet name="10a - Actual ownership"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_C_._RIGHT_">#REF!</definedName>
    <definedName name="\0">#N/A</definedName>
    <definedName name="\1">'[1]Header Data'!#REF!</definedName>
    <definedName name="\b">#N/A</definedName>
    <definedName name="\C">#REF!</definedName>
    <definedName name="\D">#REF!</definedName>
    <definedName name="\E">#REF!</definedName>
    <definedName name="\f">#N/A</definedName>
    <definedName name="\m">#N/A</definedName>
    <definedName name="\p">#REF!</definedName>
    <definedName name="\S">#REF!</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#REF!</definedName>
    <definedName name="\V">#REF!</definedName>
    <definedName name="\W">#REF!</definedName>
    <definedName name="____C_._DOWN_">#REF!</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A1991" hidden="1">[2]Sheet3!#REF!</definedName>
    <definedName name="__123Graph_A1992" hidden="1">[2]Sheet3!#REF!</definedName>
    <definedName name="__123Graph_A1993" hidden="1">[2]Sheet3!#REF!</definedName>
    <definedName name="__123Graph_A1994" hidden="1">[2]Sheet3!#REF!</definedName>
    <definedName name="__123Graph_A1995" hidden="1">[2]Sheet3!#REF!</definedName>
    <definedName name="__123Graph_A1996" hidden="1">[2]Sheet3!#REF!</definedName>
    <definedName name="__123Graph_ABAR" hidden="1">[2]Sheet3!#REF!</definedName>
    <definedName name="__123Graph_B" hidden="1">#REF!</definedName>
    <definedName name="__123Graph_B1991" hidden="1">[2]Sheet3!#REF!</definedName>
    <definedName name="__123Graph_B1992" hidden="1">[2]Sheet3!#REF!</definedName>
    <definedName name="__123Graph_B1993" hidden="1">[2]Sheet3!#REF!</definedName>
    <definedName name="__123Graph_B1994" hidden="1">[2]Sheet3!#REF!</definedName>
    <definedName name="__123Graph_B1995" hidden="1">[2]Sheet3!#REF!</definedName>
    <definedName name="__123Graph_B1996" hidden="1">[2]Sheet3!#REF!</definedName>
    <definedName name="__123Graph_BBAR" hidden="1">[2]Sheet3!#REF!</definedName>
    <definedName name="__123Graph_C" hidden="1">#REF!</definedName>
    <definedName name="__123Graph_CBAR" hidden="1">[2]Sheet3!#REF!</definedName>
    <definedName name="__123Graph_D" hidden="1">'[3]AL2 151'!#REF!</definedName>
    <definedName name="__123Graph_DBAR" hidden="1">[2]Sheet3!#REF!</definedName>
    <definedName name="__123Graph_E" hidden="1">#REF!</definedName>
    <definedName name="__123Graph_EBAR" hidden="1">[2]Sheet3!#REF!</definedName>
    <definedName name="__123Graph_F" hidden="1">'[3]AL2 151'!#REF!</definedName>
    <definedName name="__123Graph_FBAR" hidden="1">[2]Sheet3!#REF!</definedName>
    <definedName name="__123Graph_X" hidden="1">#REF!</definedName>
    <definedName name="__123Graph_X1991" hidden="1">[2]Sheet3!#REF!</definedName>
    <definedName name="__123Graph_X1992" hidden="1">[2]Sheet3!#REF!</definedName>
    <definedName name="__123Graph_X1993" hidden="1">[2]Sheet3!#REF!</definedName>
    <definedName name="__123Graph_X1994" hidden="1">[2]Sheet3!#REF!</definedName>
    <definedName name="__123Graph_X1995" hidden="1">[2]Sheet3!#REF!</definedName>
    <definedName name="__123Graph_X1996" hidden="1">[2]Sheet3!#REF!</definedName>
    <definedName name="__CPK1">#REF!</definedName>
    <definedName name="__CPK2">#REF!</definedName>
    <definedName name="__CPK3">#REF!</definedName>
    <definedName name="__EGR1">#N/A</definedName>
    <definedName name="__EGR2">#N/A</definedName>
    <definedName name="__EGR3">#N/A</definedName>
    <definedName name="_101__123Graph_BCHART_2" hidden="1">'[4]Subs Backlog'!$N$68:$N$74</definedName>
    <definedName name="_104__123Graph_BCHART_20" hidden="1">'[4]GPS vs Emb GM'!$P$11:$R$11</definedName>
    <definedName name="_107__123Graph_BCHART_3" hidden="1">'[4]GPS vs Emb GM'!$P$10:$R$10</definedName>
    <definedName name="_110__123Graph_BCHART_6" hidden="1">'[4]Subs Backlog'!$AE$67:$AE$73</definedName>
    <definedName name="_113__123Graph_BCHART_7" hidden="1">'[4]GPS vs Emb GM'!$P$45:$R$45</definedName>
    <definedName name="_116__123Graph_BCHART_8" hidden="1">'[4]Subs Backlog'!$N$68:$N$75</definedName>
    <definedName name="_119__123Graph_BCHART_9" hidden="1">'[4]GPS vs Emb GM'!$P$7:$T$7</definedName>
    <definedName name="_122__123Graph_CCHART_1" hidden="1">'[4]Subs Backlog'!$E$68:$E$74</definedName>
    <definedName name="_123Graph_B.1" hidden="1">#REF!</definedName>
    <definedName name="_125__123Graph_CCHART_11" hidden="1">'[4]GPS vs Emb GM'!$P$16:$T$16</definedName>
    <definedName name="_128__123Graph_CCHART_12" hidden="1">'[4]Subs Backlog'!$O$68:$O$76</definedName>
    <definedName name="_131__123Graph_CCHART_2" hidden="1">'[4]Subs Backlog'!$O$68:$O$74</definedName>
    <definedName name="_134__123Graph_CCHART_20" hidden="1">'[4]GPS vs Emb GM'!$P$12:$R$12</definedName>
    <definedName name="_137__123Graph_CCHART_7" hidden="1">'[4]GPS vs Emb GM'!$P$46:$R$46</definedName>
    <definedName name="_140__123Graph_CCHART_8" hidden="1">'[4]Subs Backlog'!$O$68:$O$75</definedName>
    <definedName name="_143__123Graph_DCHART_1" hidden="1">'[4]Subs Backlog'!$F$68:$F$74</definedName>
    <definedName name="_146__123Graph_DCHART_12" hidden="1">'[4]Subs Backlog'!$P$68:$P$76</definedName>
    <definedName name="_149__123Graph_DCHART_2" hidden="1">'[4]Subs Backlog'!$P$68:$P$74</definedName>
    <definedName name="_152__123Graph_DCHART_8" hidden="1">'[4]Subs Backlog'!$P$68:$P$75</definedName>
    <definedName name="_155__123Graph_ECHART_12" hidden="1">'[4]Subs Backlog'!$Q$68:$Q$76</definedName>
    <definedName name="_158__123Graph_ECHART_2" hidden="1">'[4]Subs Backlog'!$Q$68:$Q$74</definedName>
    <definedName name="_161__123Graph_ECHART_8" hidden="1">'[4]Subs Backlog'!$Q$68:$Q$75</definedName>
    <definedName name="_164__123Graph_FCHART_1" hidden="1">'[4]Subs Backlog'!$G$68:$G$74</definedName>
    <definedName name="_167__123Graph_XCHART_10" hidden="1">'[4]Subs Backlog'!$AA$67:$AA$74</definedName>
    <definedName name="_17__123Graph_ACHART_1" hidden="1">'[4]Subs Backlog'!$C$68:$C$74</definedName>
    <definedName name="_170__123Graph_XCHART_11" hidden="1">'[4]Subs Backlog'!$AA$67:$AA$74</definedName>
    <definedName name="_173__123Graph_XCHART_12" hidden="1">'[4]Subs Backlog'!$L$68:$L$76</definedName>
    <definedName name="_176__123Graph_XCHART_13" hidden="1">'[4]Subs Backlog'!$AA$67:$AA$75</definedName>
    <definedName name="_179__123Graph_XCHART_14" hidden="1">'[4]Subs Backlog'!$AA$67:$AA$75</definedName>
    <definedName name="_182__123Graph_XCHART_15" hidden="1">'[4]Subs Backlog'!$AA$67:$AA$75</definedName>
    <definedName name="_185__123Graph_XCHART_16" hidden="1">'[4]GPS vs Emb GM'!$Q$48:$S$48</definedName>
    <definedName name="_188__123Graph_XCHART_18" hidden="1">'[4]GPS vs Emb GM'!$P$81:$R$81</definedName>
    <definedName name="_191__123Graph_XCHART_2" hidden="1">'[4]Subs Backlog'!$L$68:$L$74</definedName>
    <definedName name="_194__123Graph_XCHART_20" hidden="1">'[4]GPS vs Emb GM'!$P$9:$R$9</definedName>
    <definedName name="_197__123Graph_XCHART_3" hidden="1">'[4]Subs Backlog'!$K$258:$K$264</definedName>
    <definedName name="_1E_1">#N/A</definedName>
    <definedName name="_20__123Graph_ACHART_10" hidden="1">'[4]Subs Backlog'!$AD$67:$AD$74</definedName>
    <definedName name="_200__123Graph_XCHART_4" hidden="1">'[4]Subs Backlog'!$O$258:$O$264</definedName>
    <definedName name="_203__123Graph_XCHART_5" hidden="1">'[4]Subs Backlog'!$AA$67:$AA$73</definedName>
    <definedName name="_206__123Graph_XCHART_6" hidden="1">'[4]Subs Backlog'!$AA$67:$AA$73</definedName>
    <definedName name="_209__123Graph_XCHART_7" hidden="1">'[4]Subs Backlog'!$AA$67:$AA$73</definedName>
    <definedName name="_212__123Graph_XCHART_8" hidden="1">'[4]Subs Backlog'!$L$68:$L$75</definedName>
    <definedName name="_215__123Graph_XCHART_9" hidden="1">'[4]Subs Backlog'!$AA$67:$AA$74</definedName>
    <definedName name="_23__123Graph_ACHART_11" hidden="1">'[4]Subs Backlog'!$AF$67:$AF$74</definedName>
    <definedName name="_26__123Graph_ACHART_12" hidden="1">'[4]Subs Backlog'!$M$68:$M$76</definedName>
    <definedName name="_29__123Graph_ACHART_13" hidden="1">'[4]Subs Backlog'!$AC$67:$AC$75</definedName>
    <definedName name="_31_Dec_00">#REF!</definedName>
    <definedName name="_31_Jan_01">#REF!</definedName>
    <definedName name="_32__123Graph_ACHART_14" hidden="1">'[4]Subs Backlog'!$AD$67:$AD$75</definedName>
    <definedName name="_35__123Graph_ACHART_15" hidden="1">'[4]Subs Backlog'!$AF$67:$AF$75</definedName>
    <definedName name="_38__123Graph_ACHART_16" hidden="1">'[4]GPS vs Emb GM'!$Q$49:$S$49</definedName>
    <definedName name="_41__123Graph_ACHART_17" hidden="1">'[4]GPS vs Emb GM'!$P$77:$R$77</definedName>
    <definedName name="_44__123Graph_ACHART_18" hidden="1">'[4]GPS vs Emb GM'!$P$82:$R$82</definedName>
    <definedName name="_47__123Graph_ACHART_19" hidden="1">'[4]GPS vs Emb GM'!$P$7:$R$7</definedName>
    <definedName name="_50__123Graph_ACHART_2" hidden="1">'[4]Subs Backlog'!$M$68:$M$74</definedName>
    <definedName name="_53__123Graph_ACHART_20" hidden="1">'[4]GPS vs Emb GM'!$P$10:$R$10</definedName>
    <definedName name="_56__123Graph_ACHART_3" hidden="1">'[4]Subs Backlog'!$L$258:$L$264</definedName>
    <definedName name="_59__123Graph_ACHART_4" hidden="1">'[4]Subs Backlog'!$P$258:$P$264</definedName>
    <definedName name="_62__123Graph_ACHART_5" hidden="1">'[4]Subs Backlog'!$AD$67:$AD$73</definedName>
    <definedName name="_65__123Graph_ACHART_6" hidden="1">'[4]Subs Backlog'!$AF$67:$AF$73</definedName>
    <definedName name="_68__123Graph_ACHART_7" hidden="1">'[4]Subs Backlog'!$AC$67:$AC$73</definedName>
    <definedName name="_71__123Graph_ACHART_8" hidden="1">'[4]Subs Backlog'!$M$68:$M$75</definedName>
    <definedName name="_74__123Graph_ACHART_9" hidden="1">'[4]Subs Backlog'!$AC$67:$AC$74</definedName>
    <definedName name="_77__123Graph_BCHART_1" hidden="1">'[4]Subs Backlog'!$D$68:$D$74</definedName>
    <definedName name="_80__123Graph_BCHART_11" hidden="1">'[4]Subs Backlog'!$AE$67:$AE$74</definedName>
    <definedName name="_83__123Graph_BCHART_12" hidden="1">'[4]Subs Backlog'!$N$68:$N$76</definedName>
    <definedName name="_86__123Graph_BCHART_13" hidden="1">'[4]GPS vs Emb GM'!$Q$42:$W$42</definedName>
    <definedName name="_89__123Graph_BCHART_14" hidden="1">'[4]GPS vs Emb GM'!$Q$46:$W$46</definedName>
    <definedName name="_92__123Graph_BCHART_15" hidden="1">'[4]Subs Backlog'!$AE$67:$AE$75</definedName>
    <definedName name="_95__123Graph_BCHART_16" hidden="1">'[4]GPS vs Emb GM'!$Q$50:$S$50</definedName>
    <definedName name="_98__123Graph_BCHART_17" hidden="1">'[4]GPS vs Emb GM'!$P$78:$R$78</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Check_Input">#REF!</definedName>
    <definedName name="_Checks">#REF!</definedName>
    <definedName name="_CPK1">#REF!</definedName>
    <definedName name="_CPK2">#REF!</definedName>
    <definedName name="_CPK3">#REF!</definedName>
    <definedName name="_CurrCase">[5]DANDE!#REF!</definedName>
    <definedName name="_Data_Query">#REF!</definedName>
    <definedName name="_Data_Query2">#REF!</definedName>
    <definedName name="_DATE_87__?___?">#REF!</definedName>
    <definedName name="_Dist_Bin" hidden="1">#REF!</definedName>
    <definedName name="_Dist_Values" hidden="1">#REF!</definedName>
    <definedName name="_EGR1">#N/A</definedName>
    <definedName name="_EGR2">#N/A</definedName>
    <definedName name="_EGR3">#N/A</definedName>
    <definedName name="_End_Yr">#REF!</definedName>
    <definedName name="_EndYr2">#REF!</definedName>
    <definedName name="_FC_ID">#REF!</definedName>
    <definedName name="_FC_Query">#REF!</definedName>
    <definedName name="_FC_Table">#REF!</definedName>
    <definedName name="_Fill" localSheetId="11" hidden="1">#REF!</definedName>
    <definedName name="_Fill" localSheetId="12" hidden="1">#REF!</definedName>
    <definedName name="_Fill" localSheetId="15" hidden="1">#REF!</definedName>
    <definedName name="_Fill" localSheetId="16" hidden="1">#REF!</definedName>
    <definedName name="_Fill" localSheetId="0" hidden="1">#REF!</definedName>
    <definedName name="_Fill" localSheetId="2" hidden="1">#REF!</definedName>
    <definedName name="_Fill" localSheetId="3" hidden="1">#REF!</definedName>
    <definedName name="_Fill" hidden="1">#REF!</definedName>
    <definedName name="_Fill.1" hidden="1">#REF!</definedName>
    <definedName name="_xlnm._FilterDatabase" hidden="1">#REF!</definedName>
    <definedName name="_FS_R">#REF!</definedName>
    <definedName name="_Key.1" hidden="1">#REF!</definedName>
    <definedName name="_Key1" hidden="1">#REF!</definedName>
    <definedName name="_Key2" hidden="1">#REF!</definedName>
    <definedName name="_lookup1">#REF!</definedName>
    <definedName name="_lookup2">#REF!</definedName>
    <definedName name="_lookup3">#REF!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Meter_Pt">#REF!</definedName>
    <definedName name="_Order.1" hidden="1">255</definedName>
    <definedName name="_Order1" hidden="1">255</definedName>
    <definedName name="_Order2" hidden="1">255</definedName>
    <definedName name="_Parse_In" hidden="1">#REF!</definedName>
    <definedName name="_Parse_Out" hidden="1">#REF!</definedName>
    <definedName name="_PPR_?__AGAQ">#REF!</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uery1a">#REF!</definedName>
    <definedName name="_Query1b">#REF!</definedName>
    <definedName name="_Query2a">#REF!</definedName>
    <definedName name="_Query2b">#REF!</definedName>
    <definedName name="_RE_">#REF!</definedName>
    <definedName name="_Regression_Int">1</definedName>
    <definedName name="_Regression_Out" hidden="1">#REF!</definedName>
    <definedName name="_Regression_X" hidden="1">#REF!</definedName>
    <definedName name="_Regression_Y" hidden="1">#REF!</definedName>
    <definedName name="_RFD1__WCS10_">#REF!</definedName>
    <definedName name="_RunCase">[5]DANDE!#REF!</definedName>
    <definedName name="_Sort" hidden="1">#REF!</definedName>
    <definedName name="_Sort.1" hidden="1">#REF!</definedName>
    <definedName name="_Split_Mthd">#REF!</definedName>
    <definedName name="_Start_Yr">#REF!</definedName>
    <definedName name="_StartYr2">#REF!</definedName>
    <definedName name="_Table1_Out" hidden="1">#REF!</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CS_?__">#REF!</definedName>
    <definedName name="_WIC_">#REF!</definedName>
    <definedName name="_WIR_">#REF!</definedName>
    <definedName name="_wrn1" hidden="1">{#N/A,#N/A,FALSE,"MBR PCS";#N/A,#N/A,FALSE,"MBR CIG";#N/A,#N/A,FALSE,"MBR iDEN";#N/A,#N/A,FALSE,"MBR_FWT";#N/A,#N/A,FALSE,"MBR TOTAL"}</definedName>
    <definedName name="_xx" hidden="1">#REF!</definedName>
    <definedName name="aaa" localSheetId="16" hidden="1">{#N/A,#N/A,FALSE,"O&amp;M by processes";#N/A,#N/A,FALSE,"Elec Act vs Bud";#N/A,#N/A,FALSE,"G&amp;A";#N/A,#N/A,FALSE,"BGS";#N/A,#N/A,FALSE,"Res Cost"}</definedName>
    <definedName name="aaa" localSheetId="0" hidden="1">{#N/A,#N/A,FALSE,"O&amp;M by processes";#N/A,#N/A,FALSE,"Elec Act vs Bud";#N/A,#N/A,FALSE,"G&amp;A";#N/A,#N/A,FALSE,"BGS";#N/A,#N/A,FALSE,"Res Cost"}</definedName>
    <definedName name="aaa" localSheetId="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6" hidden="1">{#N/A,#N/A,FALSE,"O&amp;M by processes";#N/A,#N/A,FALSE,"Elec Act vs Bud";#N/A,#N/A,FALSE,"G&amp;A";#N/A,#N/A,FALSE,"BGS";#N/A,#N/A,FALSE,"Res Cost"}</definedName>
    <definedName name="aaaaaaaaaaaaaaa" localSheetId="0" hidden="1">{#N/A,#N/A,FALSE,"O&amp;M by processes";#N/A,#N/A,FALSE,"Elec Act vs Bud";#N/A,#N/A,FALSE,"G&amp;A";#N/A,#N/A,FALSE,"BGS";#N/A,#N/A,FALSE,"Res Cost"}</definedName>
    <definedName name="aaaaaaaaaaaaaaa" localSheetId="3" hidden="1">{#N/A,#N/A,FALSE,"O&amp;M by processes";#N/A,#N/A,FALSE,"Elec Act vs Bud";#N/A,#N/A,FALSE,"G&amp;A";#N/A,#N/A,FALSE,"BGS";#N/A,#N/A,FALSE,"Res Cost"}</definedName>
    <definedName name="aaaaaaaaaaaaaaa" hidden="1">{#N/A,#N/A,FALSE,"O&amp;M by processes";#N/A,#N/A,FALSE,"Elec Act vs Bud";#N/A,#N/A,FALSE,"G&amp;A";#N/A,#N/A,FALSE,"BGS";#N/A,#N/A,FALSE,"Res Cost"}</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ove">OFFSET(!A1,-1,0)</definedName>
    <definedName name="ACCTTextLen">#REF!</definedName>
    <definedName name="ACTTextLen">#REF!</definedName>
    <definedName name="ACwvu.earnings." hidden="1">#REF!</definedName>
    <definedName name="adas" hidden="1">{#N/A,#N/A,FALSE,"Balance SPS";#N/A,#N/A,FALSE,"P&amp;L_SPS"}</definedName>
    <definedName name="ADIT_TST">'[6]A.2 PTP'!$P$55</definedName>
    <definedName name="Adjusted_KW">[7]CALCULATIONS!$C$29</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TL">'[6]C. Input'!$F$144</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_TST">'[6]A.2 PTP'!$P$111</definedName>
    <definedName name="agfd" hidden="1">{#N/A,#N/A,FALSE,"Balance SPS";#N/A,#N/A,FALSE,"P&amp;L_SPS"}</definedName>
    <definedName name="AGXP">'[6]C. Input'!$F$201</definedName>
    <definedName name="Alignment" hidden="1">"a1"</definedName>
    <definedName name="Allocator.gross.plant">'[8]Appendix A'!$H$30</definedName>
    <definedName name="Allocator.net.plant">'[8]Appendix A'!$H$33</definedName>
    <definedName name="Allocator.wages.salary">'[8]Appendix A'!$H$18</definedName>
    <definedName name="ALOC">#REF!</definedName>
    <definedName name="ALOC_2">#REF!</definedName>
    <definedName name="Amort_04">'[6]D.16.1.2 Table B 2004'!$A$24:$U$35</definedName>
    <definedName name="Amort_05">'[6]D.16.1.3 Table B 2005'!$A$24:$U$36</definedName>
    <definedName name="Amort_06">'[6]D.16.1.4 Table B 2006'!$A$24:$U$37</definedName>
    <definedName name="Amort_07">'[6]D.16.1.5 Table B 2007'!$A$24:$U$38</definedName>
    <definedName name="Amort_08">'[6]D.16.1.6 Table B 2008'!$A$24:$U$39</definedName>
    <definedName name="Amort_09">'[6]D.16.1.7 Table B 2009'!$A$24:$U$39</definedName>
    <definedName name="Amort_10">'[6]D.16.1.8 Table B 2010'!$A$24:$U$39</definedName>
    <definedName name="Amort_11">'[6]D.16.1.9 Table B 2011'!$A$24:$U$39</definedName>
    <definedName name="Amort_12">'[6]D.16.1.10 Table B 2012'!$A$24:$U$39</definedName>
    <definedName name="AMOUNT">#REF!</definedName>
    <definedName name="anscount" hidden="1">1</definedName>
    <definedName name="APR">#N/A</definedName>
    <definedName name="ARB_04">'[6]D.16.1.2 Table B 2004'!$A$39:$U$50</definedName>
    <definedName name="ARB_05">'[6]D.16.1.3 Table B 2005'!$A$40:$U$52</definedName>
    <definedName name="ARB_06">'[6]D.16.1.4 Table B 2006'!$A$41:$U$54</definedName>
    <definedName name="ARB_07">'[6]D.16.1.5 Table B 2007'!$A$42:$U$56</definedName>
    <definedName name="ARB_08">'[6]D.16.1.6 Table B 2008'!$A$43:$U$58</definedName>
    <definedName name="ARB_09">'[6]D.16.1.7 Table B 2009'!$A$43:$U$58</definedName>
    <definedName name="ARB_10">'[6]D.16.1.8 Table B 2010'!$A$43:$U$58</definedName>
    <definedName name="ARB_11">'[6]D.16.1.9 Table B 2011'!$A$43:$U$58</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A">#N/A</definedName>
    <definedName name="as" hidden="1">{#N/A,#N/A,FALSE,"BACK UP CIG"}</definedName>
    <definedName name="AS2DocOpenMode" hidden="1">"AS2DocumentEdit"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_LEXTERNAL">#REF!</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hidden="1">{#N/A,#N/A,FALSE,"MBR PCS";#N/A,#N/A,FALSE,"MBR CIG";#N/A,#N/A,FALSE,"MBR iDEN";#N/A,#N/A,FALSE,"MBR_FWT";#N/A,#N/A,FALSE,"MBR TOTAL"}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hidden="1">{#N/A,#N/A,FALSE,"Headcount_PCS ";#N/A,#N/A,FALSE,"Headcount CIG";#N/A,#N/A,FALSE,"Headcount iDEN";#N/A,#N/A,FALSE,"JAG PLANT TREND"}</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gasd" hidden="1">{#N/A,#N/A,FALSE,"BS_ESG ";#N/A,#N/A,FALSE,"P&amp;L_ESG"}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UG">#N/A</definedName>
    <definedName name="AVG">#N/A</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#REF!</definedName>
    <definedName name="BadErrMsg">#REF!</definedName>
    <definedName name="Balances">#REF!</definedName>
    <definedName name="BalanceSheet">#REF!</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6" hidden="1">{#N/A,#N/A,FALSE,"O&amp;M by processes";#N/A,#N/A,FALSE,"Elec Act vs Bud";#N/A,#N/A,FALSE,"G&amp;A";#N/A,#N/A,FALSE,"BGS";#N/A,#N/A,FALSE,"Res Cost"}</definedName>
    <definedName name="bbb" localSheetId="0" hidden="1">{#N/A,#N/A,FALSE,"O&amp;M by processes";#N/A,#N/A,FALSE,"Elec Act vs Bud";#N/A,#N/A,FALSE,"G&amp;A";#N/A,#N/A,FALSE,"BGS";#N/A,#N/A,FALSE,"Res Cost"}</definedName>
    <definedName name="bbb" localSheetId="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6" hidden="1">{#N/A,#N/A,FALSE,"O&amp;M by processes";#N/A,#N/A,FALSE,"Elec Act vs Bud";#N/A,#N/A,FALSE,"G&amp;A";#N/A,#N/A,FALSE,"BGS";#N/A,#N/A,FALSE,"Res Cost"}</definedName>
    <definedName name="bbbb" localSheetId="0" hidden="1">{#N/A,#N/A,FALSE,"O&amp;M by processes";#N/A,#N/A,FALSE,"Elec Act vs Bud";#N/A,#N/A,FALSE,"G&amp;A";#N/A,#N/A,FALSE,"BGS";#N/A,#N/A,FALSE,"Res Cost"}</definedName>
    <definedName name="bbbb" localSheetId="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6" hidden="1">{#N/A,#N/A,FALSE,"O&amp;M by processes";#N/A,#N/A,FALSE,"Elec Act vs Bud";#N/A,#N/A,FALSE,"G&amp;A";#N/A,#N/A,FALSE,"BGS";#N/A,#N/A,FALSE,"Res Cost"}</definedName>
    <definedName name="bbbbb" localSheetId="0" hidden="1">{#N/A,#N/A,FALSE,"O&amp;M by processes";#N/A,#N/A,FALSE,"Elec Act vs Bud";#N/A,#N/A,FALSE,"G&amp;A";#N/A,#N/A,FALSE,"BGS";#N/A,#N/A,FALSE,"Res Cost"}</definedName>
    <definedName name="bbbbb" localSheetId="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6" hidden="1">{#N/A,#N/A,FALSE,"O&amp;M by processes";#N/A,#N/A,FALSE,"Elec Act vs Bud";#N/A,#N/A,FALSE,"G&amp;A";#N/A,#N/A,FALSE,"BGS";#N/A,#N/A,FALSE,"Res Cost"}</definedName>
    <definedName name="bbc" localSheetId="0" hidden="1">{#N/A,#N/A,FALSE,"O&amp;M by processes";#N/A,#N/A,FALSE,"Elec Act vs Bud";#N/A,#N/A,FALSE,"G&amp;A";#N/A,#N/A,FALSE,"BGS";#N/A,#N/A,FALSE,"Res Cost"}</definedName>
    <definedName name="bbc" localSheetId="3" hidden="1">{#N/A,#N/A,FALSE,"O&amp;M by processes";#N/A,#N/A,FALSE,"Elec Act vs Bud";#N/A,#N/A,FALSE,"G&amp;A";#N/A,#N/A,FALSE,"BGS";#N/A,#N/A,FALSE,"Res Cost"}</definedName>
    <definedName name="bbc" hidden="1">{#N/A,#N/A,FALSE,"O&amp;M by processes";#N/A,#N/A,FALSE,"Elec Act vs Bud";#N/A,#N/A,FALSE,"G&amp;A";#N/A,#N/A,FALSE,"BGS";#N/A,#N/A,FALSE,"Res Cost"}</definedName>
    <definedName name="below">OFFSET(!A1,1,0)</definedName>
    <definedName name="Bio_Flora">#REF!</definedName>
    <definedName name="BLANK_ACCOUNT">#REF!</definedName>
    <definedName name="BNE_MESSAGES_HIDDEN" hidden="1">#REF!</definedName>
    <definedName name="Bridge" hidden="1">{"'Highlights'!$A$1:$M$123"}</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_">'[9]RR 8 2'!#REF!</definedName>
    <definedName name="CALC_C03">#REF!</definedName>
    <definedName name="CALC_C04">#REF!</definedName>
    <definedName name="CALC_C09">#REF!</definedName>
    <definedName name="CALC_LRG">#REF!</definedName>
    <definedName name="CALC_XLG">#REF!</definedName>
    <definedName name="can" localSheetId="16" hidden="1">{#N/A,#N/A,FALSE,"O&amp;M by processes";#N/A,#N/A,FALSE,"Elec Act vs Bud";#N/A,#N/A,FALSE,"G&amp;A";#N/A,#N/A,FALSE,"BGS";#N/A,#N/A,FALSE,"Res Cost"}</definedName>
    <definedName name="can" localSheetId="0" hidden="1">{#N/A,#N/A,FALSE,"O&amp;M by processes";#N/A,#N/A,FALSE,"Elec Act vs Bud";#N/A,#N/A,FALSE,"G&amp;A";#N/A,#N/A,FALSE,"BGS";#N/A,#N/A,FALSE,"Res Cost"}</definedName>
    <definedName name="can" localSheetId="3" hidden="1">{#N/A,#N/A,FALSE,"O&amp;M by processes";#N/A,#N/A,FALSE,"Elec Act vs Bud";#N/A,#N/A,FALSE,"G&amp;A";#N/A,#N/A,FALSE,"BGS";#N/A,#N/A,FALSE,"Res Cost"}</definedName>
    <definedName name="can" hidden="1">{#N/A,#N/A,FALSE,"O&amp;M by processes";#N/A,#N/A,FALSE,"Elec Act vs Bud";#N/A,#N/A,FALSE,"G&amp;A";#N/A,#N/A,FALSE,"BGS";#N/A,#N/A,FALSE,"Res Cost"}</definedName>
    <definedName name="CASCADE">#REF!</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_TST">'[6]A.2 PTP'!$P$33</definedName>
    <definedName name="ccc" localSheetId="16" hidden="1">{#N/A,#N/A,FALSE,"O&amp;M by processes";#N/A,#N/A,FALSE,"Elec Act vs Bud";#N/A,#N/A,FALSE,"G&amp;A";#N/A,#N/A,FALSE,"BGS";#N/A,#N/A,FALSE,"Res Cost"}</definedName>
    <definedName name="ccc" localSheetId="0" hidden="1">{#N/A,#N/A,FALSE,"O&amp;M by processes";#N/A,#N/A,FALSE,"Elec Act vs Bud";#N/A,#N/A,FALSE,"G&amp;A";#N/A,#N/A,FALSE,"BGS";#N/A,#N/A,FALSE,"Res Cost"}</definedName>
    <definedName name="ccc" localSheetId="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6" hidden="1">{#N/A,#N/A,FALSE,"O&amp;M by processes";#N/A,#N/A,FALSE,"Elec Act vs Bud";#N/A,#N/A,FALSE,"G&amp;A";#N/A,#N/A,FALSE,"BGS";#N/A,#N/A,FALSE,"Res Cost"}</definedName>
    <definedName name="cccc" localSheetId="0" hidden="1">{#N/A,#N/A,FALSE,"O&amp;M by processes";#N/A,#N/A,FALSE,"Elec Act vs Bud";#N/A,#N/A,FALSE,"G&amp;A";#N/A,#N/A,FALSE,"BGS";#N/A,#N/A,FALSE,"Res Cost"}</definedName>
    <definedName name="cccc" localSheetId="3" hidden="1">{#N/A,#N/A,FALSE,"O&amp;M by processes";#N/A,#N/A,FALSE,"Elec Act vs Bud";#N/A,#N/A,FALSE,"G&amp;A";#N/A,#N/A,FALSE,"BGS";#N/A,#N/A,FALSE,"Res Cost"}</definedName>
    <definedName name="cccc" hidden="1">{#N/A,#N/A,FALSE,"O&amp;M by processes";#N/A,#N/A,FALSE,"Elec Act vs Bud";#N/A,#N/A,FALSE,"G&amp;A";#N/A,#N/A,FALSE,"BGS";#N/A,#N/A,FALSE,"Res Cost"}</definedName>
    <definedName name="CE">'[6]C. Input'!$F$37</definedName>
    <definedName name="CE_EAI">'[6]C. Input'!$I$37</definedName>
    <definedName name="CE_EGSI">'[6]C. Input'!$L$37</definedName>
    <definedName name="CE_ELI">'[6]C. Input'!$O$37</definedName>
    <definedName name="CE_EMI">'[6]C. Input'!$R$37</definedName>
    <definedName name="CE_ENOI">'[6]C. Input'!$X$37</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L">#N/A</definedName>
    <definedName name="cell.above">!A1048576</definedName>
    <definedName name="cell.below">!A2</definedName>
    <definedName name="cell.left">!XFD1</definedName>
    <definedName name="cell.right">!B1</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#REF!</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ECK_BAL">#REF!</definedName>
    <definedName name="CHECK_BLANK">#REF!</definedName>
    <definedName name="CHECK_CELLS">#REF!</definedName>
    <definedName name="CIP_Year">OFFSET(#REF!,0,0,COUNTA(#REF!)-1,1)</definedName>
    <definedName name="CIQWBGuid" hidden="1">"664e8547-71ec-4d5c-9f05-86b890428491"</definedName>
    <definedName name="CLASSES">#N/A</definedName>
    <definedName name="ClientMatter" hidden="1">"b1"</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incidence_Factor">[7]CALCULATIONS!#REF!</definedName>
    <definedName name="Columns">#REF!</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anyTextLen">#REF!</definedName>
    <definedName name="Consolid" localSheetId="16" hidden="1">{#N/A,#N/A,FALSE,"O&amp;M by processes";#N/A,#N/A,FALSE,"Elec Act vs Bud";#N/A,#N/A,FALSE,"G&amp;A";#N/A,#N/A,FALSE,"BGS";#N/A,#N/A,FALSE,"Res Cost"}</definedName>
    <definedName name="Consolid" localSheetId="0" hidden="1">{#N/A,#N/A,FALSE,"O&amp;M by processes";#N/A,#N/A,FALSE,"Elec Act vs Bud";#N/A,#N/A,FALSE,"G&amp;A";#N/A,#N/A,FALSE,"BGS";#N/A,#N/A,FALSE,"Res Cost"}</definedName>
    <definedName name="Consolid" localSheetId="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6" hidden="1">{#N/A,#N/A,FALSE,"O&amp;M by processes";#N/A,#N/A,FALSE,"Elec Act vs Bud";#N/A,#N/A,FALSE,"G&amp;A";#N/A,#N/A,FALSE,"BGS";#N/A,#N/A,FALSE,"Res Cost"}</definedName>
    <definedName name="Consolidated" localSheetId="0" hidden="1">{#N/A,#N/A,FALSE,"O&amp;M by processes";#N/A,#N/A,FALSE,"Elec Act vs Bud";#N/A,#N/A,FALSE,"G&amp;A";#N/A,#N/A,FALSE,"BGS";#N/A,#N/A,FALSE,"Res Cost"}</definedName>
    <definedName name="Consolidated" localSheetId="3" hidden="1">{#N/A,#N/A,FALSE,"O&amp;M by processes";#N/A,#N/A,FALSE,"Elec Act vs Bud";#N/A,#N/A,FALSE,"G&amp;A";#N/A,#N/A,FALSE,"BGS";#N/A,#N/A,FALSE,"Res Cost"}</definedName>
    <definedName name="Consolidated" hidden="1">{#N/A,#N/A,FALSE,"O&amp;M by processes";#N/A,#N/A,FALSE,"Elec Act vs Bud";#N/A,#N/A,FALSE,"G&amp;A";#N/A,#N/A,FALSE,"BGS";#N/A,#N/A,FALSE,"Res Cost"}</definedName>
    <definedName name="cost" hidden="1">{#N/A,#N/A,FALSE,"By Month";#N/A,#N/A,FALSE,"Rev By Month";"Print1",#N/A,FALSE,"NA Parts Reporting";"Print2",#N/A,FALSE,"NA Parts Reporting";"Print3",#N/A,FALSE,"NA Parts Reporting"}</definedName>
    <definedName name="CP">#N/A</definedName>
    <definedName name="CP_1">#N/A</definedName>
    <definedName name="CP_PG1B">#REF!</definedName>
    <definedName name="cp_pg2">#REF!</definedName>
    <definedName name="cp_pg2b">#REF!</definedName>
    <definedName name="CP_PG3B">#REF!</definedName>
    <definedName name="CPK1X">#REF!</definedName>
    <definedName name="CPK2X">#REF!</definedName>
    <definedName name="CPUC_Cashflow_Summary_Table">#REF!</definedName>
    <definedName name="CR">'[6]C. Input'!$F$27</definedName>
    <definedName name="CREDITS">#REF!</definedName>
    <definedName name="CROD_S">'[10]Brewster Purchases'!#REF!</definedName>
    <definedName name="CSTextLen">#REF!</definedName>
    <definedName name="CTY_ANNUAL">#REF!</definedName>
    <definedName name="cty_peak_sum">#REF!</definedName>
    <definedName name="Current_sum">#REF!</definedName>
    <definedName name="Current_Year">'[11]Electric Fund Historical'!$D$1</definedName>
    <definedName name="CUST">#N/A</definedName>
    <definedName name="CUST1">#N/A</definedName>
    <definedName name="CUSTAR">#REF!</definedName>
    <definedName name="CUSTOM1">#REF!</definedName>
    <definedName name="CUSTOM2">#REF!</definedName>
    <definedName name="CUYAHOGA_FALLS">#REF!</definedName>
    <definedName name="D">'[6]C. Input'!$F$33</definedName>
    <definedName name="D_EAI">'[6]C. Input'!$I$33</definedName>
    <definedName name="D_EGSI">'[6]C. Input'!$L$33</definedName>
    <definedName name="D_EMI">'[6]C. Input'!$R$33</definedName>
    <definedName name="D_ENOI">'[6]C. Input'!$X$33</definedName>
    <definedName name="da" localSheetId="16" hidden="1">{#N/A,#N/A,FALSE,"O&amp;M by processes";#N/A,#N/A,FALSE,"Elec Act vs Bud";#N/A,#N/A,FALSE,"G&amp;A";#N/A,#N/A,FALSE,"BGS";#N/A,#N/A,FALSE,"Res Cost"}</definedName>
    <definedName name="da" localSheetId="0" hidden="1">{#N/A,#N/A,FALSE,"O&amp;M by processes";#N/A,#N/A,FALSE,"Elec Act vs Bud";#N/A,#N/A,FALSE,"G&amp;A";#N/A,#N/A,FALSE,"BGS";#N/A,#N/A,FALSE,"Res Cost"}</definedName>
    <definedName name="da" localSheetId="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6" hidden="1">{#N/A,#N/A,FALSE,"O&amp;M by processes";#N/A,#N/A,FALSE,"Elec Act vs Bud";#N/A,#N/A,FALSE,"G&amp;A";#N/A,#N/A,FALSE,"BGS";#N/A,#N/A,FALSE,"Res Cost"}</definedName>
    <definedName name="dada" localSheetId="0" hidden="1">{#N/A,#N/A,FALSE,"O&amp;M by processes";#N/A,#N/A,FALSE,"Elec Act vs Bud";#N/A,#N/A,FALSE,"G&amp;A";#N/A,#N/A,FALSE,"BGS";#N/A,#N/A,FALSE,"Res Cost"}</definedName>
    <definedName name="dada" localSheetId="3" hidden="1">{#N/A,#N/A,FALSE,"O&amp;M by processes";#N/A,#N/A,FALSE,"Elec Act vs Bud";#N/A,#N/A,FALSE,"G&amp;A";#N/A,#N/A,FALSE,"BGS";#N/A,#N/A,FALSE,"Res Cost"}</definedName>
    <definedName name="dada" hidden="1">{#N/A,#N/A,FALSE,"O&amp;M by processes";#N/A,#N/A,FALSE,"Elec Act vs Bud";#N/A,#N/A,FALSE,"G&amp;A";#N/A,#N/A,FALSE,"BGS";#N/A,#N/A,FALSE,"Res Cost"}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[12]Permanent!$A$9:$O$20</definedName>
    <definedName name="data_year">'[8]Appendix A'!$H$6</definedName>
    <definedName name="_xlnm.Database">OFFSET(#REF!,0,0,COUNTA(#REF!),11)</definedName>
    <definedName name="DATALINE">'[1]Header Data'!#REF!</definedName>
    <definedName name="Date" hidden="1">"b1"</definedName>
    <definedName name="DB_CPK">#N/A</definedName>
    <definedName name="DB_CPK1">[13]FERCFACT!#REF!</definedName>
    <definedName name="DB_CPK2">#REF!</definedName>
    <definedName name="DB_CPK3">#REF!</definedName>
    <definedName name="DB_CUST">#N/A</definedName>
    <definedName name="DB_EGR">#N/A</definedName>
    <definedName name="DB_EGR1">[13]FERCFACT!#REF!</definedName>
    <definedName name="DB_EGR2">#REF!</definedName>
    <definedName name="DB_IMAX">#N/A</definedName>
    <definedName name="DB_NCPK">#N/A</definedName>
    <definedName name="DB_NCPK1">#REF!</definedName>
    <definedName name="DB_NCPK2">#REF!</definedName>
    <definedName name="DB_NCPK3">#REF!</definedName>
    <definedName name="DB_NCPK4">#REF!</definedName>
    <definedName name="DD.">[14]Input!$F$33</definedName>
    <definedName name="ddd" hidden="1">{"CUR",#N/A,FALSE,"Summary";"PE",#N/A,FALSE,"Accounting";"EXPE",#N/A,FALSE,"Accounting";"EXPAS",#N/A,FALSE,"Accounting";"EXPL",#N/A,FALSE,"Accounting"}</definedName>
    <definedName name="DEBITS">#REF!</definedName>
    <definedName name="DEC">#N/A</definedName>
    <definedName name="DecCP">#REF!</definedName>
    <definedName name="DefaultCopy">#REF!</definedName>
    <definedName name="DefaultPaste">#REF!</definedName>
    <definedName name="delete" localSheetId="16" hidden="1">{#N/A,#N/A,FALSE,"CURRENT"}</definedName>
    <definedName name="delete" localSheetId="0" hidden="1">{#N/A,#N/A,FALSE,"CURRENT"}</definedName>
    <definedName name="delete" localSheetId="3" hidden="1">{#N/A,#N/A,FALSE,"CURRENT"}</definedName>
    <definedName name="delete" hidden="1">{#N/A,#N/A,FALSE,"CURRENT"}</definedName>
    <definedName name="detail">#REF!</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TSR">'[6]A.2 PTP'!$P$288</definedName>
    <definedName name="DISPLAY">#N/A</definedName>
    <definedName name="DME_BeforeCloseCompleted">"False"</definedName>
    <definedName name="DME_Dirty">"False"</definedName>
    <definedName name="DME_LocalFile">"True"</definedName>
    <definedName name="DocumentName" hidden="1">"b1"</definedName>
    <definedName name="DocumentNum" hidden="1">"a1"</definedName>
    <definedName name="DOFTSR">'[6]A.2 PTP'!$P$294</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DPLT">'[6]C. Input'!$F$166</definedName>
    <definedName name="DR">'[6]C. Input'!$F$23</definedName>
    <definedName name="DR_1">#N/A</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D8_BIOFLORA_Print">#REF!</definedName>
    <definedName name="EDGERTON">#REF!</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6" hidden="1">{#N/A,#N/A,FALSE,"O&amp;M by processes";#N/A,#N/A,FALSE,"Elec Act vs Bud";#N/A,#N/A,FALSE,"G&amp;A";#N/A,#N/A,FALSE,"BGS";#N/A,#N/A,FALSE,"Res Cost"}</definedName>
    <definedName name="eeee" localSheetId="0" hidden="1">{#N/A,#N/A,FALSE,"O&amp;M by processes";#N/A,#N/A,FALSE,"Elec Act vs Bud";#N/A,#N/A,FALSE,"G&amp;A";#N/A,#N/A,FALSE,"BGS";#N/A,#N/A,FALSE,"Res Cost"}</definedName>
    <definedName name="eeee" localSheetId="3" hidden="1">{#N/A,#N/A,FALSE,"O&amp;M by processes";#N/A,#N/A,FALSE,"Elec Act vs Bud";#N/A,#N/A,FALSE,"G&amp;A";#N/A,#N/A,FALSE,"BGS";#N/A,#N/A,FALSE,"Res Cost"}</definedName>
    <definedName name="eeee" hidden="1">{#N/A,#N/A,FALSE,"O&amp;M by processes";#N/A,#N/A,FALSE,"Elec Act vs Bud";#N/A,#N/A,FALSE,"G&amp;A";#N/A,#N/A,FALSE,"BGS";#N/A,#N/A,FALSE,"Res Cost"}</definedName>
    <definedName name="EEI">'[6]C. Input'!$F$205</definedName>
    <definedName name="EFF_DATE">'[1]Header Data'!#REF!</definedName>
    <definedName name="EGR">#N/A</definedName>
    <definedName name="EGR1X">#REF!</definedName>
    <definedName name="EIGHT">#N/A</definedName>
    <definedName name="ELEVEN">#N/A</definedName>
    <definedName name="Ellwood_City">#REF!</definedName>
    <definedName name="ELMORE">#REF!</definedName>
    <definedName name="END">#REF!</definedName>
    <definedName name="ENERGY">#REF!</definedName>
    <definedName name="ENERGY_SUP">[13]FERCFACT!#REF!</definedName>
    <definedName name="ENERGY1">#N/A</definedName>
    <definedName name="ENVIRONMENTAL">#REF!</definedName>
    <definedName name="EPRI">'[6]C. Input'!$F$203</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hidden="1">{"US RM Earnings Summary",#N/A,FALSE,"US R&amp;M";"US RM Realization Data",#N/A,FALSE,"US R&amp;M";"For RM Earnings Detail",#N/A,FALSE,"Foreign R&amp;M";"For RM Real and Vol Detail",#N/A,FALSE,"Foreign R&amp;M"}</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hidden="1">{#N/A,#N/A,FALSE,"Summary";#N/A,#N/A,FALSE,"Adj to Option C";#N/A,#N/A,FALSE,"Dividend Analysis";#N/A,#N/A,FALSE,"Reserve Analysis";#N/A,#N/A,FALSE,"Depreciation";#N/A,#N/A,FALSE,"Other Tax Adj"}</definedName>
    <definedName name="EST_BY_ACCT">#REF!</definedName>
    <definedName name="Estimate"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hidden="1">{"Fact Sheet",#N/A,FALSE,"Fact";"Earnings_Summary",#N/A,FALSE,"Earnings Model";"Balance Sheet",#N/A,FALSE,"Balance";"Change in Cash",#N/A,FALSE,"Cashflow";"normalengs",#N/A,FALSE,"NormalEngs";"NormalGrowth",#N/A,FALSE,"NormalGrowth"}</definedName>
    <definedName name="etyertyrty" hidden="1">{"US EP Earn and Prof Analysis",#N/A,FALSE,"USE&amp;P ";"US EP Price Vol Detail",#N/A,FALSE,"USE&amp;P "}</definedName>
    <definedName name="EV__LASTREFTIME__" hidden="1">39826.8319444444</definedName>
    <definedName name="ewrtwertewrt" hidden="1">{"Balance Sheet",#N/A,FALSE,"Balance";"Balance Sheet Details",#N/A,FALSE,"Balance";"Change in Cash",#N/A,FALSE,"Cashflow"}</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hidden="1">{"'W.W. Summary'!$A$1:$K$37"}</definedName>
    <definedName name="F">'[6]C. Input'!$F$72</definedName>
    <definedName name="FACE">#REF!</definedName>
    <definedName name="FACTORS">#REF!</definedName>
    <definedName name="FACTRS">#REF!</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F1_INPUT">'[8]FERC Form 1 data'!$B$7:$L$89</definedName>
    <definedName name="FF1_INPUT_columns">'[8]FERC Form 1 data'!$B$6:$L$6</definedName>
    <definedName name="fhk" hidden="1">{#N/A,#N/A,FALSE,"P&amp;L";#N/A,#N/A,FALSE,"DL Worksheet";#N/A,#N/A,FALSE,"Ind. Cell";#N/A,#N/A,FALSE,"Capital";#N/A,#N/A,FALSE,"Tooling";#N/A,#N/A,FALSE,"LRP"}</definedName>
    <definedName name="Fibro_Q1">[15]!Table_Query_from__PSO_1[[#Headers],[est_stamp]]</definedName>
    <definedName name="Fibro_Q2">[15]!Table_Query_from_MRBILL[[#Headers],[rate_id]]</definedName>
    <definedName name="Fibro_Q3">[15]!Table_Query_from__PSO[[#Headers],[city_id]]</definedName>
    <definedName name="final" hidden="1">{#N/A,#N/A,FALSE,"Outlook for Month ";#N/A,#N/A,FALSE,"Risk for Month ";#N/A,#N/A,FALSE,"Upside for Month"}</definedName>
    <definedName name="FIVE">#N/A</definedName>
    <definedName name="FOUR">#N/A</definedName>
    <definedName name="FREV">'[6]C. Input'!$F$295</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ALION">#REF!</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R">'[6]C. Input'!$F$237</definedName>
    <definedName name="GDX">'[6]C. Input'!$F$309</definedName>
    <definedName name="GDX_TD">'[6]C. Input'!#REF!</definedName>
    <definedName name="GENOA">#REF!</definedName>
    <definedName name="GENOA_NORTH">#REF!</definedName>
    <definedName name="GENOA_SOUTH">#REF!</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gita" localSheetId="16" hidden="1">{#N/A,#N/A,FALSE,"O&amp;M by processes";#N/A,#N/A,FALSE,"Elec Act vs Bud";#N/A,#N/A,FALSE,"G&amp;A";#N/A,#N/A,FALSE,"BGS";#N/A,#N/A,FALSE,"Res Cost"}</definedName>
    <definedName name="gita" localSheetId="0" hidden="1">{#N/A,#N/A,FALSE,"O&amp;M by processes";#N/A,#N/A,FALSE,"Elec Act vs Bud";#N/A,#N/A,FALSE,"G&amp;A";#N/A,#N/A,FALSE,"BGS";#N/A,#N/A,FALSE,"Res Cost"}</definedName>
    <definedName name="gita" localSheetId="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6" hidden="1">{#N/A,#N/A,FALSE,"O&amp;M by processes";#N/A,#N/A,FALSE,"Elec Act vs Bud";#N/A,#N/A,FALSE,"G&amp;A";#N/A,#N/A,FALSE,"BGS";#N/A,#N/A,FALSE,"Res Cost"}</definedName>
    <definedName name="gitah" localSheetId="0" hidden="1">{#N/A,#N/A,FALSE,"O&amp;M by processes";#N/A,#N/A,FALSE,"Elec Act vs Bud";#N/A,#N/A,FALSE,"G&amp;A";#N/A,#N/A,FALSE,"BGS";#N/A,#N/A,FALSE,"Res Cost"}</definedName>
    <definedName name="gitah" localSheetId="3" hidden="1">{#N/A,#N/A,FALSE,"O&amp;M by processes";#N/A,#N/A,FALSE,"Elec Act vs Bud";#N/A,#N/A,FALSE,"G&amp;A";#N/A,#N/A,FALSE,"BGS";#N/A,#N/A,FALSE,"Res Cost"}</definedName>
    <definedName name="gitah" hidden="1">{#N/A,#N/A,FALSE,"O&amp;M by processes";#N/A,#N/A,FALSE,"Elec Act vs Bud";#N/A,#N/A,FALSE,"G&amp;A";#N/A,#N/A,FALSE,"BGS";#N/A,#N/A,FALSE,"Res Cost"}</definedName>
    <definedName name="GJC_03">#REF!</definedName>
    <definedName name="GJC_04">#REF!</definedName>
    <definedName name="GJC_09">#REF!</definedName>
    <definedName name="GP">#REF!</definedName>
    <definedName name="GPLT">'[6]C. Input'!$F$168</definedName>
    <definedName name="GRAFTON">#REF!</definedName>
    <definedName name="Grove_City">#REF!</definedName>
    <definedName name="gsdagas" hidden="1">{#N/A,#N/A,FALSE,"BS_CORPORATE"}</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SKINS">#REF!</definedName>
    <definedName name="HCTextLen">#REF!</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#REF!</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ONTSR">'[6]A.2 PTP'!$P$333</definedName>
    <definedName name="hourending">#REF!</definedName>
    <definedName name="Hours">[7]CALCULATIONS!$C$11</definedName>
    <definedName name="HPNTSR">'[6]A.2 PTP'!$P$332</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hidden="1">{"'W.W. Summary'!$A$1:$K$37"}</definedName>
    <definedName name="HTML_Control_1" hidden="1">{"'360068'!$A$1:$P$225"}</definedName>
    <definedName name="HTML_Control_2" hidden="1">{"'360068'!$A$1:$P$225"}</definedName>
    <definedName name="HTML_Control_3" hidden="1">{"'360068'!$A$1:$P$225"}</definedName>
    <definedName name="HTML_Control_4" hidden="1">{"'360068'!$A$1:$P$225"}</definedName>
    <definedName name="HTML_Control_454" hidden="1">{"'360068'!$A$1:$P$225"}</definedName>
    <definedName name="HTML_Control_5" hidden="1">{"'360068'!$A$1:$P$225"}</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UBBARD">#REF!</definedName>
    <definedName name="hukh" hidden="1">{#N/A,#N/A,FALSE,"P&amp;L";#N/A,#N/A,FALSE,"DL Worksheet";#N/A,#N/A,FALSE,"Ind. Cell";#N/A,#N/A,FALSE,"Capital";#N/A,#N/A,FALSE,"Tooling";#N/A,#N/A,FALSE,"LRP"}</definedName>
    <definedName name="IMAX1">#REF!</definedName>
    <definedName name="IMAX2">#REF!</definedName>
    <definedName name="IMAX3">#REF!</definedName>
    <definedName name="IncomeStatement">#REF!</definedName>
    <definedName name="IND.MAX">#N/A</definedName>
    <definedName name="IND.MAX1">#N/A</definedName>
    <definedName name="INPUT">#N/A</definedName>
    <definedName name="INPUT_AREA">#REF!</definedName>
    <definedName name="INPUT_DATA">#REF!</definedName>
    <definedName name="Input_Range">'[16]Nonlevelized-IOU'!$K$7,'[16]Nonlevelized-IOU'!$D$10,'[16]Nonlevelized-IOU'!$I$26,'[16]Nonlevelized-IOU'!$D$89:$D$92,'[16]Nonlevelized-IOU'!$D$97:$D$100,'[16]Nonlevelized-IOU'!$D$113:$D$116,'[16]Nonlevelized-IOU'!$D$124:$D$125,'[16]Nonlevelized-IOU'!$D$162,'[16]Nonlevelized-IOU'!$D$164:$D$165,'[16]Nonlevelized-IOU'!$D$167,'[16]Nonlevelized-IOU'!$D$174:$D$175,'[16]Nonlevelized-IOU'!$D$181,'[16]Nonlevelized-IOU'!$D$184,'[16]Nonlevelized-IOU'!$I$233:$I$234,'[16]Nonlevelized-IOU'!$D$250:$D$253,'[16]Nonlevelized-IOU'!$D$257:$D$259,'[16]Nonlevelized-IOU'!$I$263,'[16]Nonlevelized-IOU'!$I$265,'[16]Nonlevelized-IOU'!$I$268,'[16]Nonlevelized-IOU'!$D$274:$D$275,'[16]Nonlevelized-IOU'!$I$289,'[16]Nonlevelized-IOU'!$D$325:$D$327</definedName>
    <definedName name="Inputs_EndYrBal">[8]Inputs!$E$16:$E$73</definedName>
    <definedName name="Inputs_EndYrBal_prior">[8]Inputs!$D$16:$D$73</definedName>
    <definedName name="Inputs_FF1_Map">[8]Inputs!$F$16:$F$73</definedName>
    <definedName name="IPP">'[6]C. Input'!#REF!</definedName>
    <definedName name="IPPINT">'[6]C. Input'!#REF!</definedName>
    <definedName name="IPPIRB">'[6]C. Input'!#REF!</definedName>
    <definedName name="IPPRB">'[6]C. Input'!#REF!</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DAILY" hidden="1">500000</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MTD" hidden="1">800000</definedName>
    <definedName name="IQ_NAMES_REVISION_DATE_" hidden="1">42691.5412615741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TODAY" hidden="1">0</definedName>
    <definedName name="IQ_WEEK" hidden="1">50000</definedName>
    <definedName name="IQ_YTD" hidden="1">3000</definedName>
    <definedName name="IQ_YTDMONTH" hidden="1">130000</definedName>
    <definedName name="itc">#REF!</definedName>
    <definedName name="ITCWO">'[6]C. Input'!$F$325</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hidden="1">{#N/A,#N/A,FALSE,"Total";#N/A,#N/A,FALSE,"ASNS";#N/A,#N/A,FALSE,"PNCNS";#N/A,#N/A,FALSE,"DSNS";#N/A,#N/A,FALSE,"TNS"}</definedName>
    <definedName name="JanCP">#REF!</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hidden="1">{"Age 50; 100% - NPPC",#N/A,FALSE,"Age 50; 100%";"Age 50; 100% - PSC",#N/A,FALSE,"Age 50; 100%";"Age 50; 100% - Gain/Loss",#N/A,FALSE,"Age 50; 100%"}</definedName>
    <definedName name="ji" hidden="1">{"'Highlights'!$A$1:$M$123"}</definedName>
    <definedName name="jor">#REF!</definedName>
    <definedName name="JOUR_ENTRY">#REF!</definedName>
    <definedName name="JUL">#N/A</definedName>
    <definedName name="JUN">#N/A</definedName>
    <definedName name="K2_WBEVMODE" hidden="1">-1</definedName>
    <definedName name="kjl" hidden="1">{#N/A,#N/A,FALSE,"TOTFINAL";#N/A,#N/A,FALSE,"FINPLAN";#N/A,#N/A,FALSE,"TOTMOTADJ";#N/A,#N/A,FALSE,"tieEQ";#N/A,#N/A,FALSE,"G";#N/A,#N/A,FALSE,"ELIMS";#N/A,#N/A,FALSE,"NEXTEL ADJ";#N/A,#N/A,FALSE,"MIMS";#N/A,#N/A,FALSE,"LMPS";#N/A,#N/A,FALSE,"CNSS";#N/A,#N/A,FALSE,"CSS";#N/A,#N/A,FALSE,"MCG";#N/A,#N/A,FALSE,"AECS";#N/A,#N/A,FALSE,"SPS";#N/A,#N/A,FALSE,"CORP"}</definedName>
    <definedName name="kk">#REF!</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eft">OFFSET(!A1,0,-1)</definedName>
    <definedName name="LFTSR">'[6]A.2 PTP'!$P$230</definedName>
    <definedName name="LHMonth">#REF!</definedName>
    <definedName name="LHYear">#REF!</definedName>
    <definedName name="Library" hidden="1">"a1"</definedName>
    <definedName name="limcount" hidden="1">1</definedName>
    <definedName name="ListOffset" hidden="1">1</definedName>
    <definedName name="lk" hidden="1">{#N/A,#N/A,FALSE,"Summary";#N/A,#N/A,FALSE,"Adj to Option C";#N/A,#N/A,FALSE,"Dividend Analysis";#N/A,#N/A,FALSE,"Reserve Analysis";#N/A,#N/A,FALSE,"Depreciation";#N/A,#N/A,FALSE,"Other Tax Adj"}</definedName>
    <definedName name="Load_Factor">[7]CALCULATIONS!#REF!</definedName>
    <definedName name="LOCATE3">#N/A</definedName>
    <definedName name="LOCTABLE">#REF!</definedName>
    <definedName name="LOCTextLen">#REF!</definedName>
    <definedName name="LODI">#REF!</definedName>
    <definedName name="Loss_KW">[7]CALCULATIONS!$C$40</definedName>
    <definedName name="Loss_kWh">[7]CALCULATIONS!$E$40</definedName>
    <definedName name="Loss_Rate">[7]CALCULATIONS!$B$40</definedName>
    <definedName name="losses">#REF!</definedName>
    <definedName name="LRG_GE">#REF!</definedName>
    <definedName name="LRG_GJ">#REF!</definedName>
    <definedName name="LUCAS">#REF!</definedName>
    <definedName name="LYN">#REF!</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CRO">#N/A</definedName>
    <definedName name="MAIN">#N/A</definedName>
    <definedName name="MAR">#N/A</definedName>
    <definedName name="March18Data">'[17]March 2018'!$A$3:$E$10</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ENUALL">#N/A</definedName>
    <definedName name="MENUALLOC">#N/A</definedName>
    <definedName name="MENUDBASE">#N/A</definedName>
    <definedName name="MENUDBS">#N/A</definedName>
    <definedName name="MENUPIC">#N/A</definedName>
    <definedName name="MENUPICK">#N/A</definedName>
    <definedName name="MENUPRNT">#N/A</definedName>
    <definedName name="MENUPRST">#N/A</definedName>
    <definedName name="MFTSR">'[6]A.2 PTP'!$P$276</definedName>
    <definedName name="Mgmt">[18]Current!#REF!</definedName>
    <definedName name="MILAN">#REF!</definedName>
    <definedName name="million">1000000</definedName>
    <definedName name="Mo_roll">#REF!</definedName>
    <definedName name="MonitorCol">1</definedName>
    <definedName name="MonitorRow">1</definedName>
    <definedName name="MONROEVILLE">#REF!</definedName>
    <definedName name="Monthly_Peak">[7]CALCULATIONS!$C$29</definedName>
    <definedName name="months">[12]Permanent!$A$24:$A$35</definedName>
    <definedName name="MOVE">#N/A</definedName>
    <definedName name="MRES_Demand">[7]CALCULATIONS!$C$38</definedName>
    <definedName name="MRES_Energy">[7]CALCULATIONS!$E$38</definedName>
    <definedName name="MRES_KW_with_Loss">[7]CALCULATIONS!$C$41</definedName>
    <definedName name="MRES_kWh_with_Loss">[7]CALCULATIONS!$E$41</definedName>
    <definedName name="MREV">'[6]C. Input'!$F$295</definedName>
    <definedName name="MS">'[6]C. Input'!$F$242</definedName>
    <definedName name="MTH">#N/A</definedName>
    <definedName name="Multiplier">[7]Reads!$F$1</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A">'[6]C. Input'!#REF!</definedName>
    <definedName name="NAPOLEON">#REF!</definedName>
    <definedName name="NCP">#N/A</definedName>
    <definedName name="NCP_1">#N/A</definedName>
    <definedName name="NCPK1">#N/A</definedName>
    <definedName name="NCPK1X">#REF!</definedName>
    <definedName name="NCPK2">#REF!</definedName>
    <definedName name="NCPK2X">#REF!</definedName>
    <definedName name="NCPK3">#REF!</definedName>
    <definedName name="NEASG">#REF!</definedName>
    <definedName name="NET_TO_ZERO">#REF!</definedName>
    <definedName name="NETWK_TRANS_PK_RPT_Print_Area">#REF!</definedName>
    <definedName name="new">#REF!</definedName>
    <definedName name="New_Wilmington">#REF!</definedName>
    <definedName name="NEWTON_FALLS">#REF!</definedName>
    <definedName name="NILES">#REF!</definedName>
    <definedName name="NINE">#N/A</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oErrMsg">#REF!</definedName>
    <definedName name="NormErrMsg">#REF!</definedName>
    <definedName name="NOTE">#REF!</definedName>
    <definedName name="NOTE_A">#REF!</definedName>
    <definedName name="NOTE_B">#REF!</definedName>
    <definedName name="NOTE2">#REF!</definedName>
    <definedName name="NOV">#N/A</definedName>
    <definedName name="NP">#REF!</definedName>
    <definedName name="NSP_COS">#REF!</definedName>
    <definedName name="NTDR">'[6]C. Input'!$F$234</definedName>
    <definedName name="NTPLT">'[6]C. Input'!$F$164</definedName>
    <definedName name="NTSRR">'[6]B.2 NITS '!$P$220</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NvsValTbl.E_LEGAL_ENTITY">"E_LE_TBL"</definedName>
    <definedName name="NWASG">#REF!</definedName>
    <definedName name="OAK_HARBOR">#REF!</definedName>
    <definedName name="OBERLIN">#REF!</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hidden="1">{"US Chemical Summary",#N/A,FALSE,"USChem";"Foreign Chemical Summary",#N/A,FALSE,"ForChem"}</definedName>
    <definedName name="oiutyut" hidden="1">{"US EP DCF Valuation",#N/A,FALSE,"USE&amp;P ";"Can EP DCF Valuation",#N/A,FALSE,"Can E&amp;P";"Eur EP DCF Valuation",#N/A,FALSE,"Eur E&amp;P";"ASPAC EP DCF Valuation",#N/A,FALSE,"Asia-Pac E&amp;P";"NonCon EP DCF Valuation",#N/A,FALSE,"Non-Con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TR_TST">'[6]A.2 PTP'!$P$129</definedName>
    <definedName name="oyutfc" hidden="1">{"Earnings",#N/A,FALSE,"Earnings";"BalanceSheet",#N/A,FALSE,"BalanceSheet";"ChangeinCash",#N/A,FALSE,"CashFlow";"IR Production Sum",#N/A,FALSE,"E&amp;P Summary";"IR EPCost Sum",#N/A,FALSE,"E&amp;P Summary"}</definedName>
    <definedName name="P_TYPE">#N/A</definedName>
    <definedName name="PAGE.1">#REF!</definedName>
    <definedName name="PAGE.2">#REF!</definedName>
    <definedName name="PAGE.4">#REF!</definedName>
    <definedName name="PAGE.5">#REF!</definedName>
    <definedName name="PAGE.6">#REF!</definedName>
    <definedName name="PAGE.7">#REF!</definedName>
    <definedName name="PAGE_2A">#REF!</definedName>
    <definedName name="PAGE_3B">#REF!</definedName>
    <definedName name="PAGE1">[13]FERCFACT!#REF!</definedName>
    <definedName name="page10">'[19]W&amp;S by group'!#REF!</definedName>
    <definedName name="page11">'[19]W&amp;S by group'!#REF!</definedName>
    <definedName name="page12">'[19]W&amp;S by group'!#REF!</definedName>
    <definedName name="page13">'[19]W&amp;S by group'!#REF!</definedName>
    <definedName name="page14">'[19]W&amp;S by group'!#REF!</definedName>
    <definedName name="page15">'[19]W&amp;S by group'!#REF!</definedName>
    <definedName name="page16">'[19]W&amp;S by group'!#REF!</definedName>
    <definedName name="PAGE1A">#REF!</definedName>
    <definedName name="PAGE2">#REF!</definedName>
    <definedName name="PAGE3">[13]FERCFACT!#REF!</definedName>
    <definedName name="PAGE3A">#REF!</definedName>
    <definedName name="PAGE4">#REF!</definedName>
    <definedName name="PAGE4A">#REF!</definedName>
    <definedName name="PAGE5">#REF!</definedName>
    <definedName name="PAGE6">#REF!</definedName>
    <definedName name="PAGE7">#REF!</definedName>
    <definedName name="PAGE8">#REF!</definedName>
    <definedName name="PAGE9">#REF!</definedName>
    <definedName name="PageA">#REF!</definedName>
    <definedName name="PageB">#REF!</definedName>
    <definedName name="PageC">#REF!</definedName>
    <definedName name="PEAK">[7]TRANSMISSION!#REF!</definedName>
    <definedName name="PEMBERVILLE">#REF!</definedName>
    <definedName name="PF">'[6]C. Input'!$F$35</definedName>
    <definedName name="PF_EAI">'[6]C. Input'!$I$35</definedName>
    <definedName name="PF_EGSI">'[6]C. Input'!$L$35</definedName>
    <definedName name="PF_ELI">'[6]C. Input'!$O$35</definedName>
    <definedName name="PF_EMI">'[6]C. Input'!$R$35</definedName>
    <definedName name="PF_ENOI">'[6]C. Input'!$X$35</definedName>
    <definedName name="PIONEER">#REF!</definedName>
    <definedName name="pioupoiu" hidden="1">{"Earnings_Summary",#N/A,FALSE,"Earnings Model";"Earnings EP Detail",#N/A,FALSE,"Earnings Model";"Earnings RM Detail",#N/A,FALSE,"Earnings Model"}</definedName>
    <definedName name="pipiupiou" hidden="1">{"Earnings",#N/A,FALSE,"Earnings";"BalanceSheet",#N/A,FALSE,"BalanceSheet";"Change in Cash",#N/A,FALSE,"CashFlow";"normalengs",#N/A,FALSE,"NormalEngs";"upstream normal per Bbl",#N/A,FALSE,"NormEngUp";"CAPEXsum",#N/A,FALSE,"CAPEX Sum"}</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K_1">#N/A</definedName>
    <definedName name="po" hidden="1">{#N/A,#N/A,FALSE,"Summary";#N/A,#N/A,FALSE,"Adj to Option C";#N/A,#N/A,FALSE,"Dividend Analysis";#N/A,#N/A,FALSE,"Reserve Analysis";#N/A,#N/A,FALSE,"Depreciation";#N/A,#N/A,FALSE,"Other Tax Adj"}</definedName>
    <definedName name="poiji" hidden="1">{"Balance Sheet",#N/A,FALSE,"Balance";"Balance Sheet Details",#N/A,FALSE,"Balance"}</definedName>
    <definedName name="PPLT">'[6]C. Input'!$F$152</definedName>
    <definedName name="PPT">'[6]C. Input'!$F$244</definedName>
    <definedName name="PR">'[6]C. Input'!$F$25</definedName>
    <definedName name="Previous_Meter_Reading">[7]CALCULATIONS!$C$16</definedName>
    <definedName name="_xlnm.Print_Area" localSheetId="4">'1-Project Rev Req'!$A$1:$L$58,'1-Project Rev Req'!$A$59:$W$114</definedName>
    <definedName name="_xlnm.Print_Area" localSheetId="6">'3-Project True-up'!$A$1:$K$47</definedName>
    <definedName name="_xlnm.Print_Area" localSheetId="7">'4- Rate Base'!$A$1:$P$71</definedName>
    <definedName name="_xlnm.Print_Area" localSheetId="8">'5-P3 Support'!$A$1:$N$78</definedName>
    <definedName name="_xlnm.Print_Area" localSheetId="9">'6-Dep Rates'!$A$1:$C$41</definedName>
    <definedName name="_xlnm.Print_Area" localSheetId="10">'7 - PBOP'!$A$1:$F$22</definedName>
    <definedName name="_xlnm.Print_Area" localSheetId="11">'8a-ADIT Projection'!$A$1:$I$38</definedName>
    <definedName name="_xlnm.Print_Area" localSheetId="12">'8b-ADIT Projection Proration'!$A$1:$L$61</definedName>
    <definedName name="_xlnm.Print_Area" localSheetId="13">'8c- ADIT BOY'!$A$1:$H$83</definedName>
    <definedName name="_xlnm.Print_Area" localSheetId="14">'8d- ADIT EOY'!$A$1:$H$86</definedName>
    <definedName name="_xlnm.Print_Area" localSheetId="15">'8e-ADIT True-up'!$A$1:$I$37</definedName>
    <definedName name="_xlnm.Print_Area" localSheetId="16">'8f-ADIT True-up Proration'!$A$1:$AF$61</definedName>
    <definedName name="_xlnm.Print_Area" localSheetId="0">'9A-Non-MISO ATRR'!$A$1:$K$311</definedName>
    <definedName name="_xlnm.Print_Area" localSheetId="1">'9B-Non-MISO Project Rev Req'!$A$1:$L$58,'9B-Non-MISO Project Rev Req'!$A$59:$W$114</definedName>
    <definedName name="_xlnm.Print_Area" localSheetId="2">'9C-Non-MISO Project True-up'!$A$1:$K$49</definedName>
    <definedName name="_xlnm.Print_Area" localSheetId="3">'Attachment O'!$A$1:$K$311</definedName>
    <definedName name="_xlnm.Print_Area">#REF!</definedName>
    <definedName name="Print_Area_MI">#REF!</definedName>
    <definedName name="Print_Area_MI.1">#REF!</definedName>
    <definedName name="_xlnm.Print_Titles" localSheetId="11">'8a-ADIT Projection'!$19:$20</definedName>
    <definedName name="_xlnm.Print_Titles" localSheetId="12">'8b-ADIT Projection Proration'!$6:$7</definedName>
    <definedName name="_xlnm.Print_Titles" localSheetId="15">'8e-ADIT True-up'!$19:$20</definedName>
    <definedName name="_xlnm.Print_Titles" localSheetId="16">'8f-ADIT True-up Proration'!$6:$7</definedName>
    <definedName name="Print_Titles_MI">#REF!</definedName>
    <definedName name="Print1">#REF!</definedName>
    <definedName name="Print3">#REF!</definedName>
    <definedName name="Print4">#REF!</definedName>
    <definedName name="Print5">#REF!</definedName>
    <definedName name="PRINTFILE">#REF!</definedName>
    <definedName name="PROJ_WOTextLen">#REF!</definedName>
    <definedName name="Projection">'[8]Appendix A'!$H$7</definedName>
    <definedName name="ProjIDList">#REF!</definedName>
    <definedName name="PROSPECT">#REF!</definedName>
    <definedName name="PSCo_COS">#REF!</definedName>
    <definedName name="PSLJ8LG">#N/A</definedName>
    <definedName name="PSOKI6">#N/A</definedName>
    <definedName name="PXAG">'[6]C. Input'!$F$185</definedName>
    <definedName name="PXAG_561">'[6]C. Input'!#REF!</definedName>
    <definedName name="PXAG_EAI">'[6]C. Input'!#REF!</definedName>
    <definedName name="PXAG_EGSI">'[6]C. Input'!#REF!</definedName>
    <definedName name="PXAG_ELI">'[6]C. Input'!#REF!</definedName>
    <definedName name="PXAG_EMI">'[6]C. Input'!#REF!</definedName>
    <definedName name="PXAG_ENOI">'[6]C. Input'!#REF!</definedName>
    <definedName name="PXAGBAD">'[6]C. Input'!#REF!</definedName>
    <definedName name="PYTX">'[6]C. Input'!$F$220</definedName>
    <definedName name="Q">#REF!</definedName>
    <definedName name="q_1" hidden="1">{#N/A,#N/A,FALSE,"BS_ESG ";#N/A,#N/A,FALSE,"P&amp;L_ESG"}</definedName>
    <definedName name="q_2" hidden="1">{#N/A,#N/A,FALSE,"BS_ESG ";#N/A,#N/A,FALSE,"P&amp;L_ESG"}</definedName>
    <definedName name="q_3" hidden="1">{#N/A,#N/A,FALSE,"BS_ESG ";#N/A,#N/A,FALSE,"P&amp;L_ESG"}</definedName>
    <definedName name="q_4" hidden="1">{#N/A,#N/A,FALSE,"BS_ESG ";#N/A,#N/A,FALSE,"P&amp;L_ESG"}</definedName>
    <definedName name="q_5" hidden="1">{#N/A,#N/A,FALSE,"BS_ESG ";#N/A,#N/A,FALSE,"P&amp;L_ESG"}</definedName>
    <definedName name="q_MTEP06_App_AB_Facility">#REF!</definedName>
    <definedName name="q_MTEP06_App_AB_Projects">#REF!</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hidden="1">{#N/A,#N/A,FALSE,"BS_ESG ";#N/A,#N/A,FALSE,"P&amp;L_ESG"}</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ueryp1">[5]DANDE!#REF!</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A">'[6]C. Input'!$F$343</definedName>
    <definedName name="Reading_Date">[7]CALCULATIONS!$C$8</definedName>
    <definedName name="RECAP">#REF!</definedName>
    <definedName name="_xlnm.Recorder">#REF!</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S_CPB">#REF!</definedName>
    <definedName name="revreq">#REF!</definedName>
    <definedName name="rggfgrt" hidden="1">{"a",#N/A,FALSE,"Fact Sheet";"a",#N/A,FALSE,"DCFEVA";"a",#N/A,FALSE,"Statements";"a",#N/A,FALSE,"Quarterly";"a",#N/A,FALSE,"Q Grid";"a",#N/A,FALSE,"Stockval";"a",#N/A,FALSE,"DDM"}</definedName>
    <definedName name="RID">#REF!</definedName>
    <definedName name="right">OFFSET(!A1,0,1)</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E">'[6]C. Input'!$F$207</definedName>
    <definedName name="rrrr" localSheetId="16" hidden="1">{#N/A,#N/A,FALSE,"O&amp;M by processes";#N/A,#N/A,FALSE,"Elec Act vs Bud";#N/A,#N/A,FALSE,"G&amp;A";#N/A,#N/A,FALSE,"BGS";#N/A,#N/A,FALSE,"Res Cost"}</definedName>
    <definedName name="rrrr" localSheetId="0" hidden="1">{#N/A,#N/A,FALSE,"O&amp;M by processes";#N/A,#N/A,FALSE,"Elec Act vs Bud";#N/A,#N/A,FALSE,"G&amp;A";#N/A,#N/A,FALSE,"BGS";#N/A,#N/A,FALSE,"Res Cost"}</definedName>
    <definedName name="rrrr" localSheetId="3" hidden="1">{#N/A,#N/A,FALSE,"O&amp;M by processes";#N/A,#N/A,FALSE,"Elec Act vs Bud";#N/A,#N/A,FALSE,"G&amp;A";#N/A,#N/A,FALSE,"BGS";#N/A,#N/A,FALSE,"Res Cost"}</definedName>
    <definedName name="rrrr" hidden="1">{#N/A,#N/A,FALSE,"O&amp;M by processes";#N/A,#N/A,FALSE,"Elec Act vs Bud";#N/A,#N/A,FALSE,"G&amp;A";#N/A,#N/A,FALSE,"BGS";#N/A,#N/A,FALSE,"Res Cost"}</definedName>
    <definedName name="RTX">'[6]C. Input'!$F$222</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hidden="1">{"'Highlights'!$A$1:$M$123"}</definedName>
    <definedName name="SAPBEXrevision" hidden="1">1</definedName>
    <definedName name="SAPBEXsysID" hidden="1">"BWP"</definedName>
    <definedName name="SAPBEXwbID" hidden="1">"45EQYSCWE9WJMGB34OOD1BOQZ"</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CUR_GI">'[6]C. Input'!$F$353</definedName>
    <definedName name="SECUR_IS">'[6]C. Input'!$F$357</definedName>
    <definedName name="SECUR_KR">'[6]C. Input'!$F$349</definedName>
    <definedName name="SELECT">#N/A</definedName>
    <definedName name="sencount" hidden="1">1</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rvice_Metered">[7]CALCULATIONS!$C$19</definedName>
    <definedName name="SEVEN">#N/A</definedName>
    <definedName name="SEVILLE">#REF!</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hidden="1">{0,0,0,0;0,0,0,0;0,0,0,0;0,0,0,0;0,0,0,0;0,0,0,0;0,0,2,0;2,3,3,0;FALSE,FALSE,FALSE,FALSE;TRUE,FALSE,TRUE,TRUE;FALSE,FALSE,TRUE,TRUE;FALSE,0,2.78134444564786E-308,4.45015196281921E-308;7.78776275135711E-308,1.33504516457612E-307,2.22507555776164E-307,3.56012157274209E-307}</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6" hidden="1">{#N/A,#N/A,FALSE,"O&amp;M by processes";#N/A,#N/A,FALSE,"Elec Act vs Bud";#N/A,#N/A,FALSE,"G&amp;A";#N/A,#N/A,FALSE,"BGS";#N/A,#N/A,FALSE,"Res Cost"}</definedName>
    <definedName name="shiva" localSheetId="0" hidden="1">{#N/A,#N/A,FALSE,"O&amp;M by processes";#N/A,#N/A,FALSE,"Elec Act vs Bud";#N/A,#N/A,FALSE,"G&amp;A";#N/A,#N/A,FALSE,"BGS";#N/A,#N/A,FALSE,"Res Cost"}</definedName>
    <definedName name="shiva" localSheetId="3" hidden="1">{#N/A,#N/A,FALSE,"O&amp;M by processes";#N/A,#N/A,FALSE,"Elec Act vs Bud";#N/A,#N/A,FALSE,"G&amp;A";#N/A,#N/A,FALSE,"BGS";#N/A,#N/A,FALSE,"Res Cost"}</definedName>
    <definedName name="shiva" hidden="1">{#N/A,#N/A,FALSE,"O&amp;M by processes";#N/A,#N/A,FALSE,"Elec Act vs Bud";#N/A,#N/A,FALSE,"G&amp;A";#N/A,#N/A,FALSE,"BGS";#N/A,#N/A,FALSE,"Res Cost"}</definedName>
    <definedName name="SIX">#N/A</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ORT">#N/A</definedName>
    <definedName name="SOUTH_VIENNA">#REF!</definedName>
    <definedName name="SPACE">#N/A</definedName>
    <definedName name="Spot_Purchases_and_Tailgate">#REF!</definedName>
    <definedName name="SPOTE_04">#REF!</definedName>
    <definedName name="SPS_COS">#REF!</definedName>
    <definedName name="SPWS_WBID">"6770D16C-B453-4883-9736-E9CCF832AEC8"</definedName>
    <definedName name="SSDD" hidden="1">#REF!</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TART">#REF!</definedName>
    <definedName name="STARTCR">#REF!</definedName>
    <definedName name="STARTDR">#REF!</definedName>
    <definedName name="statsrevised" localSheetId="16" hidden="1">{#N/A,#N/A,FALSE,"O&amp;M by processes";#N/A,#N/A,FALSE,"Elec Act vs Bud";#N/A,#N/A,FALSE,"G&amp;A";#N/A,#N/A,FALSE,"BGS";#N/A,#N/A,FALSE,"Res Cost"}</definedName>
    <definedName name="statsrevised" localSheetId="0" hidden="1">{#N/A,#N/A,FALSE,"O&amp;M by processes";#N/A,#N/A,FALSE,"Elec Act vs Bud";#N/A,#N/A,FALSE,"G&amp;A";#N/A,#N/A,FALSE,"BGS";#N/A,#N/A,FALSE,"Res Cost"}</definedName>
    <definedName name="statsrevised" localSheetId="3" hidden="1">{#N/A,#N/A,FALSE,"O&amp;M by processes";#N/A,#N/A,FALSE,"Elec Act vs Bud";#N/A,#N/A,FALSE,"G&amp;A";#N/A,#N/A,FALSE,"BGS";#N/A,#N/A,FALSE,"Res Cost"}</definedName>
    <definedName name="statsrevised" hidden="1">{#N/A,#N/A,FALSE,"O&amp;M by processes";#N/A,#N/A,FALSE,"Elec Act vs Bud";#N/A,#N/A,FALSE,"G&amp;A";#N/A,#N/A,FALSE,"BGS";#N/A,#N/A,FALSE,"Res Cost"}</definedName>
    <definedName name="stuff" hidden="1">#REF!</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TITLE">#N/A</definedName>
    <definedName name="SUMMARY">#REF!</definedName>
    <definedName name="support" localSheetId="16" hidden="1">{#N/A,#N/A,FALSE,"O&amp;M by processes";#N/A,#N/A,FALSE,"Elec Act vs Bud";#N/A,#N/A,FALSE,"G&amp;A";#N/A,#N/A,FALSE,"BGS";#N/A,#N/A,FALSE,"Res Cost"}</definedName>
    <definedName name="support" localSheetId="0" hidden="1">{#N/A,#N/A,FALSE,"O&amp;M by processes";#N/A,#N/A,FALSE,"Elec Act vs Bud";#N/A,#N/A,FALSE,"G&amp;A";#N/A,#N/A,FALSE,"BGS";#N/A,#N/A,FALSE,"Res Cost"}</definedName>
    <definedName name="support" localSheetId="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6" hidden="1">{#N/A,#N/A,FALSE,"O&amp;M by processes";#N/A,#N/A,FALSE,"Elec Act vs Bud";#N/A,#N/A,FALSE,"G&amp;A";#N/A,#N/A,FALSE,"BGS";#N/A,#N/A,FALSE,"Res Cost"}</definedName>
    <definedName name="supporti" localSheetId="0" hidden="1">{#N/A,#N/A,FALSE,"O&amp;M by processes";#N/A,#N/A,FALSE,"Elec Act vs Bud";#N/A,#N/A,FALSE,"G&amp;A";#N/A,#N/A,FALSE,"BGS";#N/A,#N/A,FALSE,"Res Cost"}</definedName>
    <definedName name="supporti" localSheetId="3" hidden="1">{#N/A,#N/A,FALSE,"O&amp;M by processes";#N/A,#N/A,FALSE,"Elec Act vs Bud";#N/A,#N/A,FALSE,"G&amp;A";#N/A,#N/A,FALSE,"BGS";#N/A,#N/A,FALSE,"Res Cost"}</definedName>
    <definedName name="supporti" hidden="1">{#N/A,#N/A,FALSE,"O&amp;M by processes";#N/A,#N/A,FALSE,"Elec Act vs Bud";#N/A,#N/A,FALSE,"G&amp;A";#N/A,#N/A,FALSE,"BGS";#N/A,#N/A,FALSE,"Res Cost"}</definedName>
    <definedName name="SUPPORTING_DATA_TO_UPLOAD">#REF!</definedName>
    <definedName name="suz">'[3]BC 2 2005BC'!#REF!</definedName>
    <definedName name="Swvu.earnings." hidden="1">#REF!</definedName>
    <definedName name="TABLE4_1">#REF!</definedName>
    <definedName name="TABLE4_2">#REF!</definedName>
    <definedName name="TableName">"Dummy"</definedName>
    <definedName name="taxcalc">#REF!</definedName>
    <definedName name="TaxTV">10%</definedName>
    <definedName name="TaxXL">5%</definedName>
    <definedName name="TDR_ITC">'[6]C. Input'!#REF!</definedName>
    <definedName name="TDR_TD">'[6]C. Input'!#REF!</definedName>
    <definedName name="TDRXS">'[6]C. Input'!$F$234</definedName>
    <definedName name="TDX">'[6]C. Input'!$F$304</definedName>
    <definedName name="TDX_TD">'[6]C. Input'!#REF!</definedName>
    <definedName name="teagdz" hidden="1">{"Factsheet",#N/A,FALSE,"Fact";"Earnings",#N/A,FALSE,"Earnings";"BalanceSheet",#N/A,FALSE,"BalanceSheet";"Change in Cash",#N/A,FALSE,"CashFlow"}</definedName>
    <definedName name="TEN">#N/A</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Q">'[6]C. Input'!$F$277</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HREE">#N/A</definedName>
    <definedName name="Time" hidden="1">"b1"</definedName>
    <definedName name="TKW">'[6]C. Input'!$F$330</definedName>
    <definedName name="TKWS">'[6]C. Input'!#REF!</definedName>
    <definedName name="TL">'[6]C. Input'!$F$178</definedName>
    <definedName name="TL_561">'[6]C. Input'!#REF!</definedName>
    <definedName name="TLR_TST">'[6]A.2 PTP'!$P$91</definedName>
    <definedName name="Toggle">'[8]Appendix A'!$H$7</definedName>
    <definedName name="TOM">'[6]C. Input'!$F$270</definedName>
    <definedName name="TOM_EAI">'[6]C. Input'!#REF!</definedName>
    <definedName name="TOM_EGSI">'[6]C. Input'!#REF!</definedName>
    <definedName name="TOM_ELI">'[6]C. Input'!#REF!</definedName>
    <definedName name="TOM_EMI">'[6]C. Input'!#REF!</definedName>
    <definedName name="TOM_ENOI">'[6]C. Input'!#REF!</definedName>
    <definedName name="TOM_ICTC">'[6]C. Input'!#REF!</definedName>
    <definedName name="toma" localSheetId="16" hidden="1">{#N/A,#N/A,FALSE,"O&amp;M by processes";#N/A,#N/A,FALSE,"Elec Act vs Bud";#N/A,#N/A,FALSE,"G&amp;A";#N/A,#N/A,FALSE,"BGS";#N/A,#N/A,FALSE,"Res Cost"}</definedName>
    <definedName name="toma" localSheetId="0" hidden="1">{#N/A,#N/A,FALSE,"O&amp;M by processes";#N/A,#N/A,FALSE,"Elec Act vs Bud";#N/A,#N/A,FALSE,"G&amp;A";#N/A,#N/A,FALSE,"BGS";#N/A,#N/A,FALSE,"Res Cost"}</definedName>
    <definedName name="toma" localSheetId="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6" hidden="1">{#N/A,#N/A,FALSE,"O&amp;M by processes";#N/A,#N/A,FALSE,"Elec Act vs Bud";#N/A,#N/A,FALSE,"G&amp;A";#N/A,#N/A,FALSE,"BGS";#N/A,#N/A,FALSE,"Res Cost"}</definedName>
    <definedName name="tomb" localSheetId="0" hidden="1">{#N/A,#N/A,FALSE,"O&amp;M by processes";#N/A,#N/A,FALSE,"Elec Act vs Bud";#N/A,#N/A,FALSE,"G&amp;A";#N/A,#N/A,FALSE,"BGS";#N/A,#N/A,FALSE,"Res Cost"}</definedName>
    <definedName name="tomb" localSheetId="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6" hidden="1">{#N/A,#N/A,FALSE,"O&amp;M by processes";#N/A,#N/A,FALSE,"Elec Act vs Bud";#N/A,#N/A,FALSE,"G&amp;A";#N/A,#N/A,FALSE,"BGS";#N/A,#N/A,FALSE,"Res Cost"}</definedName>
    <definedName name="tomc" localSheetId="0" hidden="1">{#N/A,#N/A,FALSE,"O&amp;M by processes";#N/A,#N/A,FALSE,"Elec Act vs Bud";#N/A,#N/A,FALSE,"G&amp;A";#N/A,#N/A,FALSE,"BGS";#N/A,#N/A,FALSE,"Res Cost"}</definedName>
    <definedName name="tomc" localSheetId="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6" hidden="1">{#N/A,#N/A,FALSE,"O&amp;M by processes";#N/A,#N/A,FALSE,"Elec Act vs Bud";#N/A,#N/A,FALSE,"G&amp;A";#N/A,#N/A,FALSE,"BGS";#N/A,#N/A,FALSE,"Res Cost"}</definedName>
    <definedName name="tomd" localSheetId="0" hidden="1">{#N/A,#N/A,FALSE,"O&amp;M by processes";#N/A,#N/A,FALSE,"Elec Act vs Bud";#N/A,#N/A,FALSE,"G&amp;A";#N/A,#N/A,FALSE,"BGS";#N/A,#N/A,FALSE,"Res Cost"}</definedName>
    <definedName name="tomd" localSheetId="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6" hidden="1">{#N/A,#N/A,FALSE,"O&amp;M by processes";#N/A,#N/A,FALSE,"Elec Act vs Bud";#N/A,#N/A,FALSE,"G&amp;A";#N/A,#N/A,FALSE,"BGS";#N/A,#N/A,FALSE,"Res Cost"}</definedName>
    <definedName name="tomx" localSheetId="0" hidden="1">{#N/A,#N/A,FALSE,"O&amp;M by processes";#N/A,#N/A,FALSE,"Elec Act vs Bud";#N/A,#N/A,FALSE,"G&amp;A";#N/A,#N/A,FALSE,"BGS";#N/A,#N/A,FALSE,"Res Cost"}</definedName>
    <definedName name="tomx" localSheetId="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6" hidden="1">{#N/A,#N/A,FALSE,"O&amp;M by processes";#N/A,#N/A,FALSE,"Elec Act vs Bud";#N/A,#N/A,FALSE,"G&amp;A";#N/A,#N/A,FALSE,"BGS";#N/A,#N/A,FALSE,"Res Cost"}</definedName>
    <definedName name="tomy" localSheetId="0" hidden="1">{#N/A,#N/A,FALSE,"O&amp;M by processes";#N/A,#N/A,FALSE,"Elec Act vs Bud";#N/A,#N/A,FALSE,"G&amp;A";#N/A,#N/A,FALSE,"BGS";#N/A,#N/A,FALSE,"Res Cost"}</definedName>
    <definedName name="tomy" localSheetId="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6" hidden="1">{#N/A,#N/A,FALSE,"O&amp;M by processes";#N/A,#N/A,FALSE,"Elec Act vs Bud";#N/A,#N/A,FALSE,"G&amp;A";#N/A,#N/A,FALSE,"BGS";#N/A,#N/A,FALSE,"Res Cost"}</definedName>
    <definedName name="tomz" localSheetId="0" hidden="1">{#N/A,#N/A,FALSE,"O&amp;M by processes";#N/A,#N/A,FALSE,"Elec Act vs Bud";#N/A,#N/A,FALSE,"G&amp;A";#N/A,#N/A,FALSE,"BGS";#N/A,#N/A,FALSE,"Res Cost"}</definedName>
    <definedName name="tomz" localSheetId="3"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TOTAL">#REF!</definedName>
    <definedName name="TOTAL_COLUMBIANA">#REF!</definedName>
    <definedName name="Total_Grove_City">#REF!</definedName>
    <definedName name="TOTAL_HUDSON">#REF!</definedName>
    <definedName name="Total_kWh">[7]CALCULATIONS!$C$21</definedName>
    <definedName name="TOTAL_MONTPELIER">#REF!</definedName>
    <definedName name="TOTAL_WOODVILLE">#REF!</definedName>
    <definedName name="TOTALS">#REF!</definedName>
    <definedName name="TP">#REF!</definedName>
    <definedName name="TPLT">'[6]C. Input'!$F$161</definedName>
    <definedName name="TPLT_ITC">'[6]C. Input'!#REF!</definedName>
    <definedName name="TPLTXS">'[6]C. Input'!$F$164</definedName>
    <definedName name="TPR_TST">'[6]A.2 PTP'!$P$75</definedName>
    <definedName name="TRANSMISSION_PEAK">[7]TRANSMISSION!$C$15</definedName>
    <definedName name="TRB">'[6]A.2 PTP'!$P$165</definedName>
    <definedName name="TREV">'[6]C. Input'!$F$287</definedName>
    <definedName name="True_up">'[8]Appendix A'!$H$6</definedName>
    <definedName name="tryertyrty" hidden="1">{#N/A,#N/A,FALSE,"Income Statement";#N/A,#N/A,FALSE,"Quarter IS";#N/A,#N/A,FALSE,"US E&amp;P";#N/A,#N/A,FALSE,"International E&amp;P";#N/A,#N/A,FALSE,"Chemicals"}</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WELVE">#N/A</definedName>
    <definedName name="TWO">#N/A</definedName>
    <definedName name="TX">'[6]A.2 PTP'!$P$31</definedName>
    <definedName name="TXO">'[6]C. Input'!$F$215</definedName>
    <definedName name="TXP_TST">'[6]A.2 PTP'!$P$212</definedName>
    <definedName name="TYE">#N/A</definedName>
    <definedName name="TYE_1">#N/A</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ETextLen">#REF!</definedName>
    <definedName name="Typist" hidden="1">"b1"</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nderground_Storage_Activity">#REF!</definedName>
    <definedName name="URA">'[6]C. Input'!$F$337</definedName>
    <definedName name="username">[5]DANDE!#REF!</definedName>
    <definedName name="uwu" hidden="1">{#N/A,#N/A,FALSE,"QTR Total";#N/A,#N/A,FALSE,"QTR ASNS";#N/A,#N/A,FALSE,"QTR PNCNS";#N/A,#N/A,FALSE,"QTR DSNS";#N/A,#N/A,FALSE,"QTR TNS"}</definedName>
    <definedName name="v" hidden="1">{#N/A,#N/A,FALSE,"TOTFINAL";#N/A,#N/A,FALSE,"FINPLAN";#N/A,#N/A,FALSE,"TOTMOTADJ";#N/A,#N/A,FALSE,"tieEQ";#N/A,#N/A,FALSE,"G";#N/A,#N/A,FALSE,"ELIMS";#N/A,#N/A,FALSE,"NEXTEL ADJ";#N/A,#N/A,FALSE,"MIMS";#N/A,#N/A,FALSE,"LMPS";#N/A,#N/A,FALSE,"CNSS";#N/A,#N/A,FALSE,"CSS";#N/A,#N/A,FALSE,"MCG";#N/A,#N/A,FALSE,"AECS";#N/A,#N/A,FALSE,"SPS";#N/A,#N/A,FALSE,"CORP"}</definedName>
    <definedName name="Version" hidden="1">"a1"</definedName>
    <definedName name="VSPAE">'[6]C. Input'!#REF!</definedName>
    <definedName name="VSPRB">'[6]C. Input'!#REF!</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DSWORTH">#REF!</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PA_CROD">[7]CALCULATIONS!#REF!</definedName>
    <definedName name="WAPA_Demand">[7]CALCULATIONS!$C$33</definedName>
    <definedName name="WAPA_Energy">[7]CALCULATIONS!$C$32</definedName>
    <definedName name="WARR" hidden="1">[20]Sheet2!#REF!</definedName>
    <definedName name="we" hidden="1">{#N/A,#N/A,FALSE,"1997 WW (Short)";#N/A,#N/A,FALSE,"1997 RF Mfg";#N/A,#N/A,FALSE,"Ancillary-CSM";#N/A,#N/A,FALSE,"1997 Service"}</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LL_HEAD_ESTIMATES">#REF!</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hidden="1">{"Factsheet",#N/A,FALSE,"Fact";"Earnings",#N/A,FALSE,"Earnings";"BalanceSheet",#N/A,FALSE,"BalanceSheet";"Change in Cash",#N/A,FALSE,"CashFlow";"Q Rating",#N/A,FALSE,"Q-Rating";"Dupont",#N/A,FALSE,"Dupont"}</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STERN_DEMAND">[7]CALCULATIONS!#REF!</definedName>
    <definedName name="WESTERN_ENERGY">[7]CALCULATIONS!#REF!</definedName>
    <definedName name="WFTSR">'[6]A.2 PTP'!$P$282</definedName>
    <definedName name="wh" localSheetId="16" hidden="1">{#N/A,#N/A,FALSE,"O&amp;M by processes";#N/A,#N/A,FALSE,"Elec Act vs Bud";#N/A,#N/A,FALSE,"G&amp;A";#N/A,#N/A,FALSE,"BGS";#N/A,#N/A,FALSE,"Res Cost"}</definedName>
    <definedName name="wh" localSheetId="0" hidden="1">{#N/A,#N/A,FALSE,"O&amp;M by processes";#N/A,#N/A,FALSE,"Elec Act vs Bud";#N/A,#N/A,FALSE,"G&amp;A";#N/A,#N/A,FALSE,"BGS";#N/A,#N/A,FALSE,"Res Cost"}</definedName>
    <definedName name="wh" localSheetId="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6" hidden="1">{#N/A,#N/A,FALSE,"O&amp;M by processes";#N/A,#N/A,FALSE,"Elec Act vs Bud";#N/A,#N/A,FALSE,"G&amp;A";#N/A,#N/A,FALSE,"BGS";#N/A,#N/A,FALSE,"Res Cost"}</definedName>
    <definedName name="what" localSheetId="0" hidden="1">{#N/A,#N/A,FALSE,"O&amp;M by processes";#N/A,#N/A,FALSE,"Elec Act vs Bud";#N/A,#N/A,FALSE,"G&amp;A";#N/A,#N/A,FALSE,"BGS";#N/A,#N/A,FALSE,"Res Cost"}</definedName>
    <definedName name="what" localSheetId="3" hidden="1">{#N/A,#N/A,FALSE,"O&amp;M by processes";#N/A,#N/A,FALSE,"Elec Act vs Bud";#N/A,#N/A,FALSE,"G&amp;A";#N/A,#N/A,FALSE,"BGS";#N/A,#N/A,FALSE,"Res Cost"}</definedName>
    <definedName name="what" hidden="1">{#N/A,#N/A,FALSE,"O&amp;M by processes";#N/A,#N/A,FALSE,"Elec Act vs Bud";#N/A,#N/A,FALSE,"G&amp;A";#N/A,#N/A,FALSE,"BGS";#N/A,#N/A,FALSE,"Res Cost"}</definedName>
    <definedName name="what2" hidden="1">{"Age 50; 100% - NPPC",#N/A,FALSE,"Age 50; 100%";"Age 50; 100% - PSC",#N/A,FALSE,"Age 50; 100%";"Age 50; 100% - Gain/Loss",#N/A,FALSE,"Age 50; 100%"}</definedName>
    <definedName name="what3" hidden="1">{"Age 50; 50% - NPPC",#N/A,FALSE,"Age 50; 50%";"Age 50; 50% - PSC",#N/A,FALSE,"Age 50; 50%";"Age 50; 50% - Gain/Loss",#N/A,FALSE,"Age 50; 50%"}</definedName>
    <definedName name="Whatwhat" localSheetId="16" hidden="1">{#N/A,#N/A,FALSE,"O&amp;M by processes";#N/A,#N/A,FALSE,"Elec Act vs Bud";#N/A,#N/A,FALSE,"G&amp;A";#N/A,#N/A,FALSE,"BGS";#N/A,#N/A,FALSE,"Res Cost"}</definedName>
    <definedName name="Whatwhat" localSheetId="0" hidden="1">{#N/A,#N/A,FALSE,"O&amp;M by processes";#N/A,#N/A,FALSE,"Elec Act vs Bud";#N/A,#N/A,FALSE,"G&amp;A";#N/A,#N/A,FALSE,"BGS";#N/A,#N/A,FALSE,"Res Cost"}</definedName>
    <definedName name="Whatwhat" localSheetId="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6" hidden="1">{#N/A,#N/A,FALSE,"O&amp;M by processes";#N/A,#N/A,FALSE,"Elec Act vs Bud";#N/A,#N/A,FALSE,"G&amp;A";#N/A,#N/A,FALSE,"BGS";#N/A,#N/A,FALSE,"Res Cost"}</definedName>
    <definedName name="who" localSheetId="0" hidden="1">{#N/A,#N/A,FALSE,"O&amp;M by processes";#N/A,#N/A,FALSE,"Elec Act vs Bud";#N/A,#N/A,FALSE,"G&amp;A";#N/A,#N/A,FALSE,"BGS";#N/A,#N/A,FALSE,"Res Cost"}</definedName>
    <definedName name="who" localSheetId="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6" hidden="1">{#N/A,#N/A,FALSE,"O&amp;M by processes";#N/A,#N/A,FALSE,"Elec Act vs Bud";#N/A,#N/A,FALSE,"G&amp;A";#N/A,#N/A,FALSE,"BGS";#N/A,#N/A,FALSE,"Res Cost"}</definedName>
    <definedName name="whowho" localSheetId="0" hidden="1">{#N/A,#N/A,FALSE,"O&amp;M by processes";#N/A,#N/A,FALSE,"Elec Act vs Bud";#N/A,#N/A,FALSE,"G&amp;A";#N/A,#N/A,FALSE,"BGS";#N/A,#N/A,FALSE,"Res Cost"}</definedName>
    <definedName name="whowho" localSheetId="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6" hidden="1">{#N/A,#N/A,FALSE,"O&amp;M by processes";#N/A,#N/A,FALSE,"Elec Act vs Bud";#N/A,#N/A,FALSE,"G&amp;A";#N/A,#N/A,FALSE,"BGS";#N/A,#N/A,FALSE,"Res Cost"}</definedName>
    <definedName name="whwh" localSheetId="0" hidden="1">{#N/A,#N/A,FALSE,"O&amp;M by processes";#N/A,#N/A,FALSE,"Elec Act vs Bud";#N/A,#N/A,FALSE,"G&amp;A";#N/A,#N/A,FALSE,"BGS";#N/A,#N/A,FALSE,"Res Cost"}</definedName>
    <definedName name="whwh" localSheetId="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6" hidden="1">{#N/A,#N/A,FALSE,"O&amp;M by processes";#N/A,#N/A,FALSE,"Elec Act vs Bud";#N/A,#N/A,FALSE,"G&amp;A";#N/A,#N/A,FALSE,"BGS";#N/A,#N/A,FALSE,"Res Cost"}</definedName>
    <definedName name="why" localSheetId="0" hidden="1">{#N/A,#N/A,FALSE,"O&amp;M by processes";#N/A,#N/A,FALSE,"Elec Act vs Bud";#N/A,#N/A,FALSE,"G&amp;A";#N/A,#N/A,FALSE,"BGS";#N/A,#N/A,FALSE,"Res Cost"}</definedName>
    <definedName name="why" localSheetId="3" hidden="1">{#N/A,#N/A,FALSE,"O&amp;M by processes";#N/A,#N/A,FALSE,"Elec Act vs Bud";#N/A,#N/A,FALSE,"G&amp;A";#N/A,#N/A,FALSE,"BGS";#N/A,#N/A,FALSE,"Res Cost"}</definedName>
    <definedName name="why" hidden="1">{#N/A,#N/A,FALSE,"O&amp;M by processes";#N/A,#N/A,FALSE,"Elec Act vs Bud";#N/A,#N/A,FALSE,"G&amp;A";#N/A,#N/A,FALSE,"BGS";#N/A,#N/A,FALSE,"Res Cost"}</definedName>
    <definedName name="WITHSTD">#REF!</definedName>
    <definedName name="WO">[21]WOTable!$A$2:$E$68</definedName>
    <definedName name="WOList">[21]WOTable!$A$2:$E$109</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 localSheetId="16" hidden="1">{#N/A,#N/A,FALSE,"O&amp;M by processes";#N/A,#N/A,FALSE,"Elec Act vs Bud";#N/A,#N/A,FALSE,"G&amp;A";#N/A,#N/A,FALSE,"BGS";#N/A,#N/A,FALSE,"Res Cost"}</definedName>
    <definedName name="wrn" localSheetId="0" hidden="1">{#N/A,#N/A,FALSE,"O&amp;M by processes";#N/A,#N/A,FALSE,"Elec Act vs Bud";#N/A,#N/A,FALSE,"G&amp;A";#N/A,#N/A,FALSE,"BGS";#N/A,#N/A,FALSE,"Res Cost"}</definedName>
    <definedName name="wrn" localSheetId="3"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hidden="1">{#N/A,#N/A,FALSE,"BS_CORPORATE"}</definedName>
    <definedName name="wrn.03_Corporate._1" hidden="1">{#N/A,#N/A,FALSE,"BS_CORPORATE"}</definedName>
    <definedName name="wrn.03_Corporate._2" hidden="1">{#N/A,#N/A,FALSE,"BS_CORPORATE"}</definedName>
    <definedName name="wrn.03_Corporate._3" hidden="1">{#N/A,#N/A,FALSE,"BS_CORPORATE"}</definedName>
    <definedName name="wrn.03_Corporate._4" hidden="1">{#N/A,#N/A,FALSE,"BS_CORPORATE"}</definedName>
    <definedName name="wrn.03_Corporate._5" hidden="1">{#N/A,#N/A,FALSE,"BS_CORPORATE"}</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hidden="1">{#N/A,#N/A,FALSE,"BS_ESG ";#N/A,#N/A,FALSE,"P&amp;L_ESG"}</definedName>
    <definedName name="wrn.04_ESG._1" hidden="1">{#N/A,#N/A,FALSE,"BS_ESG ";#N/A,#N/A,FALSE,"P&amp;L_ESG"}</definedName>
    <definedName name="wrn.04_ESG._2" hidden="1">{#N/A,#N/A,FALSE,"BS_ESG ";#N/A,#N/A,FALSE,"P&amp;L_ESG"}</definedName>
    <definedName name="wrn.04_ESG._3" hidden="1">{#N/A,#N/A,FALSE,"BS_ESG ";#N/A,#N/A,FALSE,"P&amp;L_ESG"}</definedName>
    <definedName name="wrn.04_ESG._4" hidden="1">{#N/A,#N/A,FALSE,"BS_ESG ";#N/A,#N/A,FALSE,"P&amp;L_ESG"}</definedName>
    <definedName name="wrn.04_ESG._5" hidden="1">{#N/A,#N/A,FALSE,"BS_ESG ";#N/A,#N/A,FALSE,"P&amp;L_ESG"}</definedName>
    <definedName name="wrn.05_SPS." hidden="1">{#N/A,#N/A,FALSE,"Balance SPS";#N/A,#N/A,FALSE,"P&amp;L_SPS"}</definedName>
    <definedName name="wrn.05_SPS._1" hidden="1">{#N/A,#N/A,FALSE,"Balance SPS";#N/A,#N/A,FALSE,"P&amp;L_SPS"}</definedName>
    <definedName name="wrn.05_SPS._2" hidden="1">{#N/A,#N/A,FALSE,"Balance SPS";#N/A,#N/A,FALSE,"P&amp;L_SPS"}</definedName>
    <definedName name="wrn.05_SPS._3" hidden="1">{#N/A,#N/A,FALSE,"Balance SPS";#N/A,#N/A,FALSE,"P&amp;L_SPS"}</definedName>
    <definedName name="wrn.05_SPS._4" hidden="1">{#N/A,#N/A,FALSE,"Balance SPS";#N/A,#N/A,FALSE,"P&amp;L_SPS"}</definedName>
    <definedName name="wrn.05_SPS._5" hidden="1">{#N/A,#N/A,FALSE,"Balance SPS";#N/A,#N/A,FALSE,"P&amp;L_SPS"}</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hidden="1">{#N/A,#N/A,TRUE,"TAX CALC";#N/A,#N/A,TRUE,"TI SUMMARY";#N/A,#N/A,TRUE,"AMT";#N/A,#N/A,TRUE,"ETR REVIEW"}</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6" hidden="1">{#N/A,#N/A,FALSE,"CURRENT"}</definedName>
    <definedName name="wrn.722." localSheetId="0" hidden="1">{#N/A,#N/A,FALSE,"CURRENT"}</definedName>
    <definedName name="wrn.722." localSheetId="3" hidden="1">{#N/A,#N/A,FALSE,"CURRENT"}</definedName>
    <definedName name="wrn.722." hidden="1">{#N/A,#N/A,FALSE,"CURRENT"}</definedName>
    <definedName name="wrn.Accounting._.May." hidden="1">{#N/A,#N/A,TRUE,"Sum(2)";#N/A,#N/A,TRUE,"bs";#N/A,#N/A,TRUE,"pnl";#N/A,#N/A,TRUE,"BY DEPT 9605";#N/A,#N/A,TRUE,"BY S/A 9605"}</definedName>
    <definedName name="wrn.AGT." localSheetId="16" hidden="1">{"AGT",#N/A,FALSE,"Revenue"}</definedName>
    <definedName name="wrn.AGT." localSheetId="0" hidden="1">{"AGT",#N/A,FALSE,"Revenue"}</definedName>
    <definedName name="wrn.AGT." localSheetId="3" hidden="1">{"AGT",#N/A,FALSE,"Revenue"}</definedName>
    <definedName name="wrn.AGT." hidden="1">{"AGT",#N/A,FALSE,"Revenue"}</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hidden="1">{#N/A,#N/A,TRUE,"Blank";#N/A,#N/A,TRUE,"Report - Portrait";#N/A,#N/A,TRUE,"Report - Landscape";#N/A,#N/A,TRUE,"FAS87 Results"}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ncg." hidden="1">{"summary",#N/A,FALSE,"summary";"liabsumm",#N/A,FALSE,"liabsumm";"gl",#N/A,FALSE,"gl";"gl2",#N/A,FALSE,"gl2";"exp",#N/A,FALSE,"exp";"ancg_amort",#N/A,FALSE,"ancg_amort";"recon",#N/A,FALSE,"recon"}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ugust._.1._.2003._.Rate._.Change." localSheetId="16"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hidden="1">{#N/A,#N/A,FALSE,"BACK UP CORPORATE"}</definedName>
    <definedName name="wrn.Backup._.Corporate._1" hidden="1">{#N/A,#N/A,FALSE,"BACK UP CORPORATE"}</definedName>
    <definedName name="wrn.Backup._.Corporate._2" hidden="1">{#N/A,#N/A,FALSE,"BACK UP CORPORATE"}</definedName>
    <definedName name="wrn.Backup._.Corporate._3" hidden="1">{#N/A,#N/A,FALSE,"BACK UP CORPORATE"}</definedName>
    <definedName name="wrn.Backup._.Corporate._4" hidden="1">{#N/A,#N/A,FALSE,"BACK UP CORPORATE"}</definedName>
    <definedName name="wrn.Backup._.Corporate._5" hidden="1">{#N/A,#N/A,FALSE,"BACK UP CORPORATE"}</definedName>
    <definedName name="wrn.Balance._.Sheet._.with._.details." hidden="1">{"Balance Sheet",#N/A,FALSE,"Balance";"Balance Sheet Details",#N/A,FALSE,"Balance"}</definedName>
    <definedName name="wrn.Basic." localSheetId="16" hidden="1">{#N/A,#N/A,FALSE,"O&amp;M by processes";#N/A,#N/A,FALSE,"Elec Act vs Bud";#N/A,#N/A,FALSE,"G&amp;A";#N/A,#N/A,FALSE,"BGS";#N/A,#N/A,FALSE,"Res Cost"}</definedName>
    <definedName name="wrn.Basic." localSheetId="0" hidden="1">{#N/A,#N/A,FALSE,"O&amp;M by processes";#N/A,#N/A,FALSE,"Elec Act vs Bud";#N/A,#N/A,FALSE,"G&amp;A";#N/A,#N/A,FALSE,"BGS";#N/A,#N/A,FALSE,"Res Cost"}</definedName>
    <definedName name="wrn.Basic." localSheetId="3"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hidden="1">{#N/A,#N/A,FALSE,"Total";#N/A,#N/A,FALSE,"ASNS";#N/A,#N/A,FALSE,"PNCNS";#N/A,#N/A,FALSE,"DSNS";#N/A,#N/A,FALSE,"TNS"}</definedName>
    <definedName name="wrn.calcs." hidden="1">{"calcs1",#N/A,FALSE,"Calcs";"calcs2",#N/A,FALSE,"Calcs"}</definedName>
    <definedName name="wrn.CBd750" hidden="1">{"CBd750-IP(FAS87)",#N/A,FALSE,"CBd750";"CBd750-Dyn(FAS87)",#N/A,FALSE,"CBd750";"CBd750-IP(G/L)",#N/A,FALSE,"CBd750";"CBd750-Dyn(G/L)",#N/A,FALSE,"CBd750";"CBd750-Both(Amort)",#N/A,FALSE,"CBd750"}</definedName>
    <definedName name="wrn.ChartSet." localSheetId="16" hidden="1">{#N/A,#N/A,FALSE,"Elec Deliv";#N/A,#N/A,FALSE,"Atlantic Pie";#N/A,#N/A,FALSE,"Bay Pie";#N/A,#N/A,FALSE,"New Castle Pie";#N/A,#N/A,FALSE,"Transmission Pie"}</definedName>
    <definedName name="wrn.ChartSet." localSheetId="0" hidden="1">{#N/A,#N/A,FALSE,"Elec Deliv";#N/A,#N/A,FALSE,"Atlantic Pie";#N/A,#N/A,FALSE,"Bay Pie";#N/A,#N/A,FALSE,"New Castle Pie";#N/A,#N/A,FALSE,"Transmission Pie"}</definedName>
    <definedName name="wrn.ChartSet." localSheetId="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hidden="1">{"US Chemical Summary",#N/A,FALSE,"USChem";"Foreign Chemical Summary",#N/A,FALSE,"ForChem"}</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hidden="1">{#N/A,#N/A,FALSE,"BACK UP CIG"}</definedName>
    <definedName name="wrn.CIG._.Back._.up._.Files._1" hidden="1">{#N/A,#N/A,FALSE,"BACK UP CIG"}</definedName>
    <definedName name="wrn.CIG._.Back._.up._.Files._2" hidden="1">{#N/A,#N/A,FALSE,"BACK UP CIG"}</definedName>
    <definedName name="wrn.CIG._.Back._.up._.Files._3" hidden="1">{#N/A,#N/A,FALSE,"BACK UP CIG"}</definedName>
    <definedName name="wrn.CIG._.Back._.up._.Files._4" hidden="1">{#N/A,#N/A,FALSE,"BACK UP CIG"}</definedName>
    <definedName name="wrn.CIG._.Back._.up._.Files._5" hidden="1">{#N/A,#N/A,FALSE,"BACK UP CIG"}</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hidden="1">{#N/A,#N/A,FALSE,"4-up charts p.1";#N/A,#N/A,FALSE,"4-up charts p.2";#N/A,#N/A,FALSE," rate of ? qtr";#N/A,#N/A,FALSE,"Detail Rel rate of ? ";#N/A,#N/A,FALSE,"Inventory"}</definedName>
    <definedName name="wrn.ClientReport." hidden="1">{"Summary",#N/A,FALSE,"Summary";"Liabsumm",#N/A,FALSE,"Liabsumm";"Assets",#N/A,FALSE,"Assets";"GL",#N/A,FALSE,"GL";"GL2",#N/A,FALSE,"GL2";"amort",#N/A,FALSE,"amort";"Recon",#N/A,FALSE,"Recon";"FAS1321",#N/A,FALSE,"FAS1321";"FAS1322",#N/A,FALSE,"FAS1322"}</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ver_financials." hidden="1">{"Factsheet",#N/A,FALSE,"Fact";"Earnings",#N/A,FALSE,"Earnings";"BalanceSheet",#N/A,FALSE,"BalanceSheet";"Change in Cash",#N/A,FALSE,"CashFlow"}</definedName>
    <definedName name="wrn.Data._.dump." localSheetId="16" hidden="1">{"Input Data",#N/A,FALSE,"Input";"Income and Cash Flow",#N/A,FALSE,"Calculations"}</definedName>
    <definedName name="wrn.Data._.dump." localSheetId="0" hidden="1">{"Input Data",#N/A,FALSE,"Input";"Income and Cash Flow",#N/A,FALSE,"Calculations"}</definedName>
    <definedName name="wrn.Data._.dump." localSheetId="3" hidden="1">{"Input Data",#N/A,FALSE,"Input";"Income and Cash Flow",#N/A,FALSE,"Calculations"}</definedName>
    <definedName name="wrn.Data._.dump." hidden="1">{"Input Data",#N/A,FALSE,"Input";"Income and Cash Flow",#N/A,FALSE,"Calculations"}</definedName>
    <definedName name="wrn.Deferral._.Forecast." localSheetId="16" hidden="1">{"Summary Deferral Forecast",#N/A,FALSE,"Deferral Forecast";"BGS Deferral Forecast",#N/A,FALSE,"BGS Deferral";"NNC Deferral Forecast",#N/A,FALSE,"NNC Deferral";"MTCDeferralForecast",#N/A,FALSE,"MTC Deferral";"SBC Deferral Forecast",#N/A,FALSE,"SBC Deferral"}</definedName>
    <definedName name="wrn.Deferral._.Forecast." localSheetId="0" hidden="1">{"Summary Deferral Forecast",#N/A,FALSE,"Deferral Forecast";"BGS Deferral Forecast",#N/A,FALSE,"BGS Deferral";"NNC Deferral Forecast",#N/A,FALSE,"NNC Deferral";"MTCDeferralForecast",#N/A,FALSE,"MTC Deferral";"SBC Deferral Forecast",#N/A,FALSE,"SBC Deferral"}</definedName>
    <definedName name="wrn.Deferral._.Forecast." localSheetId="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hidden="1">{"Earnings_Summary",#N/A,FALSE,"Earnings Model";"Earnings EP Detail",#N/A,FALSE,"Earnings Model";"Earnings RM Detail",#N/A,FALSE,"Earnings Model"}</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hidden="1">{"pna_disc_p1",#N/A,FALSE,"pna_disc_p1";"apbo_plan",#N/A,FALSE,"apbo_plan";"anc_disc_p1",#N/A,FALSE,"anc_disc_p1";"anc_disc_p2",#N/A,FALSE,"anc_disc_p2";"pna_disc_p2",#N/A,FALSE,"pna_disc_p2"}</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hidden="1">{#N/A,#N/A,FALSE,"Summary";#N/A,#N/A,FALSE,"Adj to Option C";#N/A,#N/A,FALSE,"Dividend Analysis";#N/A,#N/A,FALSE,"Reserve Analysis";#N/A,#N/A,FALSE,"Depreciation";#N/A,#N/A,FALSE,"Other Tax Adj"}</definedName>
    <definedName name="wrn.FAS132." hidden="1">{"Disc_part1",#N/A,FALSE,"FAS132";"Disc_part2",#N/A,FALSE,"FAS132"}</definedName>
    <definedName name="wrn.Fas132.2" hidden="1">{"Disc_part1",#N/A,FALSE,"FAS132";"Disc_part2",#N/A,FALSE,"FAS132"}</definedName>
    <definedName name="wrn.Filing." localSheetId="16"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hidden="1">{"PPPI FAS87",#N/A,FALSE,"PPPI";"GroupA",#N/A,FALSE,"GroupA";"GroupB",#N/A,FALSE,"GroupB";"GainLoss",#N/A,FALSE,"GainLoss1"}</definedName>
    <definedName name="wrn.FinalCopies." hidden="1">{"FinalAll-Dyn",#N/A,TRUE,"Total";"FinalPens-Dyn",#N/A,TRUE,"Pensions";"FinalOPEB-Dyn",#N/A,TRUE,"OPEB";"FinalAllRound-Dyn",#N/A,TRUE,"Total";"FinalAll-IP",#N/A,TRUE,"Total";"FinalPens-IP",#N/A,TRUE,"Pensions";"FinalAllRound-IP",#N/A,TRUE,"Total"}</definedName>
    <definedName name="wrn.Financials." hidden="1">{"Earnings",#N/A,FALSE,"Earnings";"BalanceSheet",#N/A,FALSE,"BalanceSheet";"Change in Cash",#N/A,FALSE,"CashFlow";"normalengs",#N/A,FALSE,"NormalEngs";"upstream normal per Bbl",#N/A,FALSE,"NormEngUp";"CAPEXsum",#N/A,FALSE,"CAPEX Sum"}</definedName>
    <definedName name="wrn.For._.filling._.out._.assessments." localSheetId="16" hidden="1">{"Print Empty Template",#N/A,FALSE,"Input"}</definedName>
    <definedName name="wrn.For._.filling._.out._.assessments." localSheetId="0" hidden="1">{"Print Empty Template",#N/A,FALSE,"Input"}</definedName>
    <definedName name="wrn.For._.filling._.out._.assessments." localSheetId="3" hidden="1">{"Print Empty Template",#N/A,FALSE,"Input"}</definedName>
    <definedName name="wrn.For._.filling._.out._.assessments." hidden="1">{"Print Empty Template",#N/A,FALSE,"Input"}</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hidden="1">{"Earnings",#N/A,FALSE,"Earnings";"BalanceSheet",#N/A,FALSE,"BalanceSheet";"ChangeinCash",#N/A,FALSE,"CashFlow";"IR Production Sum",#N/A,FALSE,"E&amp;P Summary";"IR EPCost Sum",#N/A,FALSE,"E&amp;P Summary"}</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hidden="1">{"Factsheet",#N/A,FALSE,"Fact";"Earnings",#N/A,FALSE,"Earnings";"BalanceSheet",#N/A,FALSE,"BalanceSheet";"Change in Cash",#N/A,FALSE,"CashFlow";"Q Rating",#N/A,FALSE,"Q-Rating";"Dupont",#N/A,FALSE,"Dupont"}</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eadcount."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6" hidden="1">{"2002 - 2006 Detail Income Statement",#N/A,FALSE,"TUB Income Statement wo DW";"BGS Deferral",#N/A,FALSE,"BGS Deferral";"NNC Deferral",#N/A,FALSE,"NNC Deferral";"MTC Deferral",#N/A,FALSE,"MTC Deferral";#N/A,#N/A,FALSE,"Schedule D"}</definedName>
    <definedName name="wrn.HLP._.Detail." localSheetId="0" hidden="1">{"2002 - 2006 Detail Income Statement",#N/A,FALSE,"TUB Income Statement wo DW";"BGS Deferral",#N/A,FALSE,"BGS Deferral";"NNC Deferral",#N/A,FALSE,"NNC Deferral";"MTC Deferral",#N/A,FALSE,"MTC Deferral";#N/A,#N/A,FALSE,"Schedule D"}</definedName>
    <definedName name="wrn.HLP._.Detail." localSheetId="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hidden="1">{#N/A,#N/A,FALSE,"BACK UP Balance FDM";#N/A,#N/A,FALSE,"BACK UP ASP nsad"}</definedName>
    <definedName name="wrn.iDEN._.Back._.up._.Files._1" hidden="1">{#N/A,#N/A,FALSE,"BACK UP Balance FDM";#N/A,#N/A,FALSE,"BACK UP ASP nsad"}</definedName>
    <definedName name="wrn.iDEN._.Back._.up._.Files._2" hidden="1">{#N/A,#N/A,FALSE,"BACK UP Balance FDM";#N/A,#N/A,FALSE,"BACK UP ASP nsad"}</definedName>
    <definedName name="wrn.iDEN._.Back._.up._.Files._3" hidden="1">{#N/A,#N/A,FALSE,"BACK UP Balance FDM";#N/A,#N/A,FALSE,"BACK UP ASP nsad"}</definedName>
    <definedName name="wrn.iDEN._.Back._.up._.Files._4" hidden="1">{#N/A,#N/A,FALSE,"BACK UP Balance FDM";#N/A,#N/A,FALSE,"BACK UP ASP nsad"}</definedName>
    <definedName name="wrn.iDEN._.Back._.up._.Files._5" hidden="1">{#N/A,#N/A,FALSE,"BACK UP Balance FDM";#N/A,#N/A,FALSE,"BACK UP ASP nsad"}</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pages." hidden="1">{"Input1",#N/A,FALSE,"Input";"Input2",#N/A,FALSE,"Input";"Input3",#N/A,FALSE,"Input"}</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Long._.Report." hidden="1">{#N/A,#N/A,TRUE,"Cover";#N/A,#N/A,TRUE,"Header (ld)";#N/A,#N/A,TRUE,"T&amp;O By Region";#N/A,#N/A,TRUE,"Region Charts ";#N/A,#N/A,TRUE,"T&amp;O London";#N/A,#N/A,TRUE,"AD Report";#N/A,#N/A,TRUE,"Var by OU"}</definedName>
    <definedName name="wrn.MBRS." hidden="1">{#N/A,#N/A,FALSE,"MBR PCS";#N/A,#N/A,FALSE,"MBR CIG";#N/A,#N/A,FALSE,"MBR iDEN";#N/A,#N/A,FALSE,"MBR_FWT";#N/A,#N/A,FALSE,"MBR TOTAL"}</definedName>
    <definedName name="wrn.MBRS._1" hidden="1">{#N/A,#N/A,FALSE,"MBR PCS";#N/A,#N/A,FALSE,"MBR CIG";#N/A,#N/A,FALSE,"MBR iDEN";#N/A,#N/A,FALSE,"MBR_FWT";#N/A,#N/A,FALSE,"MBR TOTAL"}</definedName>
    <definedName name="wrn.MBRS._2" hidden="1">{#N/A,#N/A,FALSE,"MBR PCS";#N/A,#N/A,FALSE,"MBR CIG";#N/A,#N/A,FALSE,"MBR iDEN";#N/A,#N/A,FALSE,"MBR_FWT";#N/A,#N/A,FALSE,"MBR TOTAL"}</definedName>
    <definedName name="wrn.MBRS._3" hidden="1">{#N/A,#N/A,FALSE,"MBR PCS";#N/A,#N/A,FALSE,"MBR CIG";#N/A,#N/A,FALSE,"MBR iDEN";#N/A,#N/A,FALSE,"MBR_FWT";#N/A,#N/A,FALSE,"MBR TOTAL"}</definedName>
    <definedName name="wrn.MBRS._4" hidden="1">{#N/A,#N/A,FALSE,"MBR PCS";#N/A,#N/A,FALSE,"MBR CIG";#N/A,#N/A,FALSE,"MBR iDEN";#N/A,#N/A,FALSE,"MBR_FWT";#N/A,#N/A,FALSE,"MBR TOTAL"}</definedName>
    <definedName name="wrn.MBRS._5" hidden="1">{#N/A,#N/A,FALSE,"MBR PCS";#N/A,#N/A,FALSE,"MBR CIG";#N/A,#N/A,FALSE,"MBR iDEN";#N/A,#N/A,FALSE,"MBR_FWT";#N/A,#N/A,FALSE,"MBR TOTAL"}</definedName>
    <definedName name="wrn.new." hidden="1">{"Balance Sheet",#N/A,FALSE,"Balance";"Balance Sheet Details",#N/A,FALSE,"Balance";"Change in Cash",#N/A,FALSE,"Cashflow"}</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utlook._.Report." hidden="1">{#N/A,#N/A,FALSE,"Outlook for Month ";#N/A,#N/A,FALSE,"Risk for Month ";#N/A,#N/A,FALSE,"Upside for Month"}</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hidden="1">{#N/A,#N/A,FALSE,"By Month";#N/A,#N/A,FALSE,"Rev By Month";"Print1",#N/A,FALSE,"NA Parts Reporting";"Print2",#N/A,FALSE,"NA Parts Reporting";"Print3",#N/A,FALSE,"NA Parts Reporting"}</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hidden="1">{"Page1",#N/A,FALSE,"Page1";"Page2",#N/A,FALSE,"Page2";"Page3",#N/A,FALSE,"Pages34";"Page3b",#N/A,FALSE,"Pages34"}</definedName>
    <definedName name="wrn.purch._.acct." hidden="1">{"Pre76 purch acct",#N/A,FALSE,"Input";"ACPI purch acct",#N/A,FALSE,"Input";"25 Yr Purch Acct",#N/A,FALSE,"Input";"RBEP Purch Acct.",#N/A,FALSE,"Input"}</definedName>
    <definedName name="wrn.QUARTER." hidden="1">{#N/A,#N/A,FALSE,"QTR Total";#N/A,#N/A,FALSE,"QTR ASNS";#N/A,#N/A,FALSE,"QTR PNCNS";#N/A,#N/A,FALSE,"QTR DSNS";#N/A,#N/A,FALSE,"QTR TNS"}</definedName>
    <definedName name="wrn.Report." localSheetId="16" hidden="1">{#N/A,#N/A,FALSE,"Work performed";#N/A,#N/A,FALSE,"Resources"}</definedName>
    <definedName name="wrn.Report." localSheetId="0" hidden="1">{#N/A,#N/A,FALSE,"Work performed";#N/A,#N/A,FALSE,"Resources"}</definedName>
    <definedName name="wrn.Report." localSheetId="3" hidden="1">{#N/A,#N/A,FALSE,"Work performed";#N/A,#N/A,FALSE,"Resources"}</definedName>
    <definedName name="wrn.Report." hidden="1">{#N/A,#N/A,FALSE,"Work performed";#N/A,#N/A,FALSE,"Resources"}</definedName>
    <definedName name="wrn.Revenue._.Analysis." localSheetId="16"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M._.with._.details." hidden="1">{"US RM Earnings Summary",#N/A,FALSE,"US R&amp;M";"US RM Realization Data",#N/A,FALSE,"US R&amp;M";"For RM Earnings Detail",#N/A,FALSE,"Foreign R&amp;M";"For RM Real and Vol Detail",#N/A,FALSE,"Foreign R&amp;M"}</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hort._.Report." hidden="1">{#N/A,#N/A,TRUE,"Cover";#N/A,#N/A,TRUE,"Header (eu)";#N/A,#N/A,TRUE,"Region Charts";#N/A,#N/A,TRUE,"T&amp;O By Region";#N/A,#N/A,TRUE,"AD Report"}</definedName>
    <definedName name="wrn.Steves._.Model." hidden="1">{#N/A,#N/A,FALSE,"Income Statement";#N/A,#N/A,FALSE,"Quarter IS";#N/A,#N/A,FALSE,"US E&amp;P";#N/A,#N/A,FALSE,"International E&amp;P";#N/A,#N/A,FALSE,"Chemicals"}</definedName>
    <definedName name="wrn.Summary._.Report_Ern_BS_CF." hidden="1">{"Fact Sheet",#N/A,FALSE,"Fact";"Earnings_Summary",#N/A,FALSE,"Earnings Model";"Balance Sheet",#N/A,FALSE,"Balance";"Change in Cash",#N/A,FALSE,"Cashflow";"normalengs",#N/A,FALSE,"NormalEngs";"NormalGrowth",#N/A,FALSE,"NormalGrowth"}</definedName>
    <definedName name="wrn.Supporting._.Calculations." localSheetId="16" hidden="1">{#N/A,#N/A,FALSE,"Work performed";#N/A,#N/A,FALSE,"Resources"}</definedName>
    <definedName name="wrn.Supporting._.Calculations." localSheetId="0" hidden="1">{#N/A,#N/A,FALSE,"Work performed";#N/A,#N/A,FALSE,"Resources"}</definedName>
    <definedName name="wrn.Supporting._.Calculations." localSheetId="3" hidden="1">{#N/A,#N/A,FALSE,"Work performed";#N/A,#N/A,FALSE,"Resources"}</definedName>
    <definedName name="wrn.Supporting._.Calculations." hidden="1">{#N/A,#N/A,FALSE,"Work performed";#N/A,#N/A,FALSE,"Resources"}</definedName>
    <definedName name="wrn.Tax._.Accrual." localSheetId="16" hidden="1">{#N/A,#N/A,TRUE,"TAXPROV";#N/A,#N/A,TRUE,"FLOWTHRU";#N/A,#N/A,TRUE,"SCHEDULE M'S";#N/A,#N/A,TRUE,"PLANT M'S";#N/A,#N/A,TRUE,"TAXJE"}</definedName>
    <definedName name="wrn.Tax._.Accrual." localSheetId="0" hidden="1">{#N/A,#N/A,TRUE,"TAXPROV";#N/A,#N/A,TRUE,"FLOWTHRU";#N/A,#N/A,TRUE,"SCHEDULE M'S";#N/A,#N/A,TRUE,"PLANT M'S";#N/A,#N/A,TRUE,"TAXJE"}</definedName>
    <definedName name="wrn.Tax._.Accrual." localSheetId="3" hidden="1">{#N/A,#N/A,TRUE,"TAXPROV";#N/A,#N/A,TRUE,"FLOWTHRU";#N/A,#N/A,TRUE,"SCHEDULE M'S";#N/A,#N/A,TRUE,"PLANT M'S";#N/A,#N/A,TRUE,"TAXJE"}</definedName>
    <definedName name="wrn.Tax._.Accrual." hidden="1">{#N/A,#N/A,TRUE,"TAXPROV";#N/A,#N/A,TRUE,"FLOWTHRU";#N/A,#N/A,TRUE,"SCHEDULE M'S";#N/A,#N/A,TRUE,"PLANT M'S";#N/A,#N/A,TRUE,"TAXJE"}</definedName>
    <definedName name="wrn.test." hidden="1">{"test",#N/A,FALSE,"Dividend"}</definedName>
    <definedName name="wrn.US._.EP._.with._.Price._.and._.Vol._.Detail." hidden="1">{"US EP Earn and Prof Analysis",#N/A,FALSE,"USE&amp;P ";"US EP Price Vol Detail",#N/A,FALSE,"USE&amp;P "}</definedName>
    <definedName name="wrn.Val_Report."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Workfile." hidden="1">{"PPPI FAS87 Workfile",#N/A,FALSE,"Input";"GroupBWorkfile",#N/A,FALSE,"Input";"GroupAWorkfile",#N/A,FALSE,"Input";"GainLoss",#N/A,FALSE,"GainLoss1"}</definedName>
    <definedName name="wrn.WorkfileCopies." hidden="1">{"PensWorkfile-Dyn",#N/A,TRUE,"Pensions";"PenWorkFile-IP",#N/A,TRUE,"Pensions";"OPEBWorkfile-Dyn",#N/A,TRUE,"OPEB";"OPEBWorkfile-IP",#N/A,TRUE,"OPEB";"Total-Dyn",#N/A,TRUE,"Total";"Total-IP",#N/A,TRUE,"Total"}</definedName>
    <definedName name="wrn_1" hidden="1">{#N/A,#N/A,FALSE,"Balance SPS";#N/A,#N/A,FALSE,"P&amp;L_SPS"}</definedName>
    <definedName name="wrn_2" hidden="1">{#N/A,#N/A,FALSE,"Balance SPS";#N/A,#N/A,FALSE,"P&amp;L_SPS"}</definedName>
    <definedName name="wrn_3" hidden="1">{#N/A,#N/A,FALSE,"Balance SPS";#N/A,#N/A,FALSE,"P&amp;L_SPS"}</definedName>
    <definedName name="wrn_4" hidden="1">{#N/A,#N/A,FALSE,"Balance SPS";#N/A,#N/A,FALSE,"P&amp;L_SPS"}</definedName>
    <definedName name="wrn_5" hidden="1">{#N/A,#N/A,FALSE,"Balance SPS";#N/A,#N/A,FALSE,"P&amp;L_SPS"}</definedName>
    <definedName name="wrn1_1" hidden="1">{#N/A,#N/A,FALSE,"MBR PCS";#N/A,#N/A,FALSE,"MBR CIG";#N/A,#N/A,FALSE,"MBR iDEN";#N/A,#N/A,FALSE,"MBR_FWT";#N/A,#N/A,FALSE,"MBR TOTAL"}</definedName>
    <definedName name="wrn1_2" hidden="1">{#N/A,#N/A,FALSE,"MBR PCS";#N/A,#N/A,FALSE,"MBR CIG";#N/A,#N/A,FALSE,"MBR iDEN";#N/A,#N/A,FALSE,"MBR_FWT";#N/A,#N/A,FALSE,"MBR TOTAL"}</definedName>
    <definedName name="wrn1_3" hidden="1">{#N/A,#N/A,FALSE,"MBR PCS";#N/A,#N/A,FALSE,"MBR CIG";#N/A,#N/A,FALSE,"MBR iDEN";#N/A,#N/A,FALSE,"MBR_FWT";#N/A,#N/A,FALSE,"MBR TOTAL"}</definedName>
    <definedName name="wrn1_4" hidden="1">{#N/A,#N/A,FALSE,"MBR PCS";#N/A,#N/A,FALSE,"MBR CIG";#N/A,#N/A,FALSE,"MBR iDEN";#N/A,#N/A,FALSE,"MBR_FWT";#N/A,#N/A,FALSE,"MBR TOTAL"}</definedName>
    <definedName name="wrn1_5" hidden="1">{#N/A,#N/A,FALSE,"MBR PCS";#N/A,#N/A,FALSE,"MBR CIG";#N/A,#N/A,FALSE,"MBR iDEN";#N/A,#N/A,FALSE,"MBR_FWT";#N/A,#N/A,FALSE,"MBR TOTAL"}</definedName>
    <definedName name="wrn2.report" hidden="1">{#N/A,#N/A,FALSE,"P&amp;L";#N/A,#N/A,FALSE,"DL Worksheet";#N/A,#N/A,FALSE,"Ind. Cell";#N/A,#N/A,FALSE,"Capital";#N/A,#N/A,FALSE,"Tooling";#N/A,#N/A,FALSE,"LRP"}</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hidden="1">{#N/A,#N/A,FALSE,"Headcount_PCS ";#N/A,#N/A,FALSE,"Headcount CIG";#N/A,#N/A,FALSE,"Headcount iDEN";#N/A,#N/A,FALSE,"JAG PLANT TREND"}</definedName>
    <definedName name="wrne_1" hidden="1">{#N/A,#N/A,FALSE,"Headcount_PCS ";#N/A,#N/A,FALSE,"Headcount CIG";#N/A,#N/A,FALSE,"Headcount iDEN";#N/A,#N/A,FALSE,"JAG PLANT TREND"}</definedName>
    <definedName name="wrne_2" hidden="1">{#N/A,#N/A,FALSE,"Headcount_PCS ";#N/A,#N/A,FALSE,"Headcount CIG";#N/A,#N/A,FALSE,"Headcount iDEN";#N/A,#N/A,FALSE,"JAG PLANT TREND"}</definedName>
    <definedName name="wrne_3" hidden="1">{#N/A,#N/A,FALSE,"Headcount_PCS ";#N/A,#N/A,FALSE,"Headcount CIG";#N/A,#N/A,FALSE,"Headcount iDEN";#N/A,#N/A,FALSE,"JAG PLANT TREND"}</definedName>
    <definedName name="wrne_4" hidden="1">{#N/A,#N/A,FALSE,"Headcount_PCS ";#N/A,#N/A,FALSE,"Headcount CIG";#N/A,#N/A,FALSE,"Headcount iDEN";#N/A,#N/A,FALSE,"JAG PLANT TREND"}</definedName>
    <definedName name="wrne_5" hidden="1">{#N/A,#N/A,FALSE,"Headcount_PCS ";#N/A,#N/A,FALSE,"Headcount CIG";#N/A,#N/A,FALSE,"Headcount iDEN";#N/A,#N/A,FALSE,"JAG PLANT TREND"}</definedName>
    <definedName name="WS">#REF!</definedName>
    <definedName name="wsxxx" hidden="1">{#N/A,#N/A,FALSE,"Total";#N/A,#N/A,FALSE,"ASNS";#N/A,#N/A,FALSE,"PNCNS";#N/A,#N/A,FALSE,"DSNS";#N/A,#N/A,FALSE,"TNS"}</definedName>
    <definedName name="wsxxxx" hidden="1">{#N/A,#N/A,FALSE,"QTR Total";#N/A,#N/A,FALSE,"QTR ASNS";#N/A,#N/A,FALSE,"QTR PNCNS";#N/A,#N/A,FALSE,"QTR DSNS";#N/A,#N/A,FALSE,"QTR TNS"}</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Xcel">'[22]Data Entry and Forecaster'!#REF!</definedName>
    <definedName name="Xcel_COS">#REF!</definedName>
    <definedName name="XLRG_GE">#REF!</definedName>
    <definedName name="XLRG_GJ">#REF!</definedName>
    <definedName name="XREF_COLUMN_1" hidden="1">'[23]p.anticipados '!#REF!</definedName>
    <definedName name="XREF_COLUMN_2" hidden="1">'[23]p.anticipados '!#REF!</definedName>
    <definedName name="XREF_COLUMN_3" hidden="1">'[23]p.anticipados '!#REF!</definedName>
    <definedName name="XREF_COLUMN_4" hidden="1">'[23]p.anticipados '!#REF!</definedName>
    <definedName name="XREF_COLUMN_5" hidden="1">'[23]p.anticipados '!#REF!</definedName>
    <definedName name="XRefActiveRow" hidden="1">#REF!</definedName>
    <definedName name="XRefColumnsCount" hidden="1">5</definedName>
    <definedName name="XRefCopy1" hidden="1">'[23]p.anticipados '!#REF!</definedName>
    <definedName name="XRefCopy1Row" hidden="1">#REF!</definedName>
    <definedName name="XRefCopy2" hidden="1">'[23]p.anticipados '!#REF!</definedName>
    <definedName name="XRefCopy2Row" hidden="1">#REF!</definedName>
    <definedName name="XRefCopy3" hidden="1">'[23]p.anticipados '!#REF!</definedName>
    <definedName name="XRefCopy3Row" hidden="1">#REF!</definedName>
    <definedName name="XRefCopy4" hidden="1">'[23]p.anticipados '!#REF!</definedName>
    <definedName name="XRefCopy4Row" hidden="1">#REF!</definedName>
    <definedName name="XRefCopy5" hidden="1">'[23]p.anticipados '!#REF!</definedName>
    <definedName name="XRefCopy5Row" hidden="1">#REF!</definedName>
    <definedName name="XRefCopy6" hidden="1">'[23]p.anticipados '!#REF!</definedName>
    <definedName name="XRefCopy6Row" hidden="1">#REF!</definedName>
    <definedName name="XRefCopy7" hidden="1">#REF!</definedName>
    <definedName name="XRefCopy7Row" hidden="1">#REF!</definedName>
    <definedName name="XRefCopyRangeCount" hidden="1">6</definedName>
    <definedName name="XRefPaste1" hidden="1">'[23]p.anticipados '!#REF!</definedName>
    <definedName name="XRefPaste10" hidden="1">'[23]p.anticipados '!#REF!</definedName>
    <definedName name="XRefPaste10Row" hidden="1">#REF!</definedName>
    <definedName name="XRefPaste11" hidden="1">'[23]p.anticipados '!#REF!</definedName>
    <definedName name="XRefPaste11Row" hidden="1">#REF!</definedName>
    <definedName name="XRefPaste12" hidden="1">'[23]p.anticipados '!#REF!</definedName>
    <definedName name="XRefPaste12Row" hidden="1">#REF!</definedName>
    <definedName name="XRefPaste13" hidden="1">'[23]p.anticipados '!#REF!</definedName>
    <definedName name="XRefPaste13Row" hidden="1">#REF!</definedName>
    <definedName name="XRefPaste14" hidden="1">'[23]p.anticipados '!#REF!</definedName>
    <definedName name="XRefPaste14Row" hidden="1">#REF!</definedName>
    <definedName name="XRefPaste15" hidden="1">'[23]p.anticipados '!#REF!</definedName>
    <definedName name="XRefPaste15Row" hidden="1">#REF!</definedName>
    <definedName name="XRefPaste1Row" hidden="1">#REF!</definedName>
    <definedName name="XRefPaste2" hidden="1">'[23]p.anticipados '!#REF!</definedName>
    <definedName name="XRefPaste2Row" hidden="1">#REF!</definedName>
    <definedName name="XRefPaste3Row" hidden="1">#REF!</definedName>
    <definedName name="XRefPaste4" hidden="1">'[23]p.anticipados '!#REF!</definedName>
    <definedName name="XRefPaste4Row" hidden="1">#REF!</definedName>
    <definedName name="XRefPaste5Row" hidden="1">#REF!</definedName>
    <definedName name="XRefPaste6" hidden="1">'[23]p.anticipados '!#REF!</definedName>
    <definedName name="XRefPaste6Row" hidden="1">#REF!</definedName>
    <definedName name="XRefPaste7" hidden="1">'[23]p.anticipados '!#REF!</definedName>
    <definedName name="XRefPaste7Row" hidden="1">#REF!</definedName>
    <definedName name="XRefPaste8" hidden="1">'[23]p.anticipados '!#REF!</definedName>
    <definedName name="XRefPaste8Row" hidden="1">#REF!</definedName>
    <definedName name="XRefPaste9" hidden="1">'[23]p.anticipados '!#REF!</definedName>
    <definedName name="XRefPaste9Row" hidden="1">#REF!</definedName>
    <definedName name="XRefPasteRangeCount" hidden="1">15</definedName>
    <definedName name="xxx" localSheetId="16" hidden="1">{#N/A,#N/A,FALSE,"O&amp;M by processes";#N/A,#N/A,FALSE,"Elec Act vs Bud";#N/A,#N/A,FALSE,"G&amp;A";#N/A,#N/A,FALSE,"BGS";#N/A,#N/A,FALSE,"Res Cost"}</definedName>
    <definedName name="xxx" localSheetId="0" hidden="1">{#N/A,#N/A,FALSE,"O&amp;M by processes";#N/A,#N/A,FALSE,"Elec Act vs Bud";#N/A,#N/A,FALSE,"G&amp;A";#N/A,#N/A,FALSE,"BGS";#N/A,#N/A,FALSE,"Res Cost"}</definedName>
    <definedName name="xxx" localSheetId="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6" hidden="1">{#N/A,#N/A,FALSE,"O&amp;M by processes";#N/A,#N/A,FALSE,"Elec Act vs Bud";#N/A,#N/A,FALSE,"G&amp;A";#N/A,#N/A,FALSE,"BGS";#N/A,#N/A,FALSE,"Res Cost"}</definedName>
    <definedName name="xxxx" localSheetId="0" hidden="1">{#N/A,#N/A,FALSE,"O&amp;M by processes";#N/A,#N/A,FALSE,"Elec Act vs Bud";#N/A,#N/A,FALSE,"G&amp;A";#N/A,#N/A,FALSE,"BGS";#N/A,#N/A,FALSE,"Res Cost"}</definedName>
    <definedName name="xxxx" localSheetId="3" hidden="1">{#N/A,#N/A,FALSE,"O&amp;M by processes";#N/A,#N/A,FALSE,"Elec Act vs Bud";#N/A,#N/A,FALSE,"G&amp;A";#N/A,#N/A,FALSE,"BGS";#N/A,#N/A,FALSE,"Res Cost"}</definedName>
    <definedName name="xxxx" hidden="1">{#N/A,#N/A,FALSE,"O&amp;M by processes";#N/A,#N/A,FALSE,"Elec Act vs Bud";#N/A,#N/A,FALSE,"G&amp;A";#N/A,#N/A,FALSE,"BGS";#N/A,#N/A,FALSE,"Res Cost"}</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ear">OFFSET(#REF!,0,0,COUNTA(#REF!),1)</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hidden="1">{#N/A,#N/A,FALSE,"P&amp;L";#N/A,#N/A,FALSE,"DL Worksheet";#N/A,#N/A,FALSE,"Ind. Cell";#N/A,#N/A,FALSE,"Capital";#N/A,#N/A,FALSE,"Tooling";#N/A,#N/A,FALSE,"LRP"}</definedName>
    <definedName name="yyy" hidden="1">{#N/A,#N/A,FALSE,"QTR Total";#N/A,#N/A,FALSE,"QTR ASNS";#N/A,#N/A,FALSE,"QTR PNCNS";#N/A,#N/A,FALSE,"QTR DSNS";#N/A,#N/A,FALSE,"QTR TNS"}</definedName>
    <definedName name="Z_28948E05_8F34_4F1E_96FB_A80A6A844600_.wvu.Cols" localSheetId="11" hidden="1">#REF!</definedName>
    <definedName name="Z_28948E05_8F34_4F1E_96FB_A80A6A844600_.wvu.Cols" localSheetId="12" hidden="1">#REF!</definedName>
    <definedName name="Z_28948E05_8F34_4F1E_96FB_A80A6A844600_.wvu.Cols" localSheetId="13" hidden="1">#REF!</definedName>
    <definedName name="Z_28948E05_8F34_4F1E_96FB_A80A6A844600_.wvu.Cols" localSheetId="14" hidden="1">#REF!</definedName>
    <definedName name="Z_28948E05_8F34_4F1E_96FB_A80A6A844600_.wvu.Cols" localSheetId="15" hidden="1">#REF!</definedName>
    <definedName name="Z_28948E05_8F34_4F1E_96FB_A80A6A844600_.wvu.Cols" localSheetId="16" hidden="1">#REF!</definedName>
    <definedName name="Z_28948E05_8F34_4F1E_96FB_A80A6A844600_.wvu.PrintArea" localSheetId="11" hidden="1">'8a-ADIT Projection'!$B$1:$G$53</definedName>
    <definedName name="Z_28948E05_8F34_4F1E_96FB_A80A6A844600_.wvu.PrintArea" localSheetId="12" hidden="1">'8b-ADIT Projection Proration'!$B$1:$H$74</definedName>
    <definedName name="Z_28948E05_8F34_4F1E_96FB_A80A6A844600_.wvu.PrintArea" localSheetId="13" hidden="1">'8c- ADIT BOY'!$B$1:$H$105</definedName>
    <definedName name="Z_28948E05_8F34_4F1E_96FB_A80A6A844600_.wvu.PrintArea" localSheetId="14" hidden="1">'8d- ADIT EOY'!$B$1:$H$108</definedName>
    <definedName name="Z_28948E05_8F34_4F1E_96FB_A80A6A844600_.wvu.PrintArea" localSheetId="15" hidden="1">'8e-ADIT True-up'!$B$1:$G$48</definedName>
    <definedName name="Z_28948E05_8F34_4F1E_96FB_A80A6A844600_.wvu.PrintArea" localSheetId="16" hidden="1">'8f-ADIT True-up Proration'!$B$1:$F$74</definedName>
    <definedName name="Z_63011E91_4609_4523_98FE_FD252E915668_.wvu.Cols" localSheetId="11" hidden="1">#REF!</definedName>
    <definedName name="Z_63011E91_4609_4523_98FE_FD252E915668_.wvu.Cols" localSheetId="12" hidden="1">#REF!</definedName>
    <definedName name="Z_63011E91_4609_4523_98FE_FD252E915668_.wvu.Cols" localSheetId="13" hidden="1">#REF!</definedName>
    <definedName name="Z_63011E91_4609_4523_98FE_FD252E915668_.wvu.Cols" localSheetId="14" hidden="1">#REF!</definedName>
    <definedName name="Z_63011E91_4609_4523_98FE_FD252E915668_.wvu.Cols" localSheetId="15" hidden="1">#REF!</definedName>
    <definedName name="Z_63011E91_4609_4523_98FE_FD252E915668_.wvu.Cols" localSheetId="16" hidden="1">#REF!</definedName>
    <definedName name="Z_63011E91_4609_4523_98FE_FD252E915668_.wvu.PrintArea" localSheetId="11" hidden="1">'8a-ADIT Projection'!$B$1:$G$53</definedName>
    <definedName name="Z_63011E91_4609_4523_98FE_FD252E915668_.wvu.PrintArea" localSheetId="12" hidden="1">'8b-ADIT Projection Proration'!$B$1:$H$74</definedName>
    <definedName name="Z_63011E91_4609_4523_98FE_FD252E915668_.wvu.PrintArea" localSheetId="13" hidden="1">'8c- ADIT BOY'!$B$1:$H$105</definedName>
    <definedName name="Z_63011E91_4609_4523_98FE_FD252E915668_.wvu.PrintArea" localSheetId="14" hidden="1">'8d- ADIT EOY'!$B$1:$H$108</definedName>
    <definedName name="Z_63011E91_4609_4523_98FE_FD252E915668_.wvu.PrintArea" localSheetId="15" hidden="1">'8e-ADIT True-up'!$B$1:$G$48</definedName>
    <definedName name="Z_63011E91_4609_4523_98FE_FD252E915668_.wvu.PrintArea" localSheetId="16" hidden="1">'8f-ADIT True-up Proration'!$B$1:$F$74</definedName>
    <definedName name="Z_6928E596_79BD_4CEC_9F0D_07E62D69B2A5_.wvu.Cols" localSheetId="11" hidden="1">#REF!</definedName>
    <definedName name="Z_6928E596_79BD_4CEC_9F0D_07E62D69B2A5_.wvu.Cols" localSheetId="12" hidden="1">#REF!</definedName>
    <definedName name="Z_6928E596_79BD_4CEC_9F0D_07E62D69B2A5_.wvu.Cols" localSheetId="13" hidden="1">#REF!</definedName>
    <definedName name="Z_6928E596_79BD_4CEC_9F0D_07E62D69B2A5_.wvu.Cols" localSheetId="14" hidden="1">#REF!</definedName>
    <definedName name="Z_6928E596_79BD_4CEC_9F0D_07E62D69B2A5_.wvu.Cols" localSheetId="15" hidden="1">#REF!</definedName>
    <definedName name="Z_6928E596_79BD_4CEC_9F0D_07E62D69B2A5_.wvu.Cols" localSheetId="16" hidden="1">#REF!</definedName>
    <definedName name="Z_6928E596_79BD_4CEC_9F0D_07E62D69B2A5_.wvu.PrintArea" localSheetId="11" hidden="1">'8a-ADIT Projection'!$B$1:$G$53</definedName>
    <definedName name="Z_6928E596_79BD_4CEC_9F0D_07E62D69B2A5_.wvu.PrintArea" localSheetId="12" hidden="1">'8b-ADIT Projection Proration'!$B$1:$H$74</definedName>
    <definedName name="Z_6928E596_79BD_4CEC_9F0D_07E62D69B2A5_.wvu.PrintArea" localSheetId="13" hidden="1">'8c- ADIT BOY'!$B$1:$H$105</definedName>
    <definedName name="Z_6928E596_79BD_4CEC_9F0D_07E62D69B2A5_.wvu.PrintArea" localSheetId="14" hidden="1">'8d- ADIT EOY'!$B$1:$H$108</definedName>
    <definedName name="Z_6928E596_79BD_4CEC_9F0D_07E62D69B2A5_.wvu.PrintArea" localSheetId="15" hidden="1">'8e-ADIT True-up'!$B$1:$G$48</definedName>
    <definedName name="Z_6928E596_79BD_4CEC_9F0D_07E62D69B2A5_.wvu.PrintArea" localSheetId="16" hidden="1">'8f-ADIT True-up Proration'!$B$1:$F$74</definedName>
    <definedName name="Z_71B42B22_A376_44B5_B0C1_23FC1AA3DBA2_.wvu.Cols" localSheetId="11" hidden="1">#REF!</definedName>
    <definedName name="Z_71B42B22_A376_44B5_B0C1_23FC1AA3DBA2_.wvu.Cols" localSheetId="12" hidden="1">#REF!</definedName>
    <definedName name="Z_71B42B22_A376_44B5_B0C1_23FC1AA3DBA2_.wvu.Cols" localSheetId="13" hidden="1">#REF!</definedName>
    <definedName name="Z_71B42B22_A376_44B5_B0C1_23FC1AA3DBA2_.wvu.Cols" localSheetId="14" hidden="1">#REF!</definedName>
    <definedName name="Z_71B42B22_A376_44B5_B0C1_23FC1AA3DBA2_.wvu.Cols" localSheetId="15" hidden="1">#REF!</definedName>
    <definedName name="Z_71B42B22_A376_44B5_B0C1_23FC1AA3DBA2_.wvu.Cols" localSheetId="16" hidden="1">#REF!</definedName>
    <definedName name="Z_71B42B22_A376_44B5_B0C1_23FC1AA3DBA2_.wvu.PrintArea" localSheetId="11" hidden="1">'8a-ADIT Projection'!$B$1:$G$53</definedName>
    <definedName name="Z_71B42B22_A376_44B5_B0C1_23FC1AA3DBA2_.wvu.PrintArea" localSheetId="12" hidden="1">'8b-ADIT Projection Proration'!$B$1:$H$74</definedName>
    <definedName name="Z_71B42B22_A376_44B5_B0C1_23FC1AA3DBA2_.wvu.PrintArea" localSheetId="13" hidden="1">'8c- ADIT BOY'!$B$1:$H$105</definedName>
    <definedName name="Z_71B42B22_A376_44B5_B0C1_23FC1AA3DBA2_.wvu.PrintArea" localSheetId="14" hidden="1">'8d- ADIT EOY'!$B$1:$H$108</definedName>
    <definedName name="Z_71B42B22_A376_44B5_B0C1_23FC1AA3DBA2_.wvu.PrintArea" localSheetId="15" hidden="1">'8e-ADIT True-up'!$B$1:$G$48</definedName>
    <definedName name="Z_71B42B22_A376_44B5_B0C1_23FC1AA3DBA2_.wvu.PrintArea" localSheetId="16" hidden="1">'8f-ADIT True-up Proration'!$B$1:$F$74</definedName>
    <definedName name="Z_8FBB4DC9_2D51_4AB9_80D8_F8474B404C29_.wvu.Cols" localSheetId="11" hidden="1">#REF!</definedName>
    <definedName name="Z_8FBB4DC9_2D51_4AB9_80D8_F8474B404C29_.wvu.Cols" localSheetId="12" hidden="1">#REF!</definedName>
    <definedName name="Z_8FBB4DC9_2D51_4AB9_80D8_F8474B404C29_.wvu.Cols" localSheetId="13" hidden="1">#REF!</definedName>
    <definedName name="Z_8FBB4DC9_2D51_4AB9_80D8_F8474B404C29_.wvu.Cols" localSheetId="14" hidden="1">#REF!</definedName>
    <definedName name="Z_8FBB4DC9_2D51_4AB9_80D8_F8474B404C29_.wvu.Cols" localSheetId="15" hidden="1">#REF!</definedName>
    <definedName name="Z_8FBB4DC9_2D51_4AB9_80D8_F8474B404C29_.wvu.Cols" localSheetId="16" hidden="1">#REF!</definedName>
    <definedName name="Z_8FBB4DC9_2D51_4AB9_80D8_F8474B404C29_.wvu.PrintArea" localSheetId="11" hidden="1">'8a-ADIT Projection'!$B$1:$G$53</definedName>
    <definedName name="Z_8FBB4DC9_2D51_4AB9_80D8_F8474B404C29_.wvu.PrintArea" localSheetId="12" hidden="1">'8b-ADIT Projection Proration'!$B$1:$H$74</definedName>
    <definedName name="Z_8FBB4DC9_2D51_4AB9_80D8_F8474B404C29_.wvu.PrintArea" localSheetId="13" hidden="1">'8c- ADIT BOY'!$B$1:$H$105</definedName>
    <definedName name="Z_8FBB4DC9_2D51_4AB9_80D8_F8474B404C29_.wvu.PrintArea" localSheetId="14" hidden="1">'8d- ADIT EOY'!$B$1:$H$108</definedName>
    <definedName name="Z_8FBB4DC9_2D51_4AB9_80D8_F8474B404C29_.wvu.PrintArea" localSheetId="15" hidden="1">'8e-ADIT True-up'!$B$1:$G$48</definedName>
    <definedName name="Z_8FBB4DC9_2D51_4AB9_80D8_F8474B404C29_.wvu.PrintArea" localSheetId="16" hidden="1">'8f-ADIT True-up Proration'!$B$1:$F$74</definedName>
    <definedName name="Z_B647CB7F_C846_4278_B6B1_1EF7F3C004F5_.wvu.Cols" localSheetId="11" hidden="1">#REF!</definedName>
    <definedName name="Z_B647CB7F_C846_4278_B6B1_1EF7F3C004F5_.wvu.Cols" localSheetId="12" hidden="1">#REF!</definedName>
    <definedName name="Z_B647CB7F_C846_4278_B6B1_1EF7F3C004F5_.wvu.Cols" localSheetId="13" hidden="1">#REF!</definedName>
    <definedName name="Z_B647CB7F_C846_4278_B6B1_1EF7F3C004F5_.wvu.Cols" localSheetId="14" hidden="1">#REF!</definedName>
    <definedName name="Z_B647CB7F_C846_4278_B6B1_1EF7F3C004F5_.wvu.Cols" localSheetId="15" hidden="1">#REF!</definedName>
    <definedName name="Z_B647CB7F_C846_4278_B6B1_1EF7F3C004F5_.wvu.Cols" localSheetId="16" hidden="1">#REF!</definedName>
    <definedName name="Z_B647CB7F_C846_4278_B6B1_1EF7F3C004F5_.wvu.PrintArea" localSheetId="11" hidden="1">'8a-ADIT Projection'!$B$1:$G$53</definedName>
    <definedName name="Z_B647CB7F_C846_4278_B6B1_1EF7F3C004F5_.wvu.PrintArea" localSheetId="12" hidden="1">'8b-ADIT Projection Proration'!$B$1:$H$74</definedName>
    <definedName name="Z_B647CB7F_C846_4278_B6B1_1EF7F3C004F5_.wvu.PrintArea" localSheetId="13" hidden="1">'8c- ADIT BOY'!$B$1:$H$105</definedName>
    <definedName name="Z_B647CB7F_C846_4278_B6B1_1EF7F3C004F5_.wvu.PrintArea" localSheetId="14" hidden="1">'8d- ADIT EOY'!$B$1:$H$108</definedName>
    <definedName name="Z_B647CB7F_C846_4278_B6B1_1EF7F3C004F5_.wvu.PrintArea" localSheetId="15" hidden="1">'8e-ADIT True-up'!$B$1:$G$48</definedName>
    <definedName name="Z_B647CB7F_C846_4278_B6B1_1EF7F3C004F5_.wvu.PrintArea" localSheetId="16" hidden="1">'8f-ADIT True-up Proration'!$B$1:$F$74</definedName>
    <definedName name="Z_DC91DEF3_837B_4BB9_A81E_3B78C5914E6C_.wvu.Cols" localSheetId="11" hidden="1">#REF!</definedName>
    <definedName name="Z_DC91DEF3_837B_4BB9_A81E_3B78C5914E6C_.wvu.Cols" localSheetId="12" hidden="1">#REF!</definedName>
    <definedName name="Z_DC91DEF3_837B_4BB9_A81E_3B78C5914E6C_.wvu.Cols" localSheetId="13" hidden="1">#REF!</definedName>
    <definedName name="Z_DC91DEF3_837B_4BB9_A81E_3B78C5914E6C_.wvu.Cols" localSheetId="14" hidden="1">#REF!</definedName>
    <definedName name="Z_DC91DEF3_837B_4BB9_A81E_3B78C5914E6C_.wvu.Cols" localSheetId="15" hidden="1">#REF!</definedName>
    <definedName name="Z_DC91DEF3_837B_4BB9_A81E_3B78C5914E6C_.wvu.Cols" localSheetId="16" hidden="1">#REF!</definedName>
    <definedName name="Z_DC91DEF3_837B_4BB9_A81E_3B78C5914E6C_.wvu.PrintArea" localSheetId="11" hidden="1">'8a-ADIT Projection'!$B$1:$G$53</definedName>
    <definedName name="Z_DC91DEF3_837B_4BB9_A81E_3B78C5914E6C_.wvu.PrintArea" localSheetId="12" hidden="1">'8b-ADIT Projection Proration'!$B$1:$H$74</definedName>
    <definedName name="Z_DC91DEF3_837B_4BB9_A81E_3B78C5914E6C_.wvu.PrintArea" localSheetId="13" hidden="1">'8c- ADIT BOY'!$B$1:$H$105</definedName>
    <definedName name="Z_DC91DEF3_837B_4BB9_A81E_3B78C5914E6C_.wvu.PrintArea" localSheetId="14" hidden="1">'8d- ADIT EOY'!$B$1:$H$108</definedName>
    <definedName name="Z_DC91DEF3_837B_4BB9_A81E_3B78C5914E6C_.wvu.PrintArea" localSheetId="15" hidden="1">'8e-ADIT True-up'!$B$1:$G$48</definedName>
    <definedName name="Z_DC91DEF3_837B_4BB9_A81E_3B78C5914E6C_.wvu.PrintArea" localSheetId="16" hidden="1">'8f-ADIT True-up Proration'!$B$1:$F$74</definedName>
    <definedName name="Z_F04A2B9A_C6FE_4FEB_AD1E_2CF9AC309BE4_.wvu.PrintArea" localSheetId="4" hidden="1">'1-Project Rev Req'!$A$1:$Q$102</definedName>
    <definedName name="Z_F04A2B9A_C6FE_4FEB_AD1E_2CF9AC309BE4_.wvu.PrintArea" localSheetId="6" hidden="1">'3-Project True-up'!$A$1:$L$31</definedName>
    <definedName name="Z_F04A2B9A_C6FE_4FEB_AD1E_2CF9AC309BE4_.wvu.PrintArea" localSheetId="7" hidden="1">'4- Rate Base'!$A$1:$L$69</definedName>
    <definedName name="Z_F04A2B9A_C6FE_4FEB_AD1E_2CF9AC309BE4_.wvu.PrintArea" localSheetId="0" hidden="1">'9A-Non-MISO ATRR'!$A$1:$K$280</definedName>
    <definedName name="Z_F04A2B9A_C6FE_4FEB_AD1E_2CF9AC309BE4_.wvu.PrintArea" localSheetId="1" hidden="1">'9B-Non-MISO Project Rev Req'!$A$1:$Q$102</definedName>
    <definedName name="Z_F04A2B9A_C6FE_4FEB_AD1E_2CF9AC309BE4_.wvu.PrintArea" localSheetId="2" hidden="1">'9C-Non-MISO Project True-up'!$A$1:$L$31</definedName>
    <definedName name="Z_F04A2B9A_C6FE_4FEB_AD1E_2CF9AC309BE4_.wvu.PrintArea" localSheetId="3" hidden="1">'Attachment O'!$A$1:$K$280</definedName>
    <definedName name="Z_FAAD9AAC_1337_43AB_BF1F_CCF9DFCF5B78_.wvu.Cols" localSheetId="11" hidden="1">#REF!</definedName>
    <definedName name="Z_FAAD9AAC_1337_43AB_BF1F_CCF9DFCF5B78_.wvu.Cols" localSheetId="12" hidden="1">#REF!</definedName>
    <definedName name="Z_FAAD9AAC_1337_43AB_BF1F_CCF9DFCF5B78_.wvu.Cols" localSheetId="13" hidden="1">#REF!</definedName>
    <definedName name="Z_FAAD9AAC_1337_43AB_BF1F_CCF9DFCF5B78_.wvu.Cols" localSheetId="14" hidden="1">#REF!</definedName>
    <definedName name="Z_FAAD9AAC_1337_43AB_BF1F_CCF9DFCF5B78_.wvu.Cols" localSheetId="15" hidden="1">#REF!</definedName>
    <definedName name="Z_FAAD9AAC_1337_43AB_BF1F_CCF9DFCF5B78_.wvu.Cols" localSheetId="16" hidden="1">#REF!</definedName>
    <definedName name="Z_FAAD9AAC_1337_43AB_BF1F_CCF9DFCF5B78_.wvu.PrintArea" localSheetId="11" hidden="1">'8a-ADIT Projection'!$B$1:$G$53</definedName>
    <definedName name="Z_FAAD9AAC_1337_43AB_BF1F_CCF9DFCF5B78_.wvu.PrintArea" localSheetId="12" hidden="1">'8b-ADIT Projection Proration'!$B$1:$H$74</definedName>
    <definedName name="Z_FAAD9AAC_1337_43AB_BF1F_CCF9DFCF5B78_.wvu.PrintArea" localSheetId="13" hidden="1">'8c- ADIT BOY'!$B$1:$H$105</definedName>
    <definedName name="Z_FAAD9AAC_1337_43AB_BF1F_CCF9DFCF5B78_.wvu.PrintArea" localSheetId="14" hidden="1">'8d- ADIT EOY'!$B$1:$H$108</definedName>
    <definedName name="Z_FAAD9AAC_1337_43AB_BF1F_CCF9DFCF5B78_.wvu.PrintArea" localSheetId="15" hidden="1">'8e-ADIT True-up'!$B$1:$G$48</definedName>
    <definedName name="Z_FAAD9AAC_1337_43AB_BF1F_CCF9DFCF5B78_.wvu.PrintArea" localSheetId="16" hidden="1">'8f-ADIT True-up Proration'!$B$1:$F$74</definedName>
    <definedName name="zero">0</definedName>
    <definedName name="Zone_Inputs">'[16]Attachment O'!$I$19,'[16]Attachment O'!$I$24,'[16]Attachment O'!$D$36:$D$37,'[16]Attachment O'!$D$82:$D$86,'[16]Attachment O'!$D$90:$D$94,'[16]Attachment O'!$D$106:$D$112,'[16]Attachment O'!$D$116,'[16]Attachment O'!$D$120:$D$121,'[16]Attachment O'!$D$139:$D$146,'[16]Attachment O'!$D$150:$D$154,'[16]Attachment O'!$D$159:$D$160,'[16]Attachment O'!$D$162:$D$165,'[16]Attachment O'!$D$174,'[16]Attachment O'!$D$174,'[16]Attachment O'!$D$178,'[16]Attachment O'!$I$188,'[16]Attachment O'!$D$188,'[16]Attachment O'!$D$192,'[16]Attachment O'!$I$192,'[16]Attachment O'!$I$207:$I$208,'[16]Attachment O'!$D$214:$D$217,'[16]Attachment O'!$D$221:$D$223,'[16]Attachment O'!$I$227,'[16]Attachment O'!$I$229,'[16]Attachment O'!$I$232,'[16]Attachment O'!$D$238:$D$239,'[16]Attachment O'!$I$243,'[16]Attachment O'!$I$246:$I$249,'[16]Attachment O'!$D$280:$D$282</definedName>
    <definedName name="zz"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6" i="2" l="1"/>
  <c r="I62" i="4"/>
  <c r="D220" i="1" l="1"/>
  <c r="J53" i="18" l="1"/>
  <c r="K53" i="18" s="1"/>
  <c r="M53" i="18" s="1"/>
  <c r="J52" i="18"/>
  <c r="K52" i="18" s="1"/>
  <c r="J51" i="18"/>
  <c r="K51" i="18" s="1"/>
  <c r="J50" i="18"/>
  <c r="K50" i="18" s="1"/>
  <c r="K49" i="18"/>
  <c r="M49" i="18" s="1"/>
  <c r="J49" i="18"/>
  <c r="J48" i="18"/>
  <c r="K48" i="18" s="1"/>
  <c r="J47" i="18"/>
  <c r="K47" i="18" s="1"/>
  <c r="J46" i="18"/>
  <c r="K46" i="18" s="1"/>
  <c r="J45" i="18"/>
  <c r="K45" i="18" s="1"/>
  <c r="M45" i="18" s="1"/>
  <c r="K44" i="18"/>
  <c r="M44" i="18" s="1"/>
  <c r="J44" i="18"/>
  <c r="M43" i="18"/>
  <c r="L43" i="18"/>
  <c r="K43" i="18"/>
  <c r="J43" i="18"/>
  <c r="J42" i="18"/>
  <c r="K42" i="18" s="1"/>
  <c r="J37" i="18"/>
  <c r="K37" i="18" s="1"/>
  <c r="M37" i="18" s="1"/>
  <c r="K36" i="18"/>
  <c r="M36" i="18" s="1"/>
  <c r="J36" i="18"/>
  <c r="K35" i="18"/>
  <c r="M35" i="18" s="1"/>
  <c r="J35" i="18"/>
  <c r="J34" i="18"/>
  <c r="K34" i="18" s="1"/>
  <c r="J33" i="18"/>
  <c r="K33" i="18" s="1"/>
  <c r="M33" i="18" s="1"/>
  <c r="J32" i="18"/>
  <c r="K32" i="18" s="1"/>
  <c r="J31" i="18"/>
  <c r="K31" i="18" s="1"/>
  <c r="J30" i="18"/>
  <c r="K30" i="18" s="1"/>
  <c r="J29" i="18"/>
  <c r="K29" i="18" s="1"/>
  <c r="M29" i="18" s="1"/>
  <c r="J28" i="18"/>
  <c r="K28" i="18" s="1"/>
  <c r="M27" i="18"/>
  <c r="K27" i="18"/>
  <c r="L27" i="18" s="1"/>
  <c r="J27" i="18"/>
  <c r="J26" i="18"/>
  <c r="K26" i="18" s="1"/>
  <c r="J21" i="18"/>
  <c r="K21" i="18" s="1"/>
  <c r="M21" i="18" s="1"/>
  <c r="J20" i="18"/>
  <c r="K20" i="18" s="1"/>
  <c r="J19" i="18"/>
  <c r="K19" i="18" s="1"/>
  <c r="J18" i="18"/>
  <c r="K18" i="18" s="1"/>
  <c r="J17" i="18"/>
  <c r="K17" i="18" s="1"/>
  <c r="L17" i="18" s="1"/>
  <c r="J16" i="18"/>
  <c r="K16" i="18" s="1"/>
  <c r="J15" i="18"/>
  <c r="K15" i="18" s="1"/>
  <c r="J14" i="18"/>
  <c r="K14" i="18" s="1"/>
  <c r="J13" i="18"/>
  <c r="K13" i="18" s="1"/>
  <c r="L13" i="18" s="1"/>
  <c r="J12" i="18"/>
  <c r="K12" i="18" s="1"/>
  <c r="J11" i="18"/>
  <c r="K11" i="18" s="1"/>
  <c r="J10" i="18"/>
  <c r="K10" i="18" s="1"/>
  <c r="M52" i="18" l="1"/>
  <c r="L52" i="18"/>
  <c r="M47" i="18"/>
  <c r="L47" i="18"/>
  <c r="M48" i="18"/>
  <c r="L48" i="18"/>
  <c r="M51" i="18"/>
  <c r="L51" i="18"/>
  <c r="L44" i="18"/>
  <c r="L31" i="18"/>
  <c r="M31" i="18"/>
  <c r="L35" i="18"/>
  <c r="L36" i="18"/>
  <c r="L12" i="18"/>
  <c r="M12" i="18"/>
  <c r="L16" i="18"/>
  <c r="M16" i="18"/>
  <c r="L20" i="18"/>
  <c r="M20" i="18"/>
  <c r="M42" i="18"/>
  <c r="L42" i="18"/>
  <c r="N42" i="18"/>
  <c r="N43" i="18" s="1"/>
  <c r="N44" i="18" s="1"/>
  <c r="M50" i="18"/>
  <c r="L50" i="18"/>
  <c r="M46" i="18"/>
  <c r="L46" i="18"/>
  <c r="L45" i="18"/>
  <c r="L49" i="18"/>
  <c r="L53" i="18"/>
  <c r="M28" i="18"/>
  <c r="L28" i="18"/>
  <c r="M34" i="18"/>
  <c r="L34" i="18"/>
  <c r="M26" i="18"/>
  <c r="L26" i="18"/>
  <c r="N26" i="18" s="1"/>
  <c r="N27" i="18" s="1"/>
  <c r="N28" i="18" s="1"/>
  <c r="M30" i="18"/>
  <c r="L30" i="18"/>
  <c r="L32" i="18"/>
  <c r="M32" i="18"/>
  <c r="L29" i="18"/>
  <c r="L33" i="18"/>
  <c r="L37" i="18"/>
  <c r="M14" i="18"/>
  <c r="L14" i="18"/>
  <c r="L11" i="18"/>
  <c r="M11" i="18"/>
  <c r="L15" i="18"/>
  <c r="M15" i="18"/>
  <c r="L19" i="18"/>
  <c r="M19" i="18"/>
  <c r="M10" i="18"/>
  <c r="L10" i="18"/>
  <c r="N10" i="18" s="1"/>
  <c r="N11" i="18" s="1"/>
  <c r="N12" i="18" s="1"/>
  <c r="N13" i="18" s="1"/>
  <c r="N14" i="18" s="1"/>
  <c r="N15" i="18" s="1"/>
  <c r="N16" i="18" s="1"/>
  <c r="M18" i="18"/>
  <c r="L18" i="18"/>
  <c r="L21" i="18"/>
  <c r="M13" i="18"/>
  <c r="M17" i="18"/>
  <c r="N45" i="18" l="1"/>
  <c r="N46" i="18" s="1"/>
  <c r="N47" i="18" s="1"/>
  <c r="N48" i="18" s="1"/>
  <c r="N49" i="18" s="1"/>
  <c r="N50" i="18" s="1"/>
  <c r="N51" i="18" s="1"/>
  <c r="N52" i="18" s="1"/>
  <c r="N53" i="18" s="1"/>
  <c r="N54" i="18" s="1"/>
  <c r="E36" i="17" s="1"/>
  <c r="N29" i="18"/>
  <c r="N30" i="18" s="1"/>
  <c r="N31" i="18" s="1"/>
  <c r="N32" i="18" s="1"/>
  <c r="N33" i="18" s="1"/>
  <c r="N34" i="18" s="1"/>
  <c r="N35" i="18" s="1"/>
  <c r="N36" i="18" s="1"/>
  <c r="N37" i="18" s="1"/>
  <c r="N38" i="18" s="1"/>
  <c r="E30" i="17" s="1"/>
  <c r="N17" i="18"/>
  <c r="N18" i="18" s="1"/>
  <c r="N19" i="18" s="1"/>
  <c r="N20" i="18" s="1"/>
  <c r="N21" i="18" s="1"/>
  <c r="N22" i="18" s="1"/>
  <c r="E24" i="17" s="1"/>
  <c r="N41" i="18"/>
  <c r="N25" i="18"/>
  <c r="N9" i="18"/>
  <c r="M29" i="4" l="1"/>
  <c r="M30" i="4"/>
  <c r="M31" i="4" s="1"/>
  <c r="M32" i="4" s="1"/>
  <c r="M33" i="4" s="1"/>
  <c r="M34" i="4" s="1"/>
  <c r="M35" i="4" s="1"/>
  <c r="M36" i="4" s="1"/>
  <c r="M37" i="4" s="1"/>
  <c r="M38" i="4" s="1"/>
  <c r="M39" i="4" s="1"/>
  <c r="M40" i="4" s="1"/>
  <c r="G16" i="8" l="1"/>
  <c r="L90" i="19" l="1"/>
  <c r="J90" i="19"/>
  <c r="L89" i="19"/>
  <c r="J89" i="19"/>
  <c r="L88" i="19"/>
  <c r="J88" i="19"/>
  <c r="A88" i="19"/>
  <c r="A89" i="19" s="1"/>
  <c r="A90" i="19" s="1"/>
  <c r="A91" i="19" s="1"/>
  <c r="D16" i="19" s="1"/>
  <c r="L87" i="19"/>
  <c r="J87" i="19"/>
  <c r="J91" i="19" s="1"/>
  <c r="A87" i="19"/>
  <c r="L86" i="19"/>
  <c r="L91" i="19" s="1"/>
  <c r="J86" i="19"/>
  <c r="G80" i="19"/>
  <c r="G79" i="19"/>
  <c r="G78" i="19"/>
  <c r="J66" i="19"/>
  <c r="H52" i="19"/>
  <c r="J51" i="19"/>
  <c r="I51" i="19"/>
  <c r="H51" i="19"/>
  <c r="G51" i="19"/>
  <c r="F51" i="19"/>
  <c r="N51" i="19" s="1"/>
  <c r="J50" i="19"/>
  <c r="I50" i="19"/>
  <c r="H50" i="19"/>
  <c r="G50" i="19"/>
  <c r="N50" i="19" s="1"/>
  <c r="F50" i="19"/>
  <c r="J49" i="19"/>
  <c r="I49" i="19"/>
  <c r="H49" i="19"/>
  <c r="G49" i="19"/>
  <c r="N49" i="19" s="1"/>
  <c r="F49" i="19"/>
  <c r="J48" i="19"/>
  <c r="I48" i="19"/>
  <c r="H48" i="19"/>
  <c r="G48" i="19"/>
  <c r="F48" i="19"/>
  <c r="N48" i="19" s="1"/>
  <c r="J47" i="19"/>
  <c r="I47" i="19"/>
  <c r="H47" i="19"/>
  <c r="G47" i="19"/>
  <c r="N47" i="19" s="1"/>
  <c r="F47" i="19"/>
  <c r="J46" i="19"/>
  <c r="I46" i="19"/>
  <c r="H46" i="19"/>
  <c r="G46" i="19"/>
  <c r="F46" i="19"/>
  <c r="J45" i="19"/>
  <c r="I45" i="19"/>
  <c r="I52" i="19" s="1"/>
  <c r="H45" i="19"/>
  <c r="G45" i="19"/>
  <c r="G52" i="19" s="1"/>
  <c r="F45" i="19"/>
  <c r="J44" i="19"/>
  <c r="I44" i="19"/>
  <c r="H44" i="19"/>
  <c r="G44" i="19"/>
  <c r="F44" i="19"/>
  <c r="J41" i="19"/>
  <c r="I41" i="19"/>
  <c r="H41" i="19"/>
  <c r="G41" i="19"/>
  <c r="F41" i="19"/>
  <c r="N40" i="19"/>
  <c r="N39" i="19"/>
  <c r="N38" i="19"/>
  <c r="N37" i="19"/>
  <c r="N41" i="19" s="1"/>
  <c r="N36" i="19"/>
  <c r="N35" i="19"/>
  <c r="N34" i="19"/>
  <c r="N32" i="19"/>
  <c r="D18" i="19"/>
  <c r="L17" i="19"/>
  <c r="L18" i="19" s="1"/>
  <c r="G16" i="19"/>
  <c r="D14" i="19"/>
  <c r="A14" i="19"/>
  <c r="A16" i="19" s="1"/>
  <c r="A17" i="19" s="1"/>
  <c r="A18" i="19" s="1"/>
  <c r="A20" i="19" s="1"/>
  <c r="A13" i="19"/>
  <c r="AA54" i="18"/>
  <c r="R54" i="18"/>
  <c r="I54" i="18"/>
  <c r="AB53" i="18"/>
  <c r="AC53" i="18" s="1"/>
  <c r="AE53" i="18" s="1"/>
  <c r="X53" i="18"/>
  <c r="S53" i="18"/>
  <c r="T53" i="18" s="1"/>
  <c r="U53" i="18" s="1"/>
  <c r="P53" i="18"/>
  <c r="O53" i="18"/>
  <c r="F53" i="18"/>
  <c r="E53" i="18"/>
  <c r="Y53" i="18" s="1"/>
  <c r="AE52" i="18"/>
  <c r="AB52" i="18"/>
  <c r="AC52" i="18" s="1"/>
  <c r="AD52" i="18" s="1"/>
  <c r="Y52" i="18"/>
  <c r="X52" i="18"/>
  <c r="T52" i="18"/>
  <c r="S52" i="18"/>
  <c r="O52" i="18"/>
  <c r="F52" i="18"/>
  <c r="E52" i="18"/>
  <c r="AC51" i="18"/>
  <c r="AB51" i="18"/>
  <c r="Y51" i="18"/>
  <c r="X51" i="18"/>
  <c r="O51" i="18"/>
  <c r="F51" i="18"/>
  <c r="E51" i="18"/>
  <c r="AC50" i="18"/>
  <c r="X50" i="18"/>
  <c r="AB50" i="18" s="1"/>
  <c r="O50" i="18"/>
  <c r="S50" i="18" s="1"/>
  <c r="T50" i="18" s="1"/>
  <c r="F50" i="18"/>
  <c r="E50" i="18"/>
  <c r="AB49" i="18"/>
  <c r="AC49" i="18" s="1"/>
  <c r="X49" i="18"/>
  <c r="S49" i="18"/>
  <c r="T49" i="18" s="1"/>
  <c r="P49" i="18"/>
  <c r="O49" i="18"/>
  <c r="F49" i="18"/>
  <c r="E49" i="18"/>
  <c r="AB48" i="18"/>
  <c r="AC48" i="18" s="1"/>
  <c r="AD48" i="18" s="1"/>
  <c r="Y48" i="18"/>
  <c r="X48" i="18"/>
  <c r="V48" i="18"/>
  <c r="T48" i="18"/>
  <c r="U48" i="18" s="1"/>
  <c r="S48" i="18"/>
  <c r="O48" i="18"/>
  <c r="F48" i="18"/>
  <c r="E48" i="18"/>
  <c r="AC47" i="18"/>
  <c r="Y47" i="18"/>
  <c r="X47" i="18"/>
  <c r="AB47" i="18" s="1"/>
  <c r="P47" i="18"/>
  <c r="O47" i="18"/>
  <c r="S47" i="18" s="1"/>
  <c r="T47" i="18" s="1"/>
  <c r="V47" i="18" s="1"/>
  <c r="F47" i="18"/>
  <c r="E47" i="18"/>
  <c r="X46" i="18"/>
  <c r="AB46" i="18" s="1"/>
  <c r="AC46" i="18" s="1"/>
  <c r="O46" i="18"/>
  <c r="S46" i="18" s="1"/>
  <c r="T46" i="18" s="1"/>
  <c r="F46" i="18"/>
  <c r="E46" i="18"/>
  <c r="AD45" i="18"/>
  <c r="AB45" i="18"/>
  <c r="AC45" i="18" s="1"/>
  <c r="X45" i="18"/>
  <c r="S45" i="18"/>
  <c r="T45" i="18" s="1"/>
  <c r="O45" i="18"/>
  <c r="F45" i="18"/>
  <c r="E45" i="18"/>
  <c r="AE44" i="18"/>
  <c r="AB44" i="18"/>
  <c r="AC44" i="18" s="1"/>
  <c r="AD44" i="18" s="1"/>
  <c r="Y44" i="18"/>
  <c r="X44" i="18"/>
  <c r="V44" i="18"/>
  <c r="T44" i="18"/>
  <c r="U44" i="18" s="1"/>
  <c r="S44" i="18"/>
  <c r="O44" i="18"/>
  <c r="F44" i="18"/>
  <c r="E44" i="18"/>
  <c r="AC43" i="18"/>
  <c r="AE43" i="18" s="1"/>
  <c r="Y43" i="18"/>
  <c r="X43" i="18"/>
  <c r="AB43" i="18" s="1"/>
  <c r="U43" i="18"/>
  <c r="P43" i="18"/>
  <c r="O43" i="18"/>
  <c r="S43" i="18" s="1"/>
  <c r="T43" i="18" s="1"/>
  <c r="V43" i="18" s="1"/>
  <c r="F43" i="18"/>
  <c r="E43" i="18"/>
  <c r="X42" i="18"/>
  <c r="O42" i="18"/>
  <c r="F42" i="18"/>
  <c r="E42" i="18"/>
  <c r="Z41" i="18"/>
  <c r="Q41" i="18"/>
  <c r="H41" i="18"/>
  <c r="E41" i="18"/>
  <c r="AA38" i="18"/>
  <c r="R38" i="18"/>
  <c r="I38" i="18"/>
  <c r="AB37" i="18"/>
  <c r="AC37" i="18" s="1"/>
  <c r="X37" i="18"/>
  <c r="S37" i="18"/>
  <c r="T37" i="18" s="1"/>
  <c r="O37" i="18"/>
  <c r="F37" i="18"/>
  <c r="E37" i="18"/>
  <c r="X36" i="18"/>
  <c r="AB36" i="18" s="1"/>
  <c r="AC36" i="18" s="1"/>
  <c r="AE36" i="18" s="1"/>
  <c r="V36" i="18"/>
  <c r="S36" i="18"/>
  <c r="T36" i="18" s="1"/>
  <c r="U36" i="18" s="1"/>
  <c r="P36" i="18"/>
  <c r="O36" i="18"/>
  <c r="F36" i="18"/>
  <c r="E36" i="18"/>
  <c r="AB35" i="18"/>
  <c r="AC35" i="18" s="1"/>
  <c r="AE35" i="18" s="1"/>
  <c r="Y35" i="18"/>
  <c r="X35" i="18"/>
  <c r="T35" i="18"/>
  <c r="P35" i="18"/>
  <c r="O35" i="18"/>
  <c r="S35" i="18" s="1"/>
  <c r="F35" i="18"/>
  <c r="E35" i="18"/>
  <c r="X34" i="18"/>
  <c r="AB34" i="18" s="1"/>
  <c r="AC34" i="18" s="1"/>
  <c r="T34" i="18"/>
  <c r="O34" i="18"/>
  <c r="S34" i="18" s="1"/>
  <c r="F34" i="18"/>
  <c r="E34" i="18"/>
  <c r="AB33" i="18"/>
  <c r="AC33" i="18" s="1"/>
  <c r="X33" i="18"/>
  <c r="S33" i="18"/>
  <c r="T33" i="18" s="1"/>
  <c r="V33" i="18" s="1"/>
  <c r="O33" i="18"/>
  <c r="F33" i="18"/>
  <c r="G33" i="18" s="1"/>
  <c r="E33" i="18"/>
  <c r="AE32" i="18"/>
  <c r="AD32" i="18"/>
  <c r="X32" i="18"/>
  <c r="AB32" i="18" s="1"/>
  <c r="AC32" i="18" s="1"/>
  <c r="V32" i="18"/>
  <c r="S32" i="18"/>
  <c r="T32" i="18" s="1"/>
  <c r="U32" i="18" s="1"/>
  <c r="P32" i="18"/>
  <c r="O32" i="18"/>
  <c r="F32" i="18"/>
  <c r="E32" i="18"/>
  <c r="Y32" i="18" s="1"/>
  <c r="AB31" i="18"/>
  <c r="AC31" i="18" s="1"/>
  <c r="AE31" i="18" s="1"/>
  <c r="Y31" i="18"/>
  <c r="X31" i="18"/>
  <c r="P31" i="18"/>
  <c r="O31" i="18"/>
  <c r="S31" i="18" s="1"/>
  <c r="T31" i="18" s="1"/>
  <c r="F31" i="18"/>
  <c r="E31" i="18"/>
  <c r="X30" i="18"/>
  <c r="AB30" i="18" s="1"/>
  <c r="AC30" i="18" s="1"/>
  <c r="O30" i="18"/>
  <c r="S30" i="18" s="1"/>
  <c r="T30" i="18" s="1"/>
  <c r="F30" i="18"/>
  <c r="E30" i="18"/>
  <c r="AB29" i="18"/>
  <c r="AC29" i="18" s="1"/>
  <c r="X29" i="18"/>
  <c r="S29" i="18"/>
  <c r="T29" i="18" s="1"/>
  <c r="O29" i="18"/>
  <c r="G29" i="18"/>
  <c r="F29" i="18"/>
  <c r="E29" i="18"/>
  <c r="AE28" i="18"/>
  <c r="X28" i="18"/>
  <c r="AB28" i="18" s="1"/>
  <c r="AC28" i="18" s="1"/>
  <c r="AD28" i="18" s="1"/>
  <c r="V28" i="18"/>
  <c r="S28" i="18"/>
  <c r="T28" i="18" s="1"/>
  <c r="U28" i="18" s="1"/>
  <c r="P28" i="18"/>
  <c r="O28" i="18"/>
  <c r="F28" i="18"/>
  <c r="E28" i="18"/>
  <c r="AB27" i="18"/>
  <c r="AC27" i="18" s="1"/>
  <c r="Y27" i="18"/>
  <c r="X27" i="18"/>
  <c r="T27" i="18"/>
  <c r="V27" i="18" s="1"/>
  <c r="P27" i="18"/>
  <c r="O27" i="18"/>
  <c r="S27" i="18" s="1"/>
  <c r="F27" i="18"/>
  <c r="E27" i="18"/>
  <c r="AC26" i="18"/>
  <c r="AD26" i="18" s="1"/>
  <c r="X26" i="18"/>
  <c r="AB26" i="18" s="1"/>
  <c r="AB38" i="18" s="1"/>
  <c r="O26" i="18"/>
  <c r="F26" i="18"/>
  <c r="E26" i="18"/>
  <c r="Z25" i="18"/>
  <c r="Q25" i="18"/>
  <c r="H25" i="18"/>
  <c r="E25" i="18"/>
  <c r="AA22" i="18"/>
  <c r="R22" i="18"/>
  <c r="I22" i="18"/>
  <c r="AB21" i="18"/>
  <c r="AC21" i="18" s="1"/>
  <c r="X21" i="18"/>
  <c r="S21" i="18"/>
  <c r="T21" i="18" s="1"/>
  <c r="O21" i="18"/>
  <c r="F21" i="18"/>
  <c r="E21" i="18"/>
  <c r="Y21" i="18" s="1"/>
  <c r="AC20" i="18"/>
  <c r="AD20" i="18" s="1"/>
  <c r="X20" i="18"/>
  <c r="AB20" i="18" s="1"/>
  <c r="V20" i="18"/>
  <c r="U20" i="18"/>
  <c r="O20" i="18"/>
  <c r="S20" i="18" s="1"/>
  <c r="T20" i="18" s="1"/>
  <c r="G20" i="18"/>
  <c r="F20" i="18"/>
  <c r="E20" i="18"/>
  <c r="P20" i="18" s="1"/>
  <c r="Y19" i="18"/>
  <c r="X19" i="18"/>
  <c r="AB19" i="18" s="1"/>
  <c r="AC19" i="18" s="1"/>
  <c r="S19" i="18"/>
  <c r="T19" i="18" s="1"/>
  <c r="V19" i="18" s="1"/>
  <c r="O19" i="18"/>
  <c r="F19" i="18"/>
  <c r="E19" i="18"/>
  <c r="P19" i="18" s="1"/>
  <c r="AB18" i="18"/>
  <c r="AC18" i="18" s="1"/>
  <c r="X18" i="18"/>
  <c r="V18" i="18"/>
  <c r="T18" i="18"/>
  <c r="U18" i="18" s="1"/>
  <c r="O18" i="18"/>
  <c r="S18" i="18" s="1"/>
  <c r="F18" i="18"/>
  <c r="E18" i="18"/>
  <c r="Y18" i="18" s="1"/>
  <c r="AB17" i="18"/>
  <c r="AC17" i="18" s="1"/>
  <c r="X17" i="18"/>
  <c r="S17" i="18"/>
  <c r="T17" i="18" s="1"/>
  <c r="O17" i="18"/>
  <c r="F17" i="18"/>
  <c r="E17" i="18"/>
  <c r="Y17" i="18" s="1"/>
  <c r="X16" i="18"/>
  <c r="AB16" i="18" s="1"/>
  <c r="AC16" i="18" s="1"/>
  <c r="O16" i="18"/>
  <c r="S16" i="18" s="1"/>
  <c r="T16" i="18" s="1"/>
  <c r="G16" i="18"/>
  <c r="F16" i="18"/>
  <c r="E16" i="18"/>
  <c r="X15" i="18"/>
  <c r="AB15" i="18" s="1"/>
  <c r="AC15" i="18" s="1"/>
  <c r="AE15" i="18" s="1"/>
  <c r="S15" i="18"/>
  <c r="T15" i="18" s="1"/>
  <c r="O15" i="18"/>
  <c r="F15" i="18"/>
  <c r="E15" i="18"/>
  <c r="P15" i="18" s="1"/>
  <c r="AB14" i="18"/>
  <c r="AC14" i="18" s="1"/>
  <c r="X14" i="18"/>
  <c r="O14" i="18"/>
  <c r="S14" i="18" s="1"/>
  <c r="T14" i="18" s="1"/>
  <c r="F14" i="18"/>
  <c r="E14" i="18"/>
  <c r="AE13" i="18"/>
  <c r="AB13" i="18"/>
  <c r="AC13" i="18" s="1"/>
  <c r="Y13" i="18"/>
  <c r="X13" i="18"/>
  <c r="S13" i="18"/>
  <c r="T13" i="18" s="1"/>
  <c r="O13" i="18"/>
  <c r="F13" i="18"/>
  <c r="E13" i="18"/>
  <c r="P13" i="18" s="1"/>
  <c r="AB12" i="18"/>
  <c r="AC12" i="18" s="1"/>
  <c r="Y12" i="18"/>
  <c r="X12" i="18"/>
  <c r="O12" i="18"/>
  <c r="F12" i="18"/>
  <c r="G12" i="18" s="1"/>
  <c r="E12" i="18"/>
  <c r="AE11" i="18"/>
  <c r="X11" i="18"/>
  <c r="AB11" i="18" s="1"/>
  <c r="AC11" i="18" s="1"/>
  <c r="S11" i="18"/>
  <c r="T11" i="18" s="1"/>
  <c r="O11" i="18"/>
  <c r="F11" i="18"/>
  <c r="E11" i="18"/>
  <c r="AB10" i="18"/>
  <c r="X10" i="18"/>
  <c r="X22" i="18" s="1"/>
  <c r="V10" i="18"/>
  <c r="U10" i="18"/>
  <c r="S10" i="18"/>
  <c r="T10" i="18" s="1"/>
  <c r="O10" i="18"/>
  <c r="G10" i="18"/>
  <c r="F10" i="18"/>
  <c r="E10" i="18"/>
  <c r="P10" i="18" s="1"/>
  <c r="A10" i="18"/>
  <c r="A11" i="18" s="1"/>
  <c r="A12" i="18" s="1"/>
  <c r="A13" i="18" s="1"/>
  <c r="A14" i="18" s="1"/>
  <c r="A15" i="18" s="1"/>
  <c r="A16" i="18" s="1"/>
  <c r="A17" i="18" s="1"/>
  <c r="A18" i="18" s="1"/>
  <c r="A19" i="18" s="1"/>
  <c r="A20" i="18" s="1"/>
  <c r="A21" i="18" s="1"/>
  <c r="A22" i="18" s="1"/>
  <c r="A25" i="18" s="1"/>
  <c r="A26" i="18" s="1"/>
  <c r="A27" i="18" s="1"/>
  <c r="A28" i="18" s="1"/>
  <c r="A29" i="18" s="1"/>
  <c r="A30" i="18" s="1"/>
  <c r="A31" i="18" s="1"/>
  <c r="A32" i="18" s="1"/>
  <c r="A33" i="18" s="1"/>
  <c r="A34" i="18" s="1"/>
  <c r="A35" i="18" s="1"/>
  <c r="A36" i="18" s="1"/>
  <c r="A37" i="18" s="1"/>
  <c r="A38" i="18" s="1"/>
  <c r="A41" i="18" s="1"/>
  <c r="A42" i="18" s="1"/>
  <c r="A43" i="18" s="1"/>
  <c r="A44" i="18" s="1"/>
  <c r="A45" i="18" s="1"/>
  <c r="A46" i="18" s="1"/>
  <c r="A47" i="18" s="1"/>
  <c r="A48" i="18" s="1"/>
  <c r="A49" i="18" s="1"/>
  <c r="A50" i="18" s="1"/>
  <c r="A51" i="18" s="1"/>
  <c r="A52" i="18" s="1"/>
  <c r="A53" i="18" s="1"/>
  <c r="A54" i="18" s="1"/>
  <c r="E9" i="18"/>
  <c r="X3" i="18"/>
  <c r="O3" i="18"/>
  <c r="A3" i="18"/>
  <c r="X2" i="18"/>
  <c r="O2" i="18"/>
  <c r="A2" i="18"/>
  <c r="D30" i="17"/>
  <c r="D36" i="17" s="1"/>
  <c r="E28" i="17"/>
  <c r="D24" i="17"/>
  <c r="D23" i="17" s="1"/>
  <c r="D29" i="17" s="1"/>
  <c r="D35" i="17" s="1"/>
  <c r="D22" i="17"/>
  <c r="D28" i="17" s="1"/>
  <c r="D34" i="17" s="1"/>
  <c r="A10" i="17"/>
  <c r="A11" i="17" s="1"/>
  <c r="A12" i="17" s="1"/>
  <c r="A13" i="17" s="1"/>
  <c r="A14" i="17" s="1"/>
  <c r="A15" i="17" s="1"/>
  <c r="A16" i="17" s="1"/>
  <c r="A22" i="17" s="1"/>
  <c r="A23" i="17" s="1"/>
  <c r="A24" i="17" s="1"/>
  <c r="A25" i="17" s="1"/>
  <c r="A28" i="17" s="1"/>
  <c r="A29" i="17" s="1"/>
  <c r="A30" i="17" s="1"/>
  <c r="A31" i="17" s="1"/>
  <c r="A34" i="17" s="1"/>
  <c r="A35" i="17" s="1"/>
  <c r="A36" i="17" s="1"/>
  <c r="A37" i="17" s="1"/>
  <c r="A3" i="17"/>
  <c r="A2" i="17"/>
  <c r="F80" i="16"/>
  <c r="G29" i="17" s="1"/>
  <c r="D80" i="16"/>
  <c r="G77" i="16"/>
  <c r="G80" i="16" s="1"/>
  <c r="F77" i="16"/>
  <c r="E77" i="16"/>
  <c r="E80" i="16" s="1"/>
  <c r="D77" i="16"/>
  <c r="C76" i="16"/>
  <c r="C77" i="16" s="1"/>
  <c r="C80" i="16" s="1"/>
  <c r="E29" i="17" s="1"/>
  <c r="G57" i="16"/>
  <c r="H23" i="17" s="1"/>
  <c r="G54" i="16"/>
  <c r="F54" i="16"/>
  <c r="F57" i="16" s="1"/>
  <c r="E54" i="16"/>
  <c r="E57" i="16" s="1"/>
  <c r="F23" i="17" s="1"/>
  <c r="D54" i="16"/>
  <c r="D57" i="16" s="1"/>
  <c r="C53" i="16"/>
  <c r="C54" i="16" s="1"/>
  <c r="C57" i="16" s="1"/>
  <c r="E23" i="17" s="1"/>
  <c r="A42" i="16"/>
  <c r="G32" i="16"/>
  <c r="H35" i="17" s="1"/>
  <c r="G29" i="16"/>
  <c r="F29" i="16"/>
  <c r="F32" i="16" s="1"/>
  <c r="G35" i="17" s="1"/>
  <c r="E29" i="16"/>
  <c r="E32" i="16" s="1"/>
  <c r="F35" i="17" s="1"/>
  <c r="D29" i="16"/>
  <c r="D32" i="16" s="1"/>
  <c r="C29" i="16"/>
  <c r="C32" i="16" s="1"/>
  <c r="E35" i="17" s="1"/>
  <c r="C28" i="16"/>
  <c r="A24" i="16"/>
  <c r="A25" i="16" s="1"/>
  <c r="A26" i="16" s="1"/>
  <c r="A27" i="16" s="1"/>
  <c r="A28" i="16" s="1"/>
  <c r="A29" i="16" s="1"/>
  <c r="A30" i="16" s="1"/>
  <c r="A31" i="16" s="1"/>
  <c r="A32" i="16" s="1"/>
  <c r="A46" i="16" s="1"/>
  <c r="A47" i="16" s="1"/>
  <c r="A48" i="16" s="1"/>
  <c r="A49" i="16" s="1"/>
  <c r="A50" i="16" s="1"/>
  <c r="A51" i="16" s="1"/>
  <c r="A52" i="16" s="1"/>
  <c r="A53" i="16" s="1"/>
  <c r="A54" i="16" s="1"/>
  <c r="A55" i="16" s="1"/>
  <c r="A56" i="16" s="1"/>
  <c r="A57" i="16" s="1"/>
  <c r="A67" i="16" s="1"/>
  <c r="A68" i="16" s="1"/>
  <c r="A69" i="16" s="1"/>
  <c r="A70" i="16" s="1"/>
  <c r="A71" i="16" s="1"/>
  <c r="A72" i="16" s="1"/>
  <c r="A73" i="16" s="1"/>
  <c r="A74" i="16" s="1"/>
  <c r="A75" i="16" s="1"/>
  <c r="A76" i="16" s="1"/>
  <c r="A77" i="16" s="1"/>
  <c r="A78" i="16" s="1"/>
  <c r="A79" i="16" s="1"/>
  <c r="A80" i="16" s="1"/>
  <c r="F11" i="16"/>
  <c r="F10" i="16"/>
  <c r="A10" i="16"/>
  <c r="A11" i="16" s="1"/>
  <c r="A12" i="16" s="1"/>
  <c r="A19" i="16" s="1"/>
  <c r="A20" i="16" s="1"/>
  <c r="A21" i="16" s="1"/>
  <c r="A22" i="16" s="1"/>
  <c r="A23" i="16" s="1"/>
  <c r="G9" i="16"/>
  <c r="B2" i="16"/>
  <c r="G77" i="15"/>
  <c r="H28" i="17" s="1"/>
  <c r="F77" i="15"/>
  <c r="E77" i="15"/>
  <c r="G74" i="15"/>
  <c r="F74" i="15"/>
  <c r="E74" i="15"/>
  <c r="D74" i="15"/>
  <c r="D77" i="15" s="1"/>
  <c r="C73" i="15"/>
  <c r="C74" i="15" s="1"/>
  <c r="C77" i="15" s="1"/>
  <c r="G54" i="15"/>
  <c r="F54" i="15"/>
  <c r="D54" i="15"/>
  <c r="G51" i="15"/>
  <c r="F51" i="15"/>
  <c r="E51" i="15"/>
  <c r="E54" i="15" s="1"/>
  <c r="D51" i="15"/>
  <c r="C51" i="15"/>
  <c r="C54" i="15" s="1"/>
  <c r="E22" i="17" s="1"/>
  <c r="C50" i="15"/>
  <c r="A39" i="15"/>
  <c r="G29" i="15"/>
  <c r="F29" i="15"/>
  <c r="D29" i="15"/>
  <c r="G26" i="15"/>
  <c r="F26" i="15"/>
  <c r="E26" i="15"/>
  <c r="E29" i="15" s="1"/>
  <c r="E8" i="15" s="1"/>
  <c r="D26" i="15"/>
  <c r="C26" i="15"/>
  <c r="C29" i="15" s="1"/>
  <c r="F41" i="6" s="1"/>
  <c r="F54" i="6" s="1"/>
  <c r="A26" i="15"/>
  <c r="A27" i="15" s="1"/>
  <c r="A28" i="15" s="1"/>
  <c r="A29" i="15" s="1"/>
  <c r="A43" i="15" s="1"/>
  <c r="A44" i="15" s="1"/>
  <c r="A45" i="15" s="1"/>
  <c r="A46" i="15" s="1"/>
  <c r="A47" i="15" s="1"/>
  <c r="A48" i="15" s="1"/>
  <c r="A49" i="15" s="1"/>
  <c r="A50" i="15" s="1"/>
  <c r="A51" i="15" s="1"/>
  <c r="A52" i="15" s="1"/>
  <c r="A53" i="15" s="1"/>
  <c r="A54" i="15" s="1"/>
  <c r="A64" i="15" s="1"/>
  <c r="A65" i="15" s="1"/>
  <c r="A66" i="15" s="1"/>
  <c r="A67" i="15" s="1"/>
  <c r="A68" i="15" s="1"/>
  <c r="A69" i="15" s="1"/>
  <c r="A70" i="15" s="1"/>
  <c r="A71" i="15" s="1"/>
  <c r="A72" i="15" s="1"/>
  <c r="A73" i="15" s="1"/>
  <c r="A74" i="15" s="1"/>
  <c r="A75" i="15" s="1"/>
  <c r="A76" i="15" s="1"/>
  <c r="A77" i="15" s="1"/>
  <c r="C25" i="15"/>
  <c r="A16" i="15"/>
  <c r="A17" i="15" s="1"/>
  <c r="A18" i="15" s="1"/>
  <c r="A19" i="15" s="1"/>
  <c r="A20" i="15" s="1"/>
  <c r="A21" i="15" s="1"/>
  <c r="A22" i="15" s="1"/>
  <c r="A23" i="15" s="1"/>
  <c r="A24" i="15" s="1"/>
  <c r="A25" i="15" s="1"/>
  <c r="A7" i="15"/>
  <c r="A8" i="15" s="1"/>
  <c r="A9" i="15" s="1"/>
  <c r="G6" i="15"/>
  <c r="B2" i="15"/>
  <c r="D13" i="14"/>
  <c r="D11" i="14"/>
  <c r="C10" i="14"/>
  <c r="A3" i="14"/>
  <c r="A3" i="13"/>
  <c r="E45" i="12"/>
  <c r="E47" i="12" s="1"/>
  <c r="D44" i="12"/>
  <c r="G23" i="12"/>
  <c r="E23" i="12"/>
  <c r="D23" i="12"/>
  <c r="F21" i="12"/>
  <c r="H21" i="12" s="1"/>
  <c r="H20" i="12"/>
  <c r="F20" i="12"/>
  <c r="F19" i="12"/>
  <c r="H19" i="12" s="1"/>
  <c r="F18" i="12"/>
  <c r="H18" i="12" s="1"/>
  <c r="F17" i="12"/>
  <c r="H17" i="12" s="1"/>
  <c r="F16" i="12"/>
  <c r="E4" i="12"/>
  <c r="B31" i="11"/>
  <c r="J30" i="11"/>
  <c r="B30" i="11"/>
  <c r="J29" i="11"/>
  <c r="B29" i="11"/>
  <c r="J28" i="11"/>
  <c r="B28" i="11"/>
  <c r="B27" i="11"/>
  <c r="D26" i="11"/>
  <c r="D25" i="11"/>
  <c r="E15" i="11"/>
  <c r="A14" i="11"/>
  <c r="A15" i="11" s="1"/>
  <c r="A16" i="11" s="1"/>
  <c r="A18" i="11" s="1"/>
  <c r="A19" i="11" s="1"/>
  <c r="A12" i="11"/>
  <c r="A13" i="11" s="1"/>
  <c r="A9" i="11"/>
  <c r="A5" i="11"/>
  <c r="V96" i="10"/>
  <c r="T96" i="10"/>
  <c r="E96" i="10"/>
  <c r="W95" i="10"/>
  <c r="R94" i="10"/>
  <c r="M94" i="10"/>
  <c r="N94" i="10" s="1"/>
  <c r="R93" i="10"/>
  <c r="M93" i="10"/>
  <c r="N93" i="10" s="1"/>
  <c r="R92" i="10"/>
  <c r="M92" i="10"/>
  <c r="N92" i="10" s="1"/>
  <c r="R91" i="10"/>
  <c r="M91" i="10"/>
  <c r="N91" i="10" s="1"/>
  <c r="R90" i="10"/>
  <c r="M90" i="10"/>
  <c r="N90" i="10" s="1"/>
  <c r="R89" i="10"/>
  <c r="M89" i="10"/>
  <c r="N89" i="10" s="1"/>
  <c r="R88" i="10"/>
  <c r="M88" i="10"/>
  <c r="N88" i="10" s="1"/>
  <c r="R87" i="10"/>
  <c r="M87" i="10"/>
  <c r="N87" i="10" s="1"/>
  <c r="R86" i="10"/>
  <c r="M86" i="10"/>
  <c r="N86" i="10" s="1"/>
  <c r="R85" i="10"/>
  <c r="M85" i="10"/>
  <c r="N85" i="10" s="1"/>
  <c r="R84" i="10"/>
  <c r="M84" i="10"/>
  <c r="N84" i="10" s="1"/>
  <c r="R83" i="10"/>
  <c r="M83" i="10"/>
  <c r="N83" i="10" s="1"/>
  <c r="R82" i="10"/>
  <c r="M82" i="10"/>
  <c r="N82" i="10" s="1"/>
  <c r="R81" i="10"/>
  <c r="M81" i="10"/>
  <c r="N81" i="10" s="1"/>
  <c r="R80" i="10"/>
  <c r="M80" i="10"/>
  <c r="N80" i="10" s="1"/>
  <c r="L79" i="10"/>
  <c r="L78" i="10"/>
  <c r="M77" i="10"/>
  <c r="N77" i="10" s="1"/>
  <c r="L77" i="10"/>
  <c r="Q64" i="10"/>
  <c r="F64" i="10"/>
  <c r="Q63" i="10"/>
  <c r="F63" i="10"/>
  <c r="E6" i="10"/>
  <c r="F65" i="10" s="1"/>
  <c r="Q65" i="10" s="1"/>
  <c r="K259" i="9"/>
  <c r="K257" i="9"/>
  <c r="A253" i="9"/>
  <c r="I249" i="9"/>
  <c r="I238" i="9"/>
  <c r="A237" i="9"/>
  <c r="A238" i="9" s="1"/>
  <c r="A240" i="9" s="1"/>
  <c r="C14" i="9" s="1"/>
  <c r="D231" i="9"/>
  <c r="G229" i="9"/>
  <c r="D229" i="9"/>
  <c r="A229" i="9"/>
  <c r="A230" i="9" s="1"/>
  <c r="A231" i="9" s="1"/>
  <c r="D217" i="9"/>
  <c r="G216" i="9"/>
  <c r="G215" i="9"/>
  <c r="A214" i="9"/>
  <c r="A215" i="9" s="1"/>
  <c r="A216" i="9" s="1"/>
  <c r="A217" i="9" s="1"/>
  <c r="A220" i="9" s="1"/>
  <c r="A221" i="9" s="1"/>
  <c r="A222" i="9" s="1"/>
  <c r="A223" i="9" s="1"/>
  <c r="G213" i="9"/>
  <c r="A205" i="9"/>
  <c r="A206" i="9" s="1"/>
  <c r="A207" i="9" s="1"/>
  <c r="A209" i="9" s="1"/>
  <c r="K195" i="9"/>
  <c r="K193" i="9"/>
  <c r="I186" i="9"/>
  <c r="D186" i="9"/>
  <c r="I184" i="9"/>
  <c r="I180" i="9"/>
  <c r="A176" i="9"/>
  <c r="B163" i="9"/>
  <c r="A160" i="9"/>
  <c r="A163" i="9" s="1"/>
  <c r="A164" i="9" s="1"/>
  <c r="D24" i="11" s="1"/>
  <c r="C158" i="9"/>
  <c r="A156" i="9"/>
  <c r="D153" i="9"/>
  <c r="A153" i="9"/>
  <c r="A154" i="9" s="1"/>
  <c r="A155" i="9" s="1"/>
  <c r="D149" i="9"/>
  <c r="A149" i="9"/>
  <c r="A150" i="9" s="1"/>
  <c r="A151" i="9" s="1"/>
  <c r="A152" i="9" s="1"/>
  <c r="A142" i="9"/>
  <c r="A143" i="9" s="1"/>
  <c r="F133" i="9"/>
  <c r="A133" i="9"/>
  <c r="F131" i="9"/>
  <c r="D131" i="9"/>
  <c r="F130" i="9"/>
  <c r="D130" i="9"/>
  <c r="A127" i="9"/>
  <c r="A128" i="9" s="1"/>
  <c r="A126" i="9"/>
  <c r="F125" i="9"/>
  <c r="F124" i="9"/>
  <c r="F123" i="9"/>
  <c r="K114" i="9"/>
  <c r="K112" i="9"/>
  <c r="A101" i="9"/>
  <c r="A104" i="9" s="1"/>
  <c r="A105" i="9" s="1"/>
  <c r="A106" i="9" s="1"/>
  <c r="A107" i="9" s="1"/>
  <c r="A109" i="9" s="1"/>
  <c r="G98" i="9"/>
  <c r="F98" i="9"/>
  <c r="F96" i="9"/>
  <c r="D93" i="9"/>
  <c r="D92" i="9"/>
  <c r="D91" i="9"/>
  <c r="F88" i="9"/>
  <c r="G75" i="9"/>
  <c r="G73" i="9"/>
  <c r="D68" i="9"/>
  <c r="A68" i="9"/>
  <c r="A69" i="9" s="1"/>
  <c r="A67" i="9"/>
  <c r="A66" i="9"/>
  <c r="D58" i="9"/>
  <c r="D116" i="9" s="1"/>
  <c r="D197" i="9" s="1"/>
  <c r="D261" i="9" s="1"/>
  <c r="K56" i="9"/>
  <c r="K53" i="9"/>
  <c r="I51" i="9"/>
  <c r="I50" i="9"/>
  <c r="I38" i="9"/>
  <c r="D40" i="9" s="1"/>
  <c r="D41" i="9" s="1"/>
  <c r="I18" i="9"/>
  <c r="I17" i="9"/>
  <c r="A17" i="9"/>
  <c r="A18" i="9" s="1"/>
  <c r="A19" i="9" s="1"/>
  <c r="D16" i="9"/>
  <c r="I16" i="9" s="1"/>
  <c r="C16" i="9"/>
  <c r="A16" i="9"/>
  <c r="I15" i="9"/>
  <c r="D15" i="9"/>
  <c r="C15" i="9"/>
  <c r="D14" i="9"/>
  <c r="I14" i="9" s="1"/>
  <c r="A14" i="9"/>
  <c r="E45" i="8"/>
  <c r="E47" i="8" s="1"/>
  <c r="G23" i="8"/>
  <c r="E23" i="8"/>
  <c r="D23" i="8"/>
  <c r="H21" i="8"/>
  <c r="F21" i="8"/>
  <c r="F20" i="8"/>
  <c r="H20" i="8" s="1"/>
  <c r="F19" i="8"/>
  <c r="H19" i="8" s="1"/>
  <c r="H18" i="8"/>
  <c r="F18" i="8"/>
  <c r="H17" i="8"/>
  <c r="F17" i="8"/>
  <c r="H16" i="8"/>
  <c r="F16" i="8"/>
  <c r="F23" i="8" s="1"/>
  <c r="E4" i="8"/>
  <c r="L90" i="7"/>
  <c r="J90" i="7"/>
  <c r="L89" i="7"/>
  <c r="J89" i="7"/>
  <c r="L88" i="7"/>
  <c r="J88" i="7"/>
  <c r="L87" i="7"/>
  <c r="J87" i="7"/>
  <c r="A87" i="7"/>
  <c r="A88" i="7" s="1"/>
  <c r="A89" i="7" s="1"/>
  <c r="A90" i="7" s="1"/>
  <c r="A91" i="7" s="1"/>
  <c r="D16" i="7" s="1"/>
  <c r="L86" i="7"/>
  <c r="J86" i="7"/>
  <c r="J91" i="7" s="1"/>
  <c r="G80" i="7"/>
  <c r="G79" i="7"/>
  <c r="G78" i="7"/>
  <c r="J51" i="7"/>
  <c r="I51" i="7"/>
  <c r="H51" i="7"/>
  <c r="G51" i="7"/>
  <c r="F51" i="7"/>
  <c r="J50" i="7"/>
  <c r="I50" i="7"/>
  <c r="H50" i="7"/>
  <c r="G50" i="7"/>
  <c r="F50" i="7"/>
  <c r="J49" i="7"/>
  <c r="I49" i="7"/>
  <c r="H49" i="7"/>
  <c r="G49" i="7"/>
  <c r="F49" i="7"/>
  <c r="N49" i="7" s="1"/>
  <c r="J13" i="7" s="1"/>
  <c r="J14" i="7" s="1"/>
  <c r="J48" i="7"/>
  <c r="I48" i="7"/>
  <c r="H48" i="7"/>
  <c r="G48" i="7"/>
  <c r="F48" i="7"/>
  <c r="J47" i="7"/>
  <c r="I47" i="7"/>
  <c r="H47" i="7"/>
  <c r="G47" i="7"/>
  <c r="F47" i="7"/>
  <c r="J46" i="7"/>
  <c r="I46" i="7"/>
  <c r="H46" i="7"/>
  <c r="G46" i="7"/>
  <c r="F46" i="7"/>
  <c r="J45" i="7"/>
  <c r="I45" i="7"/>
  <c r="H45" i="7"/>
  <c r="G45" i="7"/>
  <c r="G52" i="7" s="1"/>
  <c r="F45" i="7"/>
  <c r="J41" i="7"/>
  <c r="I41" i="7"/>
  <c r="H41" i="7"/>
  <c r="G41" i="7"/>
  <c r="F41" i="7"/>
  <c r="N40" i="7"/>
  <c r="N39" i="7"/>
  <c r="N38" i="7"/>
  <c r="N37" i="7"/>
  <c r="N36" i="7"/>
  <c r="N35" i="7"/>
  <c r="N34" i="7"/>
  <c r="N41" i="7" s="1"/>
  <c r="N32" i="7"/>
  <c r="A13" i="7"/>
  <c r="D14" i="7" s="1"/>
  <c r="K54" i="6"/>
  <c r="I54" i="6"/>
  <c r="L53" i="6"/>
  <c r="H53" i="6"/>
  <c r="E53" i="6"/>
  <c r="J53" i="6" s="1"/>
  <c r="L52" i="6"/>
  <c r="E52" i="6"/>
  <c r="J52" i="6" s="1"/>
  <c r="L51" i="6"/>
  <c r="H51" i="6"/>
  <c r="E51" i="6"/>
  <c r="J51" i="6" s="1"/>
  <c r="H50" i="6"/>
  <c r="E50" i="6"/>
  <c r="L50" i="6" s="1"/>
  <c r="L49" i="6"/>
  <c r="J49" i="6"/>
  <c r="H49" i="6"/>
  <c r="E49" i="6"/>
  <c r="L48" i="6"/>
  <c r="J48" i="6"/>
  <c r="H48" i="6"/>
  <c r="E48" i="6"/>
  <c r="E47" i="6"/>
  <c r="E46" i="6"/>
  <c r="L46" i="6" s="1"/>
  <c r="J45" i="6"/>
  <c r="E45" i="6"/>
  <c r="L44" i="6"/>
  <c r="J44" i="6"/>
  <c r="E44" i="6"/>
  <c r="H44" i="6" s="1"/>
  <c r="E43" i="6"/>
  <c r="L42" i="6"/>
  <c r="J42" i="6"/>
  <c r="H42" i="6"/>
  <c r="E42" i="6"/>
  <c r="K41" i="6"/>
  <c r="I41" i="6"/>
  <c r="G41" i="6"/>
  <c r="G54" i="6" s="1"/>
  <c r="E41" i="6"/>
  <c r="F38" i="6"/>
  <c r="L37" i="6"/>
  <c r="J37" i="6"/>
  <c r="H37" i="6"/>
  <c r="E37" i="6"/>
  <c r="J36" i="6"/>
  <c r="H36" i="6"/>
  <c r="E36" i="6"/>
  <c r="L36" i="6" s="1"/>
  <c r="E35" i="6"/>
  <c r="J35" i="6" s="1"/>
  <c r="L34" i="6"/>
  <c r="E34" i="6"/>
  <c r="J34" i="6" s="1"/>
  <c r="L33" i="6"/>
  <c r="H33" i="6"/>
  <c r="E33" i="6"/>
  <c r="J33" i="6" s="1"/>
  <c r="L32" i="6"/>
  <c r="J32" i="6"/>
  <c r="H32" i="6"/>
  <c r="E32" i="6"/>
  <c r="L31" i="6"/>
  <c r="J31" i="6"/>
  <c r="H31" i="6"/>
  <c r="E31" i="6"/>
  <c r="J30" i="6"/>
  <c r="E30" i="6"/>
  <c r="L30" i="6" s="1"/>
  <c r="E29" i="6"/>
  <c r="L29" i="6" s="1"/>
  <c r="J28" i="6"/>
  <c r="E28" i="6"/>
  <c r="L27" i="6"/>
  <c r="J27" i="6"/>
  <c r="E27" i="6"/>
  <c r="H27" i="6" s="1"/>
  <c r="E26" i="6"/>
  <c r="L25" i="6"/>
  <c r="K25" i="6"/>
  <c r="K38" i="6" s="1"/>
  <c r="I25" i="6"/>
  <c r="E25" i="6"/>
  <c r="K22" i="6"/>
  <c r="E21" i="6"/>
  <c r="L20" i="6"/>
  <c r="E20" i="6"/>
  <c r="J19" i="6"/>
  <c r="H19" i="6"/>
  <c r="E19" i="6"/>
  <c r="L19" i="6" s="1"/>
  <c r="L18" i="6"/>
  <c r="E18" i="6"/>
  <c r="J18" i="6" s="1"/>
  <c r="L17" i="6"/>
  <c r="E17" i="6"/>
  <c r="J17" i="6" s="1"/>
  <c r="L16" i="6"/>
  <c r="H16" i="6"/>
  <c r="E16" i="6"/>
  <c r="J16" i="6" s="1"/>
  <c r="L15" i="6"/>
  <c r="J15" i="6"/>
  <c r="H15" i="6"/>
  <c r="E15" i="6"/>
  <c r="L14" i="6"/>
  <c r="J14" i="6"/>
  <c r="H14" i="6"/>
  <c r="E14" i="6"/>
  <c r="A14" i="6"/>
  <c r="A15" i="6" s="1"/>
  <c r="A16" i="6" s="1"/>
  <c r="A17" i="6" s="1"/>
  <c r="A18" i="6" s="1"/>
  <c r="A19" i="6" s="1"/>
  <c r="A20" i="6" s="1"/>
  <c r="A21" i="6" s="1"/>
  <c r="A22" i="6" s="1"/>
  <c r="A25" i="6" s="1"/>
  <c r="A26" i="6" s="1"/>
  <c r="A27" i="6" s="1"/>
  <c r="A28" i="6" s="1"/>
  <c r="A29" i="6" s="1"/>
  <c r="A30" i="6" s="1"/>
  <c r="A31" i="6" s="1"/>
  <c r="A32" i="6" s="1"/>
  <c r="A33" i="6" s="1"/>
  <c r="A34" i="6" s="1"/>
  <c r="A35" i="6" s="1"/>
  <c r="A36" i="6" s="1"/>
  <c r="A37" i="6" s="1"/>
  <c r="A38" i="6" s="1"/>
  <c r="A41" i="6" s="1"/>
  <c r="A42" i="6" s="1"/>
  <c r="A43" i="6" s="1"/>
  <c r="A44" i="6" s="1"/>
  <c r="A45" i="6" s="1"/>
  <c r="A46" i="6" s="1"/>
  <c r="A47" i="6" s="1"/>
  <c r="A48" i="6" s="1"/>
  <c r="A49" i="6" s="1"/>
  <c r="A50" i="6" s="1"/>
  <c r="A51" i="6" s="1"/>
  <c r="A52" i="6" s="1"/>
  <c r="A53" i="6" s="1"/>
  <c r="A54" i="6" s="1"/>
  <c r="J13" i="6"/>
  <c r="E13" i="6"/>
  <c r="L13" i="6" s="1"/>
  <c r="A13" i="6"/>
  <c r="E12" i="6"/>
  <c r="E11" i="6"/>
  <c r="A11" i="6"/>
  <c r="A12" i="6" s="1"/>
  <c r="L10" i="6"/>
  <c r="J10" i="6"/>
  <c r="E10" i="6"/>
  <c r="H10" i="6" s="1"/>
  <c r="A10" i="6"/>
  <c r="L9" i="6"/>
  <c r="K9" i="6"/>
  <c r="I9" i="6"/>
  <c r="J9" i="6" s="1"/>
  <c r="F22" i="6"/>
  <c r="E9" i="6"/>
  <c r="A3" i="6"/>
  <c r="H35" i="5"/>
  <c r="G35" i="5"/>
  <c r="H34" i="5"/>
  <c r="G34" i="5"/>
  <c r="F34" i="5"/>
  <c r="E34" i="5" s="1"/>
  <c r="H29" i="5"/>
  <c r="G29" i="5"/>
  <c r="F29" i="5"/>
  <c r="D29" i="5"/>
  <c r="D35" i="5" s="1"/>
  <c r="H28" i="5"/>
  <c r="G28" i="5"/>
  <c r="F28" i="5"/>
  <c r="E28" i="5" s="1"/>
  <c r="D24" i="5"/>
  <c r="D30" i="5" s="1"/>
  <c r="D36" i="5" s="1"/>
  <c r="H23" i="5"/>
  <c r="E23" i="5" s="1"/>
  <c r="G23" i="5"/>
  <c r="H22" i="5"/>
  <c r="G22" i="5"/>
  <c r="E22" i="5" s="1"/>
  <c r="F22" i="5"/>
  <c r="D22" i="5"/>
  <c r="D28" i="5" s="1"/>
  <c r="D34" i="5" s="1"/>
  <c r="A14" i="5"/>
  <c r="A15" i="5" s="1"/>
  <c r="A16" i="5" s="1"/>
  <c r="A22" i="5" s="1"/>
  <c r="A23" i="5" s="1"/>
  <c r="A24" i="5" s="1"/>
  <c r="A25" i="5" s="1"/>
  <c r="A28" i="5" s="1"/>
  <c r="A29" i="5" s="1"/>
  <c r="A30" i="5" s="1"/>
  <c r="A31" i="5" s="1"/>
  <c r="A34" i="5" s="1"/>
  <c r="A35" i="5" s="1"/>
  <c r="A36" i="5" s="1"/>
  <c r="A37" i="5" s="1"/>
  <c r="A13" i="5"/>
  <c r="A12" i="5"/>
  <c r="A11" i="5"/>
  <c r="A10" i="5"/>
  <c r="A3" i="5"/>
  <c r="A2" i="5"/>
  <c r="A2" i="6" s="1"/>
  <c r="D230" i="9"/>
  <c r="G228" i="9"/>
  <c r="H12" i="11" s="1"/>
  <c r="F62" i="4"/>
  <c r="D228" i="9" s="1"/>
  <c r="J55" i="4"/>
  <c r="J57" i="4"/>
  <c r="A45" i="4"/>
  <c r="A49" i="4" s="1"/>
  <c r="A51" i="4" s="1"/>
  <c r="A54" i="4" s="1"/>
  <c r="A55" i="4" s="1"/>
  <c r="A56" i="4" s="1"/>
  <c r="A57" i="4" s="1"/>
  <c r="A62" i="4" s="1"/>
  <c r="A63" i="4" s="1"/>
  <c r="A64" i="4" s="1"/>
  <c r="A65" i="4" s="1"/>
  <c r="N41" i="4"/>
  <c r="D143" i="9" s="1"/>
  <c r="M41" i="4"/>
  <c r="D166" i="9" s="1"/>
  <c r="E26" i="11" s="1"/>
  <c r="L41" i="4"/>
  <c r="D165" i="9" s="1"/>
  <c r="E25" i="11" s="1"/>
  <c r="K41" i="4"/>
  <c r="D164" i="9" s="1"/>
  <c r="E24" i="11" s="1"/>
  <c r="J41" i="4"/>
  <c r="D155" i="9" s="1"/>
  <c r="I41" i="4"/>
  <c r="H41" i="4"/>
  <c r="F41" i="4"/>
  <c r="D150" i="9" s="1"/>
  <c r="E41" i="4"/>
  <c r="D41" i="4"/>
  <c r="D144" i="9" s="1"/>
  <c r="I144" i="9" s="1"/>
  <c r="C41" i="4"/>
  <c r="D142" i="9" s="1"/>
  <c r="F28" i="4"/>
  <c r="G28" i="4" s="1"/>
  <c r="H28" i="4" s="1"/>
  <c r="I28" i="4" s="1"/>
  <c r="L22" i="4"/>
  <c r="D136" i="9" s="1"/>
  <c r="K22" i="4"/>
  <c r="D135" i="9" s="1"/>
  <c r="J22" i="4"/>
  <c r="D133" i="9" s="1"/>
  <c r="I133" i="9" s="1"/>
  <c r="I22" i="4"/>
  <c r="D129" i="9" s="1"/>
  <c r="H22" i="4"/>
  <c r="D128" i="9" s="1"/>
  <c r="G22" i="4"/>
  <c r="D127" i="9" s="1"/>
  <c r="E22" i="4"/>
  <c r="D125" i="9" s="1"/>
  <c r="D22" i="4"/>
  <c r="D124" i="9" s="1"/>
  <c r="N22" i="4"/>
  <c r="F22" i="4"/>
  <c r="M22" i="4"/>
  <c r="D141" i="9" s="1"/>
  <c r="D145" i="9" s="1"/>
  <c r="C22" i="4"/>
  <c r="L9" i="4"/>
  <c r="A3" i="4"/>
  <c r="D59" i="3"/>
  <c r="I58" i="3"/>
  <c r="I57" i="3"/>
  <c r="I56" i="3"/>
  <c r="I55" i="3"/>
  <c r="I54" i="3"/>
  <c r="I53" i="3"/>
  <c r="I59" i="3" s="1"/>
  <c r="A52" i="3"/>
  <c r="I42" i="3"/>
  <c r="D95" i="9" s="1"/>
  <c r="C42" i="3"/>
  <c r="D96" i="9" s="1"/>
  <c r="I96" i="9" s="1"/>
  <c r="D30" i="3"/>
  <c r="P23" i="3"/>
  <c r="D77" i="9" s="1"/>
  <c r="O23" i="3"/>
  <c r="D76" i="9" s="1"/>
  <c r="N23" i="3"/>
  <c r="D75" i="9" s="1"/>
  <c r="I75" i="9" s="1"/>
  <c r="L23" i="3"/>
  <c r="D73" i="9" s="1"/>
  <c r="I73" i="9" s="1"/>
  <c r="J23" i="3"/>
  <c r="D105" i="9" s="1"/>
  <c r="I23" i="3"/>
  <c r="D101" i="9" s="1"/>
  <c r="H23" i="3"/>
  <c r="D88" i="9" s="1"/>
  <c r="I88" i="9" s="1"/>
  <c r="G23" i="3"/>
  <c r="D69" i="9" s="1"/>
  <c r="D85" i="9" s="1"/>
  <c r="F23" i="3"/>
  <c r="E23" i="3"/>
  <c r="D67" i="9" s="1"/>
  <c r="C23" i="3"/>
  <c r="D65" i="9" s="1"/>
  <c r="M23" i="3"/>
  <c r="D74" i="9" s="1"/>
  <c r="D23" i="3"/>
  <c r="D66" i="9" s="1"/>
  <c r="K23" i="3"/>
  <c r="D106" i="9" s="1"/>
  <c r="D220" i="9"/>
  <c r="D223" i="9" s="1"/>
  <c r="G221" i="9" s="1"/>
  <c r="G3" i="3"/>
  <c r="G48" i="3" s="1"/>
  <c r="V96" i="2"/>
  <c r="W95" i="2"/>
  <c r="R94" i="2"/>
  <c r="M94" i="2"/>
  <c r="N94" i="2" s="1"/>
  <c r="R93" i="2"/>
  <c r="M93" i="2"/>
  <c r="N93" i="2" s="1"/>
  <c r="R92" i="2"/>
  <c r="M92" i="2"/>
  <c r="N92" i="2" s="1"/>
  <c r="R91" i="2"/>
  <c r="M91" i="2"/>
  <c r="N91" i="2" s="1"/>
  <c r="R90" i="2"/>
  <c r="M90" i="2"/>
  <c r="N90" i="2" s="1"/>
  <c r="R89" i="2"/>
  <c r="M89" i="2"/>
  <c r="N89" i="2" s="1"/>
  <c r="R88" i="2"/>
  <c r="M88" i="2"/>
  <c r="N88" i="2" s="1"/>
  <c r="R87" i="2"/>
  <c r="M87" i="2"/>
  <c r="N87" i="2" s="1"/>
  <c r="R86" i="2"/>
  <c r="M86" i="2"/>
  <c r="N86" i="2" s="1"/>
  <c r="R85" i="2"/>
  <c r="M85" i="2"/>
  <c r="N85" i="2" s="1"/>
  <c r="R84" i="2"/>
  <c r="M84" i="2"/>
  <c r="N84" i="2" s="1"/>
  <c r="R83" i="2"/>
  <c r="M83" i="2"/>
  <c r="N83" i="2" s="1"/>
  <c r="R82" i="2"/>
  <c r="M82" i="2"/>
  <c r="N82" i="2" s="1"/>
  <c r="R81" i="2"/>
  <c r="M81" i="2"/>
  <c r="N81" i="2" s="1"/>
  <c r="R80" i="2"/>
  <c r="M80" i="2"/>
  <c r="N80" i="2" s="1"/>
  <c r="L79" i="2"/>
  <c r="R78" i="2"/>
  <c r="M78" i="2"/>
  <c r="N78" i="2" s="1"/>
  <c r="L78" i="2"/>
  <c r="L77" i="2"/>
  <c r="M77" i="2" s="1"/>
  <c r="N77" i="2" s="1"/>
  <c r="F65" i="2"/>
  <c r="Q65" i="2" s="1"/>
  <c r="F64" i="2"/>
  <c r="Q64" i="2" s="1"/>
  <c r="F63" i="2"/>
  <c r="Q63" i="2" s="1"/>
  <c r="E6" i="2"/>
  <c r="D259" i="1"/>
  <c r="K257" i="1"/>
  <c r="I249" i="1"/>
  <c r="I238" i="1"/>
  <c r="A238" i="1"/>
  <c r="A240" i="1" s="1"/>
  <c r="A237" i="1"/>
  <c r="D231" i="1"/>
  <c r="I64" i="4"/>
  <c r="G230" i="9" s="1"/>
  <c r="H14" i="11" s="1"/>
  <c r="D230" i="1"/>
  <c r="A230" i="1"/>
  <c r="A231" i="1" s="1"/>
  <c r="G229" i="1"/>
  <c r="D229" i="1"/>
  <c r="A229" i="1"/>
  <c r="D228" i="1"/>
  <c r="D223" i="1"/>
  <c r="G221" i="1" s="1"/>
  <c r="D217" i="1"/>
  <c r="G216" i="1"/>
  <c r="A216" i="1"/>
  <c r="A217" i="1" s="1"/>
  <c r="A220" i="1" s="1"/>
  <c r="A221" i="1" s="1"/>
  <c r="A222" i="1" s="1"/>
  <c r="A223" i="1" s="1"/>
  <c r="G215" i="1"/>
  <c r="A214" i="1"/>
  <c r="A215" i="1" s="1"/>
  <c r="G213" i="1"/>
  <c r="A207" i="1"/>
  <c r="A209" i="1" s="1"/>
  <c r="A206" i="1"/>
  <c r="A205" i="1"/>
  <c r="D195" i="1"/>
  <c r="K193" i="1"/>
  <c r="I186" i="1"/>
  <c r="D186" i="1"/>
  <c r="I184" i="1"/>
  <c r="I180" i="1"/>
  <c r="A176" i="1"/>
  <c r="D166" i="1"/>
  <c r="D165" i="1"/>
  <c r="D164" i="1"/>
  <c r="B163" i="1"/>
  <c r="A163" i="1"/>
  <c r="A164" i="1" s="1"/>
  <c r="A160" i="1"/>
  <c r="C158" i="1"/>
  <c r="D155" i="1"/>
  <c r="D153" i="1"/>
  <c r="A153" i="1"/>
  <c r="A154" i="1" s="1"/>
  <c r="A155" i="1" s="1"/>
  <c r="A156" i="1" s="1"/>
  <c r="D150" i="1"/>
  <c r="A150" i="1"/>
  <c r="A151" i="1" s="1"/>
  <c r="A152" i="1" s="1"/>
  <c r="D149" i="1"/>
  <c r="A149" i="1"/>
  <c r="D144" i="1"/>
  <c r="I144" i="1" s="1"/>
  <c r="D143" i="1"/>
  <c r="A143" i="1"/>
  <c r="D142" i="1"/>
  <c r="A142" i="1"/>
  <c r="D136" i="1"/>
  <c r="D135" i="1"/>
  <c r="D137" i="1" s="1"/>
  <c r="A133" i="1"/>
  <c r="F131" i="1"/>
  <c r="D131" i="1"/>
  <c r="F130" i="1"/>
  <c r="D130" i="1"/>
  <c r="D128" i="1"/>
  <c r="D127" i="1"/>
  <c r="A127" i="1"/>
  <c r="A128" i="1" s="1"/>
  <c r="A126" i="1"/>
  <c r="D125" i="1"/>
  <c r="F123" i="1"/>
  <c r="D114" i="1"/>
  <c r="K112" i="1"/>
  <c r="D106" i="1"/>
  <c r="D105" i="1"/>
  <c r="A101" i="1"/>
  <c r="A104" i="1" s="1"/>
  <c r="A105" i="1" s="1"/>
  <c r="A106" i="1" s="1"/>
  <c r="A107" i="1" s="1"/>
  <c r="A109" i="1" s="1"/>
  <c r="I96" i="1"/>
  <c r="D96" i="1"/>
  <c r="D95" i="1"/>
  <c r="D93" i="1"/>
  <c r="D92" i="1"/>
  <c r="D91" i="1"/>
  <c r="D88" i="1"/>
  <c r="I88" i="1" s="1"/>
  <c r="D77" i="1"/>
  <c r="D76" i="1"/>
  <c r="I75" i="1"/>
  <c r="G75" i="1"/>
  <c r="D75" i="1"/>
  <c r="D74" i="1"/>
  <c r="G73" i="1"/>
  <c r="D73" i="1"/>
  <c r="I73" i="1" s="1"/>
  <c r="D69" i="1"/>
  <c r="D85" i="1" s="1"/>
  <c r="D68" i="1"/>
  <c r="D84" i="1" s="1"/>
  <c r="I67" i="1"/>
  <c r="I83" i="1" s="1"/>
  <c r="D67" i="1"/>
  <c r="D83" i="1" s="1"/>
  <c r="A66" i="1"/>
  <c r="A67" i="1" s="1"/>
  <c r="I65" i="1"/>
  <c r="D65" i="1"/>
  <c r="D58" i="1"/>
  <c r="D116" i="1" s="1"/>
  <c r="D197" i="1" s="1"/>
  <c r="D261" i="1" s="1"/>
  <c r="D56" i="1"/>
  <c r="K53" i="1"/>
  <c r="I51" i="1"/>
  <c r="I50" i="1"/>
  <c r="D40" i="1"/>
  <c r="D45" i="1" s="1"/>
  <c r="I38" i="1"/>
  <c r="I18" i="1"/>
  <c r="I17" i="1"/>
  <c r="A17" i="1"/>
  <c r="A18" i="1" s="1"/>
  <c r="A19" i="1" s="1"/>
  <c r="D16" i="1"/>
  <c r="I16" i="1" s="1"/>
  <c r="C16" i="1"/>
  <c r="A16" i="1"/>
  <c r="D15" i="1"/>
  <c r="I15" i="1" s="1"/>
  <c r="C15" i="1"/>
  <c r="D14" i="1"/>
  <c r="I14" i="1" s="1"/>
  <c r="C14" i="1"/>
  <c r="A14" i="1"/>
  <c r="K114" i="1"/>
  <c r="D101" i="1" l="1"/>
  <c r="I135" i="1"/>
  <c r="D129" i="1"/>
  <c r="D124" i="1"/>
  <c r="D133" i="1"/>
  <c r="I133" i="1" s="1"/>
  <c r="D78" i="1"/>
  <c r="F35" i="5"/>
  <c r="E11" i="16"/>
  <c r="E34" i="17"/>
  <c r="G47" i="18"/>
  <c r="G51" i="18"/>
  <c r="G43" i="18"/>
  <c r="G44" i="18"/>
  <c r="G26" i="18"/>
  <c r="G35" i="18"/>
  <c r="G15" i="18"/>
  <c r="N46" i="7"/>
  <c r="N50" i="7"/>
  <c r="H52" i="7"/>
  <c r="N48" i="7"/>
  <c r="N51" i="7"/>
  <c r="J17" i="7"/>
  <c r="I52" i="7"/>
  <c r="H23" i="8"/>
  <c r="D25" i="1" s="1"/>
  <c r="I25" i="1" s="1"/>
  <c r="D46" i="1"/>
  <c r="D123" i="9"/>
  <c r="D123" i="1"/>
  <c r="I19" i="1"/>
  <c r="A68" i="1"/>
  <c r="I45" i="1"/>
  <c r="I81" i="1"/>
  <c r="J28" i="2"/>
  <c r="L47" i="6"/>
  <c r="J47" i="6"/>
  <c r="H47" i="6"/>
  <c r="K20" i="19"/>
  <c r="J20" i="19"/>
  <c r="I20" i="19"/>
  <c r="G20" i="19"/>
  <c r="H20" i="19"/>
  <c r="F20" i="19"/>
  <c r="M79" i="2"/>
  <c r="N79" i="2" s="1"/>
  <c r="R79" i="2"/>
  <c r="D82" i="9"/>
  <c r="I204" i="9"/>
  <c r="I207" i="9" s="1"/>
  <c r="I209" i="9" s="1"/>
  <c r="D70" i="9"/>
  <c r="I65" i="9"/>
  <c r="G58" i="7"/>
  <c r="J58" i="7" s="1"/>
  <c r="K58" i="7" s="1"/>
  <c r="G24" i="7" s="1"/>
  <c r="G17" i="7"/>
  <c r="G13" i="7"/>
  <c r="G14" i="7" s="1"/>
  <c r="G21" i="7"/>
  <c r="D84" i="9"/>
  <c r="I47" i="1"/>
  <c r="D83" i="9"/>
  <c r="I67" i="9"/>
  <c r="I83" i="9" s="1"/>
  <c r="E29" i="5"/>
  <c r="H20" i="6"/>
  <c r="J20" i="6"/>
  <c r="I21" i="7"/>
  <c r="P37" i="18"/>
  <c r="Y37" i="18"/>
  <c r="U37" i="18"/>
  <c r="G37" i="18"/>
  <c r="J52" i="7"/>
  <c r="N45" i="7"/>
  <c r="D47" i="1"/>
  <c r="K56" i="1"/>
  <c r="F124" i="1"/>
  <c r="F125" i="1"/>
  <c r="D122" i="9"/>
  <c r="D122" i="1"/>
  <c r="D81" i="1"/>
  <c r="G41" i="4"/>
  <c r="K259" i="1"/>
  <c r="K195" i="1"/>
  <c r="I46" i="1"/>
  <c r="D66" i="1"/>
  <c r="D98" i="9"/>
  <c r="I98" i="9" s="1"/>
  <c r="D98" i="1"/>
  <c r="I98" i="1" s="1"/>
  <c r="L21" i="7"/>
  <c r="L22" i="7" s="1"/>
  <c r="L17" i="7"/>
  <c r="L18" i="7" s="1"/>
  <c r="L28" i="7" s="1"/>
  <c r="G63" i="7"/>
  <c r="J63" i="7" s="1"/>
  <c r="K63" i="7" s="1"/>
  <c r="L24" i="7" s="1"/>
  <c r="L13" i="7"/>
  <c r="L14" i="7" s="1"/>
  <c r="D154" i="9"/>
  <c r="D154" i="1"/>
  <c r="D81" i="9"/>
  <c r="D41" i="1"/>
  <c r="D141" i="1"/>
  <c r="D145" i="1" s="1"/>
  <c r="D126" i="9"/>
  <c r="D126" i="1"/>
  <c r="L22" i="6"/>
  <c r="H24" i="5" s="1"/>
  <c r="H25" i="5" s="1"/>
  <c r="G9" i="5" s="1"/>
  <c r="I38" i="6"/>
  <c r="J25" i="6"/>
  <c r="D137" i="9"/>
  <c r="I135" i="9"/>
  <c r="G62" i="7"/>
  <c r="J62" i="7" s="1"/>
  <c r="K62" i="7" s="1"/>
  <c r="K24" i="7" s="1"/>
  <c r="K21" i="7"/>
  <c r="K17" i="7"/>
  <c r="K13" i="7"/>
  <c r="K14" i="7" s="1"/>
  <c r="H30" i="6"/>
  <c r="E6" i="15"/>
  <c r="H9" i="18"/>
  <c r="H10" i="18" s="1"/>
  <c r="F22" i="17"/>
  <c r="AD16" i="18"/>
  <c r="AE16" i="18"/>
  <c r="L21" i="6"/>
  <c r="J21" i="6"/>
  <c r="H21" i="6"/>
  <c r="L26" i="6"/>
  <c r="L38" i="6" s="1"/>
  <c r="H30" i="5" s="1"/>
  <c r="H31" i="5" s="1"/>
  <c r="G10" i="5" s="1"/>
  <c r="J26" i="6"/>
  <c r="H26" i="6"/>
  <c r="AE12" i="18"/>
  <c r="AD12" i="18"/>
  <c r="G228" i="1"/>
  <c r="V15" i="18"/>
  <c r="U15" i="18"/>
  <c r="L11" i="6"/>
  <c r="H11" i="6"/>
  <c r="I22" i="6"/>
  <c r="L43" i="6"/>
  <c r="J43" i="6"/>
  <c r="H43" i="6"/>
  <c r="I19" i="9"/>
  <c r="U30" i="18"/>
  <c r="V30" i="18"/>
  <c r="F65" i="4"/>
  <c r="E35" i="5"/>
  <c r="H9" i="6"/>
  <c r="J11" i="6"/>
  <c r="J22" i="6" s="1"/>
  <c r="G24" i="5" s="1"/>
  <c r="G25" i="5" s="1"/>
  <c r="F9" i="5" s="1"/>
  <c r="H18" i="6"/>
  <c r="I47" i="9"/>
  <c r="D47" i="9"/>
  <c r="I46" i="9"/>
  <c r="D46" i="9"/>
  <c r="I45" i="9"/>
  <c r="D45" i="9"/>
  <c r="A70" i="9"/>
  <c r="A73" i="9" s="1"/>
  <c r="AD30" i="18"/>
  <c r="AE30" i="18"/>
  <c r="L12" i="6"/>
  <c r="J12" i="6"/>
  <c r="H12" i="6"/>
  <c r="F52" i="7"/>
  <c r="G22" i="6"/>
  <c r="L28" i="6"/>
  <c r="H28" i="6"/>
  <c r="H35" i="6"/>
  <c r="N47" i="7"/>
  <c r="G61" i="7"/>
  <c r="J61" i="7" s="1"/>
  <c r="K61" i="7" s="1"/>
  <c r="J24" i="7" s="1"/>
  <c r="J21" i="7"/>
  <c r="AE14" i="18"/>
  <c r="AD14" i="18"/>
  <c r="H26" i="18"/>
  <c r="AE27" i="18"/>
  <c r="AC38" i="18"/>
  <c r="AD27" i="18"/>
  <c r="AD38" i="18" s="1"/>
  <c r="L35" i="6"/>
  <c r="L41" i="6"/>
  <c r="J41" i="6"/>
  <c r="H41" i="6"/>
  <c r="K16" i="7"/>
  <c r="K18" i="7" s="1"/>
  <c r="J16" i="7"/>
  <c r="J18" i="7" s="1"/>
  <c r="I16" i="7"/>
  <c r="H16" i="7"/>
  <c r="G16" i="7"/>
  <c r="G18" i="7" s="1"/>
  <c r="F16" i="7"/>
  <c r="J38" i="18"/>
  <c r="D31" i="3"/>
  <c r="D32" i="3" s="1"/>
  <c r="D33" i="3" s="1"/>
  <c r="D34" i="3" s="1"/>
  <c r="D35" i="3" s="1"/>
  <c r="D36" i="3" s="1"/>
  <c r="D37" i="3" s="1"/>
  <c r="D38" i="3" s="1"/>
  <c r="D39" i="3" s="1"/>
  <c r="D40" i="3" s="1"/>
  <c r="D41" i="3" s="1"/>
  <c r="H13" i="6"/>
  <c r="L45" i="6"/>
  <c r="H45" i="6"/>
  <c r="H52" i="6"/>
  <c r="L91" i="7"/>
  <c r="B23" i="11"/>
  <c r="A20" i="11"/>
  <c r="A21" i="11" s="1"/>
  <c r="A22" i="11" s="1"/>
  <c r="A23" i="11" s="1"/>
  <c r="A24" i="11" s="1"/>
  <c r="A25" i="11" s="1"/>
  <c r="A26" i="11" s="1"/>
  <c r="A27" i="11" s="1"/>
  <c r="A28" i="11" s="1"/>
  <c r="A29" i="11" s="1"/>
  <c r="A30" i="11" s="1"/>
  <c r="A31" i="11" s="1"/>
  <c r="A33" i="11" s="1"/>
  <c r="A35" i="11" s="1"/>
  <c r="A36" i="11" s="1"/>
  <c r="A37" i="11" s="1"/>
  <c r="A38" i="11" s="1"/>
  <c r="A39" i="11" s="1"/>
  <c r="A40" i="11" s="1"/>
  <c r="D78" i="9"/>
  <c r="F23" i="12"/>
  <c r="F28" i="17"/>
  <c r="E7" i="15"/>
  <c r="G38" i="6"/>
  <c r="V16" i="18"/>
  <c r="U16" i="18"/>
  <c r="U34" i="18"/>
  <c r="V34" i="18"/>
  <c r="G28" i="17"/>
  <c r="F7" i="15"/>
  <c r="F34" i="17"/>
  <c r="U14" i="18"/>
  <c r="V14" i="18"/>
  <c r="AE19" i="18"/>
  <c r="AD19" i="18"/>
  <c r="AD34" i="18"/>
  <c r="AE34" i="18"/>
  <c r="M79" i="10"/>
  <c r="N79" i="10" s="1"/>
  <c r="W10" i="18"/>
  <c r="W11" i="18" s="1"/>
  <c r="P11" i="18"/>
  <c r="P22" i="18" s="1"/>
  <c r="Y11" i="18"/>
  <c r="G11" i="18"/>
  <c r="V29" i="18"/>
  <c r="U29" i="18"/>
  <c r="V50" i="18"/>
  <c r="U50" i="18"/>
  <c r="G61" i="19"/>
  <c r="J61" i="19" s="1"/>
  <c r="K61" i="19" s="1"/>
  <c r="J24" i="19" s="1"/>
  <c r="J21" i="19"/>
  <c r="J17" i="19"/>
  <c r="J13" i="19"/>
  <c r="J14" i="19" s="1"/>
  <c r="J50" i="6"/>
  <c r="A14" i="7"/>
  <c r="A16" i="7" s="1"/>
  <c r="R79" i="10"/>
  <c r="F29" i="17"/>
  <c r="E10" i="16"/>
  <c r="AE18" i="18"/>
  <c r="AD18" i="18"/>
  <c r="V31" i="18"/>
  <c r="U31" i="18"/>
  <c r="AE37" i="18"/>
  <c r="AD37" i="18"/>
  <c r="F6" i="15"/>
  <c r="Q9" i="18"/>
  <c r="Q10" i="18" s="1"/>
  <c r="G22" i="17"/>
  <c r="G23" i="17"/>
  <c r="F9" i="16"/>
  <c r="F12" i="16" s="1"/>
  <c r="S12" i="18"/>
  <c r="T12" i="18" s="1"/>
  <c r="P12" i="18"/>
  <c r="V46" i="18"/>
  <c r="U46" i="18"/>
  <c r="AE47" i="18"/>
  <c r="AD47" i="18"/>
  <c r="F8" i="15"/>
  <c r="G34" i="17"/>
  <c r="Z9" i="18"/>
  <c r="H22" i="17"/>
  <c r="H29" i="17"/>
  <c r="G10" i="16"/>
  <c r="G12" i="16" s="1"/>
  <c r="Y45" i="18"/>
  <c r="G45" i="18"/>
  <c r="V45" i="18"/>
  <c r="P45" i="18"/>
  <c r="AD46" i="18"/>
  <c r="AE46" i="18"/>
  <c r="H29" i="6"/>
  <c r="H46" i="6"/>
  <c r="R78" i="10"/>
  <c r="G8" i="15"/>
  <c r="H34" i="17"/>
  <c r="AB42" i="18"/>
  <c r="X54" i="18"/>
  <c r="H17" i="6"/>
  <c r="J29" i="6"/>
  <c r="H34" i="6"/>
  <c r="J46" i="6"/>
  <c r="M78" i="10"/>
  <c r="N78" i="10" s="1"/>
  <c r="V11" i="18"/>
  <c r="U11" i="18"/>
  <c r="V35" i="18"/>
  <c r="U35" i="18"/>
  <c r="AD11" i="18"/>
  <c r="V52" i="18"/>
  <c r="U52" i="18"/>
  <c r="G60" i="19"/>
  <c r="J60" i="19" s="1"/>
  <c r="K60" i="19" s="1"/>
  <c r="I24" i="19" s="1"/>
  <c r="I21" i="19"/>
  <c r="I17" i="19"/>
  <c r="I13" i="19"/>
  <c r="I14" i="19" s="1"/>
  <c r="G11" i="16"/>
  <c r="J22" i="18"/>
  <c r="F38" i="18"/>
  <c r="E31" i="17" s="1"/>
  <c r="P46" i="18"/>
  <c r="Y46" i="18"/>
  <c r="G46" i="18"/>
  <c r="F52" i="19"/>
  <c r="G59" i="19"/>
  <c r="J59" i="19" s="1"/>
  <c r="K59" i="19" s="1"/>
  <c r="H24" i="19" s="1"/>
  <c r="H21" i="19"/>
  <c r="H17" i="19"/>
  <c r="H13" i="19"/>
  <c r="H14" i="19" s="1"/>
  <c r="Y14" i="18"/>
  <c r="G14" i="18"/>
  <c r="P14" i="18"/>
  <c r="Y15" i="18"/>
  <c r="V21" i="18"/>
  <c r="U21" i="18"/>
  <c r="G27" i="18"/>
  <c r="P33" i="18"/>
  <c r="Y33" i="18"/>
  <c r="AE33" i="18"/>
  <c r="AD33" i="18"/>
  <c r="U49" i="18"/>
  <c r="V53" i="18"/>
  <c r="K16" i="19"/>
  <c r="K18" i="19" s="1"/>
  <c r="J16" i="19"/>
  <c r="J18" i="19" s="1"/>
  <c r="H16" i="19"/>
  <c r="H18" i="19" s="1"/>
  <c r="F16" i="19"/>
  <c r="G7" i="15"/>
  <c r="G9" i="15" s="1"/>
  <c r="E9" i="16"/>
  <c r="Y10" i="18"/>
  <c r="AD15" i="18"/>
  <c r="G19" i="18"/>
  <c r="Y28" i="18"/>
  <c r="G48" i="18"/>
  <c r="V49" i="18"/>
  <c r="V17" i="18"/>
  <c r="U17" i="18"/>
  <c r="S26" i="18"/>
  <c r="O38" i="18"/>
  <c r="AD50" i="18"/>
  <c r="AE50" i="18"/>
  <c r="AE51" i="18"/>
  <c r="AD51" i="18"/>
  <c r="AB22" i="18"/>
  <c r="U13" i="18"/>
  <c r="AE20" i="18"/>
  <c r="P29" i="18"/>
  <c r="Y29" i="18"/>
  <c r="AE29" i="18"/>
  <c r="AD29" i="18"/>
  <c r="G34" i="18"/>
  <c r="AD35" i="18"/>
  <c r="P42" i="18"/>
  <c r="Y42" i="18"/>
  <c r="G42" i="18"/>
  <c r="AD43" i="18"/>
  <c r="AE48" i="18"/>
  <c r="AE49" i="18"/>
  <c r="AD53" i="18"/>
  <c r="A21" i="19"/>
  <c r="A22" i="19" s="1"/>
  <c r="A24" i="19" s="1"/>
  <c r="J52" i="19"/>
  <c r="K17" i="19"/>
  <c r="G62" i="19"/>
  <c r="J62" i="19" s="1"/>
  <c r="K62" i="19" s="1"/>
  <c r="K24" i="19" s="1"/>
  <c r="K13" i="19"/>
  <c r="K14" i="19" s="1"/>
  <c r="O22" i="18"/>
  <c r="AC10" i="18"/>
  <c r="V13" i="18"/>
  <c r="P16" i="18"/>
  <c r="AD21" i="18"/>
  <c r="V37" i="18"/>
  <c r="F54" i="18"/>
  <c r="E37" i="17" s="1"/>
  <c r="U45" i="18"/>
  <c r="AD49" i="18"/>
  <c r="G52" i="18"/>
  <c r="K21" i="19"/>
  <c r="N45" i="19"/>
  <c r="G21" i="18"/>
  <c r="P21" i="18"/>
  <c r="AE21" i="18"/>
  <c r="Y49" i="18"/>
  <c r="G49" i="18"/>
  <c r="H16" i="12"/>
  <c r="H23" i="12" s="1"/>
  <c r="D25" i="9" s="1"/>
  <c r="I25" i="9" s="1"/>
  <c r="G13" i="18"/>
  <c r="AD17" i="18"/>
  <c r="U27" i="18"/>
  <c r="G30" i="18"/>
  <c r="AD31" i="18"/>
  <c r="Y36" i="18"/>
  <c r="X38" i="18"/>
  <c r="U47" i="18"/>
  <c r="P50" i="18"/>
  <c r="Y50" i="18"/>
  <c r="G50" i="18"/>
  <c r="N46" i="19"/>
  <c r="G17" i="18"/>
  <c r="P17" i="18"/>
  <c r="AE17" i="18"/>
  <c r="AD36" i="18"/>
  <c r="O54" i="18"/>
  <c r="G63" i="19"/>
  <c r="J63" i="19" s="1"/>
  <c r="K63" i="19" s="1"/>
  <c r="L24" i="19" s="1"/>
  <c r="L21" i="19"/>
  <c r="L22" i="19" s="1"/>
  <c r="L13" i="19"/>
  <c r="L14" i="19" s="1"/>
  <c r="L28" i="19" s="1"/>
  <c r="F22" i="18"/>
  <c r="E25" i="17" s="1"/>
  <c r="AD13" i="18"/>
  <c r="U19" i="18"/>
  <c r="AE26" i="18"/>
  <c r="AE38" i="18" s="1"/>
  <c r="G31" i="18"/>
  <c r="U33" i="18"/>
  <c r="S42" i="18"/>
  <c r="AE45" i="18"/>
  <c r="S51" i="18"/>
  <c r="T51" i="18" s="1"/>
  <c r="P51" i="18"/>
  <c r="I16" i="19"/>
  <c r="I18" i="19" s="1"/>
  <c r="G53" i="18"/>
  <c r="P18" i="18"/>
  <c r="Y26" i="18"/>
  <c r="Y30" i="18"/>
  <c r="Y34" i="18"/>
  <c r="Y16" i="18"/>
  <c r="Y20" i="18"/>
  <c r="G28" i="18"/>
  <c r="G32" i="18"/>
  <c r="G36" i="18"/>
  <c r="P44" i="18"/>
  <c r="P48" i="18"/>
  <c r="P52" i="18"/>
  <c r="G18" i="18"/>
  <c r="P26" i="18"/>
  <c r="P30" i="18"/>
  <c r="P34" i="18"/>
  <c r="H27" i="18" l="1"/>
  <c r="H28" i="18" s="1"/>
  <c r="H29" i="18" s="1"/>
  <c r="H30" i="18" s="1"/>
  <c r="H31" i="18" s="1"/>
  <c r="H32" i="18" s="1"/>
  <c r="H33" i="18" s="1"/>
  <c r="H34" i="18" s="1"/>
  <c r="H35" i="18" s="1"/>
  <c r="H36" i="18" s="1"/>
  <c r="H37" i="18" s="1"/>
  <c r="H11" i="18"/>
  <c r="H12" i="18" s="1"/>
  <c r="I13" i="7"/>
  <c r="I14" i="7" s="1"/>
  <c r="G60" i="7"/>
  <c r="J60" i="7" s="1"/>
  <c r="K60" i="7" s="1"/>
  <c r="I24" i="7" s="1"/>
  <c r="I17" i="7"/>
  <c r="I18" i="7" s="1"/>
  <c r="D138" i="1"/>
  <c r="D104" i="1" s="1"/>
  <c r="D107" i="1" s="1"/>
  <c r="P38" i="18"/>
  <c r="Q26" i="18"/>
  <c r="Q27" i="18" s="1"/>
  <c r="Q28" i="18" s="1"/>
  <c r="Y38" i="18"/>
  <c r="AF26" i="18"/>
  <c r="AF27" i="18" s="1"/>
  <c r="AF28" i="18" s="1"/>
  <c r="AF29" i="18" s="1"/>
  <c r="AF30" i="18" s="1"/>
  <c r="AF31" i="18" s="1"/>
  <c r="AF32" i="18" s="1"/>
  <c r="AF33" i="18" s="1"/>
  <c r="AF34" i="18" s="1"/>
  <c r="AF35" i="18" s="1"/>
  <c r="AF36" i="18" s="1"/>
  <c r="AF37" i="18" s="1"/>
  <c r="H30" i="17" s="1"/>
  <c r="Z26" i="18"/>
  <c r="Z27" i="18" s="1"/>
  <c r="Z28" i="18" s="1"/>
  <c r="Z29" i="18" s="1"/>
  <c r="Z30" i="18" s="1"/>
  <c r="Z31" i="18" s="1"/>
  <c r="Z32" i="18" s="1"/>
  <c r="Z33" i="18" s="1"/>
  <c r="Z34" i="18" s="1"/>
  <c r="Z35" i="18" s="1"/>
  <c r="Z36" i="18" s="1"/>
  <c r="Z37" i="18" s="1"/>
  <c r="F13" i="19"/>
  <c r="F14" i="19" s="1"/>
  <c r="G57" i="19"/>
  <c r="F17" i="19"/>
  <c r="F18" i="19" s="1"/>
  <c r="F21" i="19"/>
  <c r="N52" i="19"/>
  <c r="F9" i="15"/>
  <c r="J20" i="7"/>
  <c r="J22" i="7" s="1"/>
  <c r="J28" i="7" s="1"/>
  <c r="I20" i="7"/>
  <c r="I22" i="7" s="1"/>
  <c r="H20" i="7"/>
  <c r="G20" i="7"/>
  <c r="G22" i="7" s="1"/>
  <c r="G28" i="7" s="1"/>
  <c r="F20" i="7"/>
  <c r="K20" i="7"/>
  <c r="K22" i="7" s="1"/>
  <c r="K28" i="7" s="1"/>
  <c r="G38" i="18"/>
  <c r="G66" i="9"/>
  <c r="G122" i="9"/>
  <c r="E214" i="9"/>
  <c r="G214" i="9" s="1"/>
  <c r="G217" i="9" s="1"/>
  <c r="I217" i="9" s="1"/>
  <c r="F13" i="7"/>
  <c r="F14" i="7" s="1"/>
  <c r="N52" i="7"/>
  <c r="F17" i="7"/>
  <c r="F21" i="7"/>
  <c r="G57" i="7"/>
  <c r="G63" i="4"/>
  <c r="G64" i="4"/>
  <c r="Q29" i="18"/>
  <c r="V12" i="18"/>
  <c r="V22" i="18" s="1"/>
  <c r="U12" i="18"/>
  <c r="U22" i="18" s="1"/>
  <c r="H54" i="6"/>
  <c r="F36" i="5" s="1"/>
  <c r="G62" i="4"/>
  <c r="A69" i="1"/>
  <c r="S38" i="18"/>
  <c r="T26" i="18"/>
  <c r="T22" i="18"/>
  <c r="H31" i="17"/>
  <c r="G10" i="17" s="1"/>
  <c r="J54" i="6"/>
  <c r="G36" i="5" s="1"/>
  <c r="G37" i="5" s="1"/>
  <c r="F11" i="5" s="1"/>
  <c r="F12" i="5" s="1"/>
  <c r="D82" i="1"/>
  <c r="D86" i="1" s="1"/>
  <c r="I204" i="1"/>
  <c r="I207" i="1" s="1"/>
  <c r="A74" i="9"/>
  <c r="C81" i="9"/>
  <c r="AE10" i="18"/>
  <c r="AE22" i="18" s="1"/>
  <c r="AD10" i="18"/>
  <c r="AD22" i="18" s="1"/>
  <c r="AC22" i="18"/>
  <c r="Y22" i="18"/>
  <c r="AF10" i="18"/>
  <c r="AF11" i="18" s="1"/>
  <c r="AF12" i="18" s="1"/>
  <c r="AF13" i="18" s="1"/>
  <c r="AF14" i="18" s="1"/>
  <c r="AF15" i="18" s="1"/>
  <c r="AF16" i="18" s="1"/>
  <c r="AF17" i="18" s="1"/>
  <c r="AF18" i="18" s="1"/>
  <c r="AF19" i="18" s="1"/>
  <c r="AF20" i="18" s="1"/>
  <c r="AF21" i="18" s="1"/>
  <c r="H24" i="17" s="1"/>
  <c r="H25" i="17" s="1"/>
  <c r="G9" i="17" s="1"/>
  <c r="Z10" i="18"/>
  <c r="L54" i="6"/>
  <c r="H36" i="5" s="1"/>
  <c r="H37" i="5" s="1"/>
  <c r="G11" i="5" s="1"/>
  <c r="G12" i="5" s="1"/>
  <c r="V51" i="18"/>
  <c r="U51" i="18"/>
  <c r="H42" i="18"/>
  <c r="H43" i="18" s="1"/>
  <c r="H44" i="18" s="1"/>
  <c r="H45" i="18" s="1"/>
  <c r="H46" i="18" s="1"/>
  <c r="H47" i="18" s="1"/>
  <c r="H48" i="18" s="1"/>
  <c r="H49" i="18" s="1"/>
  <c r="H50" i="18" s="1"/>
  <c r="H51" i="18" s="1"/>
  <c r="H52" i="18" s="1"/>
  <c r="H53" i="18" s="1"/>
  <c r="G54" i="18"/>
  <c r="E12" i="16"/>
  <c r="S22" i="18"/>
  <c r="D86" i="9"/>
  <c r="F22" i="19"/>
  <c r="H13" i="18"/>
  <c r="H14" i="18" s="1"/>
  <c r="H15" i="18" s="1"/>
  <c r="H16" i="18" s="1"/>
  <c r="H17" i="18" s="1"/>
  <c r="H18" i="18" s="1"/>
  <c r="H19" i="18" s="1"/>
  <c r="H20" i="18" s="1"/>
  <c r="H21" i="18" s="1"/>
  <c r="Y54" i="18"/>
  <c r="Z42" i="18"/>
  <c r="Z43" i="18" s="1"/>
  <c r="Z44" i="18" s="1"/>
  <c r="Z45" i="18" s="1"/>
  <c r="Z46" i="18" s="1"/>
  <c r="Z47" i="18" s="1"/>
  <c r="Z48" i="18" s="1"/>
  <c r="Z49" i="18" s="1"/>
  <c r="Z50" i="18" s="1"/>
  <c r="Z51" i="18" s="1"/>
  <c r="Z52" i="18" s="1"/>
  <c r="Z53" i="18" s="1"/>
  <c r="K22" i="18"/>
  <c r="M22" i="18"/>
  <c r="L22" i="18"/>
  <c r="G22" i="18"/>
  <c r="D18" i="7"/>
  <c r="A17" i="7"/>
  <c r="A18" i="7" s="1"/>
  <c r="A20" i="7" s="1"/>
  <c r="K38" i="18"/>
  <c r="H25" i="6"/>
  <c r="H38" i="6" s="1"/>
  <c r="F30" i="5" s="1"/>
  <c r="H22" i="19"/>
  <c r="J28" i="10"/>
  <c r="G22" i="19"/>
  <c r="J54" i="18"/>
  <c r="H28" i="19"/>
  <c r="AB54" i="18"/>
  <c r="AC42" i="18"/>
  <c r="Z11" i="18"/>
  <c r="Z12" i="18" s="1"/>
  <c r="Z13" i="18" s="1"/>
  <c r="Z14" i="18" s="1"/>
  <c r="Z15" i="18" s="1"/>
  <c r="Z16" i="18" s="1"/>
  <c r="Z17" i="18" s="1"/>
  <c r="Z18" i="18" s="1"/>
  <c r="Z19" i="18" s="1"/>
  <c r="Z20" i="18" s="1"/>
  <c r="Z21" i="18" s="1"/>
  <c r="F18" i="7"/>
  <c r="D138" i="9"/>
  <c r="I22" i="19"/>
  <c r="I28" i="19" s="1"/>
  <c r="S54" i="18"/>
  <c r="T42" i="18"/>
  <c r="G58" i="19"/>
  <c r="J58" i="19" s="1"/>
  <c r="K58" i="19" s="1"/>
  <c r="G24" i="19" s="1"/>
  <c r="G13" i="19"/>
  <c r="G14" i="19" s="1"/>
  <c r="G21" i="19"/>
  <c r="G17" i="19"/>
  <c r="G18" i="19" s="1"/>
  <c r="J28" i="19"/>
  <c r="Q11" i="18"/>
  <c r="Q12" i="18" s="1"/>
  <c r="Q13" i="18" s="1"/>
  <c r="Q14" i="18" s="1"/>
  <c r="Q15" i="18" s="1"/>
  <c r="Q16" i="18" s="1"/>
  <c r="Q17" i="18" s="1"/>
  <c r="Q18" i="18" s="1"/>
  <c r="Q19" i="18" s="1"/>
  <c r="Q20" i="18" s="1"/>
  <c r="Q21" i="18" s="1"/>
  <c r="J38" i="6"/>
  <c r="G30" i="5" s="1"/>
  <c r="G31" i="5" s="1"/>
  <c r="J22" i="19"/>
  <c r="Q42" i="18"/>
  <c r="Q43" i="18" s="1"/>
  <c r="Q44" i="18" s="1"/>
  <c r="Q45" i="18" s="1"/>
  <c r="Q46" i="18" s="1"/>
  <c r="Q47" i="18" s="1"/>
  <c r="Q48" i="18" s="1"/>
  <c r="Q49" i="18" s="1"/>
  <c r="Q50" i="18" s="1"/>
  <c r="Q51" i="18" s="1"/>
  <c r="Q52" i="18" s="1"/>
  <c r="Q53" i="18" s="1"/>
  <c r="P54" i="18"/>
  <c r="G59" i="7"/>
  <c r="J59" i="7" s="1"/>
  <c r="K59" i="7" s="1"/>
  <c r="H24" i="7" s="1"/>
  <c r="H21" i="7"/>
  <c r="H17" i="7"/>
  <c r="H18" i="7" s="1"/>
  <c r="H13" i="7"/>
  <c r="H14" i="7" s="1"/>
  <c r="D26" i="19"/>
  <c r="A26" i="19"/>
  <c r="A28" i="19" s="1"/>
  <c r="A32" i="19" s="1"/>
  <c r="K28" i="19"/>
  <c r="W12" i="18"/>
  <c r="W13" i="18" s="1"/>
  <c r="W14" i="18" s="1"/>
  <c r="W15" i="18" s="1"/>
  <c r="W16" i="18" s="1"/>
  <c r="W17" i="18" s="1"/>
  <c r="W18" i="18" s="1"/>
  <c r="W19" i="18" s="1"/>
  <c r="W20" i="18" s="1"/>
  <c r="W21" i="18" s="1"/>
  <c r="G24" i="17" s="1"/>
  <c r="G25" i="17" s="1"/>
  <c r="F9" i="17" s="1"/>
  <c r="H22" i="6"/>
  <c r="F24" i="5" s="1"/>
  <c r="E9" i="15"/>
  <c r="D42" i="3"/>
  <c r="I81" i="9"/>
  <c r="K22" i="19"/>
  <c r="D70" i="1"/>
  <c r="Q30" i="18"/>
  <c r="Q31" i="18" s="1"/>
  <c r="Q32" i="18" s="1"/>
  <c r="Q33" i="18" s="1"/>
  <c r="Q34" i="18" s="1"/>
  <c r="Q35" i="18" s="1"/>
  <c r="Q36" i="18" s="1"/>
  <c r="Q37" i="18" s="1"/>
  <c r="D22" i="19"/>
  <c r="D152" i="9"/>
  <c r="D156" i="9" s="1"/>
  <c r="D152" i="1"/>
  <c r="D156" i="1" s="1"/>
  <c r="I28" i="7" l="1"/>
  <c r="L38" i="18"/>
  <c r="F30" i="17"/>
  <c r="F31" i="17" s="1"/>
  <c r="E10" i="17" s="1"/>
  <c r="M38" i="18"/>
  <c r="M18" i="19"/>
  <c r="F28" i="19"/>
  <c r="D97" i="9"/>
  <c r="I97" i="9" s="1"/>
  <c r="J20" i="10" s="1"/>
  <c r="D97" i="1"/>
  <c r="I97" i="1" s="1"/>
  <c r="J20" i="2" s="1"/>
  <c r="D104" i="9"/>
  <c r="D107" i="9" s="1"/>
  <c r="M22" i="19"/>
  <c r="E36" i="5"/>
  <c r="E37" i="5" s="1"/>
  <c r="F37" i="5"/>
  <c r="E11" i="5" s="1"/>
  <c r="M18" i="7"/>
  <c r="E230" i="9"/>
  <c r="F14" i="11" s="1"/>
  <c r="J14" i="11" s="1"/>
  <c r="K64" i="4"/>
  <c r="I230" i="9" s="1"/>
  <c r="U26" i="18"/>
  <c r="U38" i="18" s="1"/>
  <c r="T38" i="18"/>
  <c r="V26" i="18"/>
  <c r="V38" i="18" s="1"/>
  <c r="E229" i="9"/>
  <c r="F13" i="11" s="1"/>
  <c r="J13" i="11" s="1"/>
  <c r="K63" i="4"/>
  <c r="E229" i="1"/>
  <c r="G13" i="17"/>
  <c r="G126" i="9"/>
  <c r="I221" i="9"/>
  <c r="K221" i="9" s="1"/>
  <c r="G69" i="9" s="1"/>
  <c r="G68" i="9"/>
  <c r="G13" i="5"/>
  <c r="G16" i="5" s="1"/>
  <c r="E24" i="5"/>
  <c r="E25" i="5" s="1"/>
  <c r="F25" i="5"/>
  <c r="E9" i="5" s="1"/>
  <c r="A75" i="9"/>
  <c r="C82" i="9"/>
  <c r="G123" i="9"/>
  <c r="G129" i="9"/>
  <c r="I129" i="9" s="1"/>
  <c r="I122" i="9"/>
  <c r="G136" i="9"/>
  <c r="I136" i="9" s="1"/>
  <c r="I137" i="9" s="1"/>
  <c r="G105" i="9"/>
  <c r="I105" i="9" s="1"/>
  <c r="G28" i="19"/>
  <c r="AD42" i="18"/>
  <c r="AD54" i="18" s="1"/>
  <c r="AE42" i="18"/>
  <c r="AE54" i="18" s="1"/>
  <c r="AC54" i="18"/>
  <c r="G64" i="7"/>
  <c r="J57" i="7"/>
  <c r="I66" i="9"/>
  <c r="G74" i="9"/>
  <c r="I209" i="1"/>
  <c r="F31" i="5"/>
  <c r="E10" i="5" s="1"/>
  <c r="E30" i="5"/>
  <c r="E31" i="5" s="1"/>
  <c r="D49" i="19"/>
  <c r="D46" i="19"/>
  <c r="D50" i="19"/>
  <c r="D47" i="19"/>
  <c r="D51" i="19"/>
  <c r="D45" i="19"/>
  <c r="A34" i="19"/>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T54" i="18"/>
  <c r="V42" i="18"/>
  <c r="V54" i="18" s="1"/>
  <c r="U42" i="18"/>
  <c r="L54" i="18"/>
  <c r="K54" i="18"/>
  <c r="M54" i="18"/>
  <c r="A70" i="1"/>
  <c r="A73" i="1" s="1"/>
  <c r="M14" i="7"/>
  <c r="G64" i="19"/>
  <c r="J57" i="19"/>
  <c r="K57" i="19" s="1"/>
  <c r="F22" i="7"/>
  <c r="M14" i="19"/>
  <c r="A21" i="7"/>
  <c r="A22" i="7" s="1"/>
  <c r="A24" i="7" s="1"/>
  <c r="E228" i="9"/>
  <c r="F12" i="11" s="1"/>
  <c r="J12" i="11" s="1"/>
  <c r="J15" i="11" s="1"/>
  <c r="K62" i="4"/>
  <c r="E228" i="1"/>
  <c r="E230" i="1" s="1"/>
  <c r="I230" i="1" s="1"/>
  <c r="H22" i="7"/>
  <c r="H28" i="7" s="1"/>
  <c r="I74" i="9" l="1"/>
  <c r="I82" i="9" s="1"/>
  <c r="G101" i="9"/>
  <c r="I229" i="9"/>
  <c r="I229" i="1"/>
  <c r="A74" i="1"/>
  <c r="C81" i="1"/>
  <c r="J18" i="10"/>
  <c r="I123" i="9"/>
  <c r="J26" i="10" s="1"/>
  <c r="G124" i="9"/>
  <c r="I228" i="9"/>
  <c r="K65" i="4"/>
  <c r="I228" i="1"/>
  <c r="J66" i="7"/>
  <c r="K57" i="7"/>
  <c r="A76" i="9"/>
  <c r="C83" i="9"/>
  <c r="A26" i="7"/>
  <c r="A28" i="7" s="1"/>
  <c r="A32" i="7" s="1"/>
  <c r="D26" i="7"/>
  <c r="E12" i="5"/>
  <c r="E16" i="5" s="1"/>
  <c r="D22" i="7"/>
  <c r="U54" i="18"/>
  <c r="W42" i="18"/>
  <c r="W43" i="18" s="1"/>
  <c r="W44" i="18" s="1"/>
  <c r="W45" i="18" s="1"/>
  <c r="W46" i="18" s="1"/>
  <c r="W47" i="18" s="1"/>
  <c r="W48" i="18" s="1"/>
  <c r="W49" i="18" s="1"/>
  <c r="W50" i="18" s="1"/>
  <c r="W51" i="18" s="1"/>
  <c r="W52" i="18" s="1"/>
  <c r="W53" i="18" s="1"/>
  <c r="G36" i="17" s="1"/>
  <c r="G37" i="17" s="1"/>
  <c r="F11" i="17" s="1"/>
  <c r="G76" i="9"/>
  <c r="I76" i="9" s="1"/>
  <c r="I68" i="9"/>
  <c r="M22" i="7"/>
  <c r="W26" i="18"/>
  <c r="W27" i="18" s="1"/>
  <c r="W28" i="18" s="1"/>
  <c r="W29" i="18" s="1"/>
  <c r="W30" i="18" s="1"/>
  <c r="W31" i="18" s="1"/>
  <c r="W32" i="18" s="1"/>
  <c r="W33" i="18" s="1"/>
  <c r="W34" i="18" s="1"/>
  <c r="W35" i="18" s="1"/>
  <c r="W36" i="18" s="1"/>
  <c r="W37" i="18" s="1"/>
  <c r="G30" i="17" s="1"/>
  <c r="G31" i="17" s="1"/>
  <c r="F10" i="17" s="1"/>
  <c r="F12" i="17" s="1"/>
  <c r="I69" i="9"/>
  <c r="G77" i="9"/>
  <c r="E214" i="1"/>
  <c r="G214" i="1" s="1"/>
  <c r="G217" i="1" s="1"/>
  <c r="I217" i="1" s="1"/>
  <c r="G122" i="1"/>
  <c r="G66" i="1"/>
  <c r="I126" i="9"/>
  <c r="G127" i="9"/>
  <c r="G142" i="9"/>
  <c r="M28" i="19"/>
  <c r="F24" i="19"/>
  <c r="N24" i="19" s="1"/>
  <c r="N26" i="19" s="1"/>
  <c r="D28" i="19" s="1"/>
  <c r="K64" i="19"/>
  <c r="G16" i="17"/>
  <c r="D48" i="19"/>
  <c r="AF42" i="18"/>
  <c r="AF43" i="18" s="1"/>
  <c r="AF44" i="18" s="1"/>
  <c r="AF45" i="18" s="1"/>
  <c r="AF46" i="18" s="1"/>
  <c r="AF47" i="18" s="1"/>
  <c r="AF48" i="18" s="1"/>
  <c r="AF49" i="18" s="1"/>
  <c r="AF50" i="18" s="1"/>
  <c r="AF51" i="18" s="1"/>
  <c r="AF52" i="18" s="1"/>
  <c r="AF53" i="18" s="1"/>
  <c r="H36" i="17" s="1"/>
  <c r="H37" i="17" s="1"/>
  <c r="G11" i="17" s="1"/>
  <c r="G12" i="17" s="1"/>
  <c r="J25" i="10"/>
  <c r="F28" i="7"/>
  <c r="M28" i="7" s="1"/>
  <c r="F24" i="17" l="1"/>
  <c r="F25" i="17" s="1"/>
  <c r="E9" i="17" s="1"/>
  <c r="F36" i="17"/>
  <c r="F37" i="17" s="1"/>
  <c r="E11" i="17" s="1"/>
  <c r="I84" i="9"/>
  <c r="I66" i="1"/>
  <c r="G74" i="1"/>
  <c r="I231" i="9"/>
  <c r="G128" i="9"/>
  <c r="I127" i="9"/>
  <c r="G136" i="1"/>
  <c r="I136" i="1" s="1"/>
  <c r="I137" i="1" s="1"/>
  <c r="G123" i="1"/>
  <c r="I122" i="1"/>
  <c r="G129" i="1"/>
  <c r="I129" i="1" s="1"/>
  <c r="G105" i="1"/>
  <c r="I105" i="1" s="1"/>
  <c r="G125" i="9"/>
  <c r="I125" i="9" s="1"/>
  <c r="I124" i="9"/>
  <c r="I221" i="1"/>
  <c r="K221" i="1" s="1"/>
  <c r="G69" i="1" s="1"/>
  <c r="G126" i="1"/>
  <c r="G68" i="1"/>
  <c r="I77" i="9"/>
  <c r="I78" i="9" s="1"/>
  <c r="F76" i="10" s="1"/>
  <c r="G132" i="9"/>
  <c r="D45" i="7"/>
  <c r="A34" i="7"/>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D49" i="7"/>
  <c r="D46" i="7"/>
  <c r="I70" i="9"/>
  <c r="G70" i="9" s="1"/>
  <c r="I231" i="1"/>
  <c r="A77" i="9"/>
  <c r="C84" i="9"/>
  <c r="A75" i="1"/>
  <c r="C82" i="1"/>
  <c r="K64" i="7"/>
  <c r="F24" i="7"/>
  <c r="N24" i="7" s="1"/>
  <c r="N26" i="7" s="1"/>
  <c r="D28" i="7" s="1"/>
  <c r="I142" i="9"/>
  <c r="G149" i="9"/>
  <c r="G141" i="9"/>
  <c r="I141" i="9" s="1"/>
  <c r="I101" i="9"/>
  <c r="D159" i="9"/>
  <c r="D159" i="1"/>
  <c r="D163" i="1" s="1"/>
  <c r="J19" i="10"/>
  <c r="J21" i="10" s="1"/>
  <c r="E12" i="17" l="1"/>
  <c r="E16" i="17" s="1"/>
  <c r="D160" i="1"/>
  <c r="F96" i="10"/>
  <c r="L76" i="10"/>
  <c r="J27" i="10"/>
  <c r="J29" i="10" s="1"/>
  <c r="J31" i="10" s="1"/>
  <c r="L31" i="10" s="1"/>
  <c r="G76" i="10" s="1"/>
  <c r="J18" i="2"/>
  <c r="G150" i="9"/>
  <c r="I150" i="9" s="1"/>
  <c r="I149" i="9"/>
  <c r="D48" i="7"/>
  <c r="J25" i="2"/>
  <c r="D163" i="9"/>
  <c r="E19" i="11"/>
  <c r="G101" i="1"/>
  <c r="I74" i="1"/>
  <c r="I82" i="1" s="1"/>
  <c r="I85" i="9"/>
  <c r="I86" i="9" s="1"/>
  <c r="G86" i="9" s="1"/>
  <c r="D51" i="7"/>
  <c r="G124" i="1"/>
  <c r="I123" i="1"/>
  <c r="I132" i="9"/>
  <c r="G143" i="9"/>
  <c r="I143" i="9" s="1"/>
  <c r="J39" i="10" s="1"/>
  <c r="J40" i="10" s="1"/>
  <c r="L40" i="10" s="1"/>
  <c r="A76" i="1"/>
  <c r="C83" i="1"/>
  <c r="G76" i="1"/>
  <c r="I76" i="1" s="1"/>
  <c r="I68" i="1"/>
  <c r="F14" i="17"/>
  <c r="F16" i="17" s="1"/>
  <c r="H16" i="17" s="1"/>
  <c r="G106" i="9"/>
  <c r="I106" i="9" s="1"/>
  <c r="G152" i="9"/>
  <c r="F14" i="5"/>
  <c r="F16" i="5" s="1"/>
  <c r="H16" i="5" s="1"/>
  <c r="G127" i="1"/>
  <c r="I126" i="1"/>
  <c r="G142" i="1"/>
  <c r="I128" i="9"/>
  <c r="G131" i="9"/>
  <c r="I131" i="9" s="1"/>
  <c r="G130" i="9"/>
  <c r="I130" i="9" s="1"/>
  <c r="D168" i="1"/>
  <c r="D169" i="1"/>
  <c r="D170" i="1"/>
  <c r="D50" i="7"/>
  <c r="I69" i="1"/>
  <c r="G77" i="1"/>
  <c r="A78" i="9"/>
  <c r="A81" i="9" s="1"/>
  <c r="A82" i="9" s="1"/>
  <c r="A83" i="9" s="1"/>
  <c r="A84" i="9" s="1"/>
  <c r="A85" i="9" s="1"/>
  <c r="A86" i="9" s="1"/>
  <c r="A91" i="9" s="1"/>
  <c r="A92" i="9" s="1"/>
  <c r="A93" i="9" s="1"/>
  <c r="A94" i="9" s="1"/>
  <c r="A95" i="9" s="1"/>
  <c r="C85" i="9"/>
  <c r="D47" i="7"/>
  <c r="D160" i="9"/>
  <c r="D94" i="9" l="1"/>
  <c r="D94" i="1"/>
  <c r="I84" i="1"/>
  <c r="I138" i="9"/>
  <c r="I104" i="9" s="1"/>
  <c r="I107" i="9" s="1"/>
  <c r="J19" i="2"/>
  <c r="J21" i="2" s="1"/>
  <c r="E23" i="11"/>
  <c r="E20" i="11"/>
  <c r="I145" i="9"/>
  <c r="O76" i="10" s="1"/>
  <c r="O96" i="10" s="1"/>
  <c r="G141" i="1"/>
  <c r="I141" i="1" s="1"/>
  <c r="I101" i="1"/>
  <c r="G149" i="1"/>
  <c r="I142" i="1"/>
  <c r="D170" i="9"/>
  <c r="D169" i="9"/>
  <c r="D168" i="9"/>
  <c r="I70" i="1"/>
  <c r="G128" i="1"/>
  <c r="I127" i="1"/>
  <c r="A77" i="1"/>
  <c r="C84" i="1"/>
  <c r="I77" i="1"/>
  <c r="I78" i="1" s="1"/>
  <c r="G132" i="1"/>
  <c r="G77" i="10"/>
  <c r="H76" i="10"/>
  <c r="J26" i="2"/>
  <c r="G155" i="9"/>
  <c r="I155" i="9" s="1"/>
  <c r="G154" i="9"/>
  <c r="I154" i="9" s="1"/>
  <c r="I152" i="9"/>
  <c r="I124" i="1"/>
  <c r="G125" i="1"/>
  <c r="I125" i="1" s="1"/>
  <c r="L96" i="10"/>
  <c r="G168" i="9"/>
  <c r="G169" i="9" s="1"/>
  <c r="G170" i="9" s="1"/>
  <c r="G95" i="9"/>
  <c r="I95" i="9" s="1"/>
  <c r="G94" i="9"/>
  <c r="I156" i="9" l="1"/>
  <c r="J43" i="10" s="1"/>
  <c r="J44" i="10" s="1"/>
  <c r="L44" i="10" s="1"/>
  <c r="I85" i="1"/>
  <c r="I86" i="1" s="1"/>
  <c r="G86" i="1" s="1"/>
  <c r="J24" i="10"/>
  <c r="J35" i="10" s="1"/>
  <c r="J36" i="10" s="1"/>
  <c r="L36" i="10" s="1"/>
  <c r="I168" i="9"/>
  <c r="H28" i="11" s="1"/>
  <c r="H29" i="11" s="1"/>
  <c r="H30" i="11" s="1"/>
  <c r="F76" i="2"/>
  <c r="F96" i="2" s="1"/>
  <c r="I94" i="9"/>
  <c r="I99" i="9" s="1"/>
  <c r="I109" i="9" s="1"/>
  <c r="D99" i="9"/>
  <c r="D109" i="9" s="1"/>
  <c r="I132" i="1"/>
  <c r="G143" i="1"/>
  <c r="I143" i="1" s="1"/>
  <c r="J39" i="2" s="1"/>
  <c r="J40" i="2" s="1"/>
  <c r="L40" i="2" s="1"/>
  <c r="D99" i="1"/>
  <c r="D109" i="1" s="1"/>
  <c r="E28" i="11"/>
  <c r="E30" i="11"/>
  <c r="E29" i="11"/>
  <c r="G70" i="1"/>
  <c r="E76" i="2"/>
  <c r="A78" i="1"/>
  <c r="A81" i="1" s="1"/>
  <c r="A82" i="1" s="1"/>
  <c r="A83" i="1" s="1"/>
  <c r="A84" i="1" s="1"/>
  <c r="A85" i="1" s="1"/>
  <c r="A86" i="1" s="1"/>
  <c r="A91" i="1" s="1"/>
  <c r="A92" i="1" s="1"/>
  <c r="A93" i="1" s="1"/>
  <c r="A94" i="1" s="1"/>
  <c r="A95" i="1" s="1"/>
  <c r="C85" i="1"/>
  <c r="I169" i="9"/>
  <c r="I170" i="9"/>
  <c r="G130" i="1"/>
  <c r="I130" i="1" s="1"/>
  <c r="G131" i="1"/>
  <c r="I131" i="1" s="1"/>
  <c r="I128" i="1"/>
  <c r="J27" i="2"/>
  <c r="J29" i="2" s="1"/>
  <c r="J31" i="2" s="1"/>
  <c r="L31" i="2" s="1"/>
  <c r="G76" i="2" s="1"/>
  <c r="H77" i="10"/>
  <c r="G78" i="10"/>
  <c r="G150" i="1"/>
  <c r="I150" i="1" s="1"/>
  <c r="I149" i="1"/>
  <c r="L46" i="10" l="1"/>
  <c r="I76" i="10" s="1"/>
  <c r="I77" i="10" s="1"/>
  <c r="J46" i="10"/>
  <c r="I138" i="1"/>
  <c r="J24" i="2" s="1"/>
  <c r="J35" i="2" s="1"/>
  <c r="J36" i="2" s="1"/>
  <c r="I145" i="1"/>
  <c r="K7" i="11"/>
  <c r="I174" i="9"/>
  <c r="I167" i="9"/>
  <c r="I171" i="9" s="1"/>
  <c r="G77" i="2"/>
  <c r="H76" i="2"/>
  <c r="E96" i="2"/>
  <c r="L76" i="2"/>
  <c r="D174" i="9"/>
  <c r="C254" i="9" s="1"/>
  <c r="C255" i="9" s="1"/>
  <c r="F255" i="9" s="1"/>
  <c r="D167" i="9"/>
  <c r="D171" i="9" s="1"/>
  <c r="G152" i="1"/>
  <c r="G106" i="1"/>
  <c r="I106" i="1" s="1"/>
  <c r="D174" i="1"/>
  <c r="D167" i="1"/>
  <c r="D171" i="1" s="1"/>
  <c r="G95" i="1"/>
  <c r="I95" i="1" s="1"/>
  <c r="G168" i="1"/>
  <c r="G94" i="1"/>
  <c r="I94" i="1" s="1"/>
  <c r="H78" i="10"/>
  <c r="G79" i="10"/>
  <c r="J76" i="10" l="1"/>
  <c r="O76" i="2"/>
  <c r="O96" i="2" s="1"/>
  <c r="D176" i="9"/>
  <c r="D189" i="9" s="1"/>
  <c r="I104" i="1"/>
  <c r="I107" i="1" s="1"/>
  <c r="L96" i="2"/>
  <c r="G80" i="10"/>
  <c r="H79" i="10"/>
  <c r="G155" i="1"/>
  <c r="I155" i="1" s="1"/>
  <c r="I152" i="1"/>
  <c r="G154" i="1"/>
  <c r="I154" i="1" s="1"/>
  <c r="G78" i="2"/>
  <c r="H77" i="2"/>
  <c r="I99" i="1"/>
  <c r="K36" i="11"/>
  <c r="J49" i="10"/>
  <c r="G169" i="1"/>
  <c r="I168" i="1"/>
  <c r="K35" i="11"/>
  <c r="I254" i="9"/>
  <c r="I255" i="9" s="1"/>
  <c r="I176" i="9"/>
  <c r="I189" i="9" s="1"/>
  <c r="I11" i="9" s="1"/>
  <c r="I23" i="9" s="1"/>
  <c r="I27" i="9" s="1"/>
  <c r="J53" i="10"/>
  <c r="J54" i="10" s="1"/>
  <c r="L54" i="10" s="1"/>
  <c r="K76" i="10"/>
  <c r="K39" i="11"/>
  <c r="K16" i="11"/>
  <c r="D176" i="1"/>
  <c r="D189" i="1" s="1"/>
  <c r="I78" i="10"/>
  <c r="J77" i="10"/>
  <c r="K77" i="10" s="1"/>
  <c r="P77" i="10" s="1"/>
  <c r="L36" i="2"/>
  <c r="K37" i="11" l="1"/>
  <c r="J78" i="10"/>
  <c r="K78" i="10" s="1"/>
  <c r="P78" i="10" s="1"/>
  <c r="S78" i="10" s="1"/>
  <c r="U78" i="10" s="1"/>
  <c r="W78" i="10" s="1"/>
  <c r="I79" i="10"/>
  <c r="G81" i="10"/>
  <c r="H80" i="10"/>
  <c r="G170" i="1"/>
  <c r="I170" i="1" s="1"/>
  <c r="I169" i="1"/>
  <c r="N97" i="10"/>
  <c r="J50" i="10"/>
  <c r="L50" i="10" s="1"/>
  <c r="L56" i="10" s="1"/>
  <c r="M76" i="10" s="1"/>
  <c r="N76" i="10" s="1"/>
  <c r="N96" i="10" s="1"/>
  <c r="J27" i="11"/>
  <c r="J31" i="11" s="1"/>
  <c r="K31" i="11" s="1"/>
  <c r="K33" i="11" s="1"/>
  <c r="E27" i="11"/>
  <c r="E31" i="11" s="1"/>
  <c r="G79" i="2"/>
  <c r="H78" i="2"/>
  <c r="I109" i="1"/>
  <c r="I156" i="1"/>
  <c r="K38" i="11" l="1"/>
  <c r="K40" i="11" s="1"/>
  <c r="R76" i="10" s="1"/>
  <c r="P76" i="10"/>
  <c r="G80" i="2"/>
  <c r="H79" i="2"/>
  <c r="G82" i="10"/>
  <c r="H81" i="10"/>
  <c r="I80" i="10"/>
  <c r="J79" i="10"/>
  <c r="J43" i="2"/>
  <c r="J44" i="2" s="1"/>
  <c r="I174" i="1"/>
  <c r="I167" i="1"/>
  <c r="I171" i="1" s="1"/>
  <c r="R77" i="10" l="1"/>
  <c r="S77" i="10" s="1"/>
  <c r="U77" i="10" s="1"/>
  <c r="W77" i="10" s="1"/>
  <c r="R76" i="2"/>
  <c r="R77" i="2"/>
  <c r="S76" i="10"/>
  <c r="U76" i="10" s="1"/>
  <c r="I81" i="10"/>
  <c r="J80" i="10"/>
  <c r="K80" i="10" s="1"/>
  <c r="P80" i="10" s="1"/>
  <c r="S80" i="10" s="1"/>
  <c r="U80" i="10" s="1"/>
  <c r="W80" i="10" s="1"/>
  <c r="J53" i="2"/>
  <c r="J54" i="2" s="1"/>
  <c r="L54" i="2" s="1"/>
  <c r="I176" i="1"/>
  <c r="G83" i="10"/>
  <c r="H82" i="10"/>
  <c r="H80" i="2"/>
  <c r="G81" i="2"/>
  <c r="J49" i="2"/>
  <c r="L44" i="2"/>
  <c r="L46" i="2" s="1"/>
  <c r="I76" i="2" s="1"/>
  <c r="J46" i="2"/>
  <c r="K79" i="10"/>
  <c r="R96" i="10" l="1"/>
  <c r="R96" i="2"/>
  <c r="G84" i="10"/>
  <c r="H83" i="10"/>
  <c r="W76" i="10"/>
  <c r="P79" i="10"/>
  <c r="I189" i="1"/>
  <c r="I77" i="2"/>
  <c r="J76" i="2"/>
  <c r="N97" i="2"/>
  <c r="J50" i="2"/>
  <c r="L50" i="2" s="1"/>
  <c r="L56" i="2" s="1"/>
  <c r="M76" i="2" s="1"/>
  <c r="N76" i="2" s="1"/>
  <c r="N96" i="2" s="1"/>
  <c r="H81" i="2"/>
  <c r="G82" i="2"/>
  <c r="I82" i="10"/>
  <c r="J81" i="10"/>
  <c r="K81" i="10" l="1"/>
  <c r="I11" i="1"/>
  <c r="H82" i="2"/>
  <c r="G83" i="2"/>
  <c r="G85" i="10"/>
  <c r="H84" i="10"/>
  <c r="S79" i="10"/>
  <c r="I83" i="10"/>
  <c r="J82" i="10"/>
  <c r="K82" i="10" s="1"/>
  <c r="P82" i="10" s="1"/>
  <c r="I78" i="2"/>
  <c r="J77" i="2"/>
  <c r="K77" i="2" s="1"/>
  <c r="P77" i="2" s="1"/>
  <c r="S77" i="2" s="1"/>
  <c r="U77" i="2" s="1"/>
  <c r="W77" i="2" s="1"/>
  <c r="K76" i="2"/>
  <c r="U79" i="10" l="1"/>
  <c r="H85" i="10"/>
  <c r="G86" i="10"/>
  <c r="P76" i="2"/>
  <c r="H83" i="2"/>
  <c r="G84" i="2"/>
  <c r="I79" i="2"/>
  <c r="J78" i="2"/>
  <c r="P98" i="2"/>
  <c r="S98" i="2"/>
  <c r="I23" i="1"/>
  <c r="W82" i="10"/>
  <c r="S82" i="10"/>
  <c r="U82" i="10" s="1"/>
  <c r="P81" i="10"/>
  <c r="I84" i="10"/>
  <c r="J83" i="10"/>
  <c r="K83" i="10" s="1"/>
  <c r="P83" i="10" s="1"/>
  <c r="I85" i="10" l="1"/>
  <c r="J84" i="10"/>
  <c r="K84" i="10" s="1"/>
  <c r="P84" i="10" s="1"/>
  <c r="W83" i="10"/>
  <c r="S83" i="10"/>
  <c r="U83" i="10" s="1"/>
  <c r="S76" i="2"/>
  <c r="I80" i="2"/>
  <c r="J79" i="2"/>
  <c r="K79" i="2" s="1"/>
  <c r="P79" i="2" s="1"/>
  <c r="S79" i="2" s="1"/>
  <c r="U79" i="2" s="1"/>
  <c r="W79" i="2" s="1"/>
  <c r="K78" i="2"/>
  <c r="H86" i="10"/>
  <c r="G87" i="10"/>
  <c r="S81" i="10"/>
  <c r="W81" i="10"/>
  <c r="I27" i="1"/>
  <c r="H84" i="2"/>
  <c r="G85" i="2"/>
  <c r="W79" i="10"/>
  <c r="H85" i="2" l="1"/>
  <c r="G86" i="2"/>
  <c r="U81" i="10"/>
  <c r="H87" i="10"/>
  <c r="G88" i="10"/>
  <c r="P78" i="2"/>
  <c r="J80" i="2"/>
  <c r="I81" i="2"/>
  <c r="S84" i="10"/>
  <c r="U84" i="10" s="1"/>
  <c r="W84" i="10"/>
  <c r="I86" i="10"/>
  <c r="J85" i="10"/>
  <c r="K85" i="10" s="1"/>
  <c r="P85" i="10" s="1"/>
  <c r="I87" i="10" l="1"/>
  <c r="J86" i="10"/>
  <c r="K86" i="10" s="1"/>
  <c r="P86" i="10" s="1"/>
  <c r="H88" i="10"/>
  <c r="G89" i="10"/>
  <c r="S78" i="2"/>
  <c r="J81" i="2"/>
  <c r="K81" i="2" s="1"/>
  <c r="P81" i="2" s="1"/>
  <c r="I82" i="2"/>
  <c r="K80" i="2"/>
  <c r="H86" i="2"/>
  <c r="G87" i="2"/>
  <c r="W85" i="10"/>
  <c r="S85" i="10"/>
  <c r="U85" i="10" s="1"/>
  <c r="U78" i="2" l="1"/>
  <c r="H87" i="2"/>
  <c r="G88" i="2"/>
  <c r="P80" i="2"/>
  <c r="H89" i="10"/>
  <c r="G90" i="10"/>
  <c r="J82" i="2"/>
  <c r="I83" i="2"/>
  <c r="W81" i="2"/>
  <c r="S81" i="2"/>
  <c r="U81" i="2" s="1"/>
  <c r="W86" i="10"/>
  <c r="S86" i="10"/>
  <c r="I88" i="10"/>
  <c r="J87" i="10"/>
  <c r="K87" i="10" s="1"/>
  <c r="P87" i="10" s="1"/>
  <c r="H88" i="2" l="1"/>
  <c r="G89" i="2"/>
  <c r="W87" i="10"/>
  <c r="S87" i="10"/>
  <c r="U87" i="10" s="1"/>
  <c r="U86" i="10"/>
  <c r="J83" i="2"/>
  <c r="K83" i="2" s="1"/>
  <c r="P83" i="2" s="1"/>
  <c r="I84" i="2"/>
  <c r="W78" i="2"/>
  <c r="I89" i="10"/>
  <c r="J88" i="10"/>
  <c r="K88" i="10" s="1"/>
  <c r="P88" i="10" s="1"/>
  <c r="K82" i="2"/>
  <c r="S80" i="2"/>
  <c r="H90" i="10"/>
  <c r="G91" i="10"/>
  <c r="J84" i="2" l="1"/>
  <c r="K84" i="2" s="1"/>
  <c r="P84" i="2" s="1"/>
  <c r="I85" i="2"/>
  <c r="W83" i="2"/>
  <c r="S83" i="2"/>
  <c r="U83" i="2" s="1"/>
  <c r="H91" i="10"/>
  <c r="G92" i="10"/>
  <c r="U80" i="2"/>
  <c r="P82" i="2"/>
  <c r="S88" i="10"/>
  <c r="U88" i="10" s="1"/>
  <c r="W88" i="10"/>
  <c r="I90" i="10"/>
  <c r="J89" i="10"/>
  <c r="K89" i="10" s="1"/>
  <c r="P89" i="10" s="1"/>
  <c r="H89" i="2"/>
  <c r="G90" i="2"/>
  <c r="W82" i="2" l="1"/>
  <c r="S82" i="2"/>
  <c r="W80" i="2"/>
  <c r="H90" i="2"/>
  <c r="G91" i="2"/>
  <c r="H92" i="10"/>
  <c r="G93" i="10"/>
  <c r="W89" i="10"/>
  <c r="S89" i="10"/>
  <c r="U89" i="10" s="1"/>
  <c r="I91" i="10"/>
  <c r="J90" i="10"/>
  <c r="K90" i="10" s="1"/>
  <c r="P90" i="10" s="1"/>
  <c r="J85" i="2"/>
  <c r="K85" i="2" s="1"/>
  <c r="P85" i="2" s="1"/>
  <c r="I86" i="2"/>
  <c r="W84" i="2"/>
  <c r="S84" i="2"/>
  <c r="U84" i="2" s="1"/>
  <c r="H93" i="10" l="1"/>
  <c r="G94" i="10"/>
  <c r="H94" i="10" s="1"/>
  <c r="H91" i="2"/>
  <c r="G92" i="2"/>
  <c r="J86" i="2"/>
  <c r="K86" i="2" s="1"/>
  <c r="P86" i="2" s="1"/>
  <c r="I87" i="2"/>
  <c r="W85" i="2"/>
  <c r="S85" i="2"/>
  <c r="U85" i="2" s="1"/>
  <c r="W90" i="10"/>
  <c r="S90" i="10"/>
  <c r="U90" i="10" s="1"/>
  <c r="I92" i="10"/>
  <c r="J91" i="10"/>
  <c r="K91" i="10" s="1"/>
  <c r="P91" i="10" s="1"/>
  <c r="U82" i="2"/>
  <c r="J87" i="2" l="1"/>
  <c r="K87" i="2" s="1"/>
  <c r="P87" i="2" s="1"/>
  <c r="I88" i="2"/>
  <c r="H92" i="2"/>
  <c r="G93" i="2"/>
  <c r="W91" i="10"/>
  <c r="S91" i="10"/>
  <c r="U91" i="10" s="1"/>
  <c r="W86" i="2"/>
  <c r="S86" i="2"/>
  <c r="U86" i="2" s="1"/>
  <c r="I93" i="10"/>
  <c r="J92" i="10"/>
  <c r="K92" i="10" s="1"/>
  <c r="P92" i="10" s="1"/>
  <c r="H96" i="10"/>
  <c r="H93" i="2" l="1"/>
  <c r="G94" i="2"/>
  <c r="H94" i="2" s="1"/>
  <c r="I94" i="10"/>
  <c r="J94" i="10" s="1"/>
  <c r="J93" i="10"/>
  <c r="K93" i="10" s="1"/>
  <c r="P93" i="10" s="1"/>
  <c r="J88" i="2"/>
  <c r="K88" i="2" s="1"/>
  <c r="P88" i="2" s="1"/>
  <c r="I89" i="2"/>
  <c r="W92" i="10"/>
  <c r="S92" i="10"/>
  <c r="U92" i="10" s="1"/>
  <c r="W87" i="2"/>
  <c r="S87" i="2"/>
  <c r="U87" i="2" s="1"/>
  <c r="J89" i="2" l="1"/>
  <c r="K89" i="2" s="1"/>
  <c r="P89" i="2" s="1"/>
  <c r="I90" i="2"/>
  <c r="J96" i="10"/>
  <c r="K94" i="10"/>
  <c r="W88" i="2"/>
  <c r="S88" i="2"/>
  <c r="U88" i="2" s="1"/>
  <c r="H96" i="2"/>
  <c r="W93" i="10"/>
  <c r="S93" i="10"/>
  <c r="U93" i="10" s="1"/>
  <c r="P94" i="10" l="1"/>
  <c r="K96" i="10"/>
  <c r="J90" i="2"/>
  <c r="K90" i="2" s="1"/>
  <c r="P90" i="2" s="1"/>
  <c r="I91" i="2"/>
  <c r="W89" i="2"/>
  <c r="S89" i="2"/>
  <c r="U89" i="2" s="1"/>
  <c r="J91" i="2" l="1"/>
  <c r="K91" i="2" s="1"/>
  <c r="P91" i="2" s="1"/>
  <c r="I92" i="2"/>
  <c r="W90" i="2"/>
  <c r="S90" i="2"/>
  <c r="U90" i="2" s="1"/>
  <c r="W94" i="10"/>
  <c r="W96" i="10" s="1"/>
  <c r="S94" i="10"/>
  <c r="P96" i="10"/>
  <c r="P98" i="10" s="1"/>
  <c r="U94" i="10" l="1"/>
  <c r="U96" i="10" s="1"/>
  <c r="S96" i="10"/>
  <c r="J92" i="2"/>
  <c r="K92" i="2" s="1"/>
  <c r="P92" i="2" s="1"/>
  <c r="I93" i="2"/>
  <c r="W91" i="2"/>
  <c r="S91" i="2"/>
  <c r="U91" i="2" s="1"/>
  <c r="J93" i="2" l="1"/>
  <c r="K93" i="2" s="1"/>
  <c r="P93" i="2" s="1"/>
  <c r="I94" i="2"/>
  <c r="J94" i="2" s="1"/>
  <c r="W92" i="2"/>
  <c r="S92" i="2"/>
  <c r="U92" i="2" s="1"/>
  <c r="J96" i="2" l="1"/>
  <c r="K94" i="2"/>
  <c r="W93" i="2"/>
  <c r="S93" i="2"/>
  <c r="U93" i="2" s="1"/>
  <c r="P94" i="2" l="1"/>
  <c r="K96" i="2"/>
  <c r="W94" i="2" l="1"/>
  <c r="S94" i="2"/>
  <c r="P96" i="2"/>
  <c r="U94" i="2" l="1"/>
  <c r="S96" i="2"/>
  <c r="U76" i="2" l="1"/>
  <c r="W76" i="2" l="1"/>
  <c r="U96" i="2"/>
  <c r="T96" i="2"/>
  <c r="W96" i="2" l="1"/>
</calcChain>
</file>

<file path=xl/sharedStrings.xml><?xml version="1.0" encoding="utf-8"?>
<sst xmlns="http://schemas.openxmlformats.org/spreadsheetml/2006/main" count="3044" uniqueCount="1187">
  <si>
    <t>Attachment 9A-GLH</t>
  </si>
  <si>
    <t>Page 1 of 5</t>
  </si>
  <si>
    <t xml:space="preserve">Formula Rate - Non-Levelized </t>
  </si>
  <si>
    <t>Non-MISO Rate Formula Template</t>
  </si>
  <si>
    <t>Utilizing FERC Form 1 Data</t>
  </si>
  <si>
    <t>GridLiance Heartland LLC</t>
  </si>
  <si>
    <t>(1)</t>
  </si>
  <si>
    <t>(2)</t>
  </si>
  <si>
    <t>(3)</t>
  </si>
  <si>
    <t xml:space="preserve"> </t>
  </si>
  <si>
    <t>(4)</t>
  </si>
  <si>
    <t>(5)</t>
  </si>
  <si>
    <t>Line</t>
  </si>
  <si>
    <t>Allocated</t>
  </si>
  <si>
    <t>No.</t>
  </si>
  <si>
    <t>Source</t>
  </si>
  <si>
    <t>Amount</t>
  </si>
  <si>
    <t>GROSS REVENUE REQUIREMENT</t>
  </si>
  <si>
    <t>(Page 3, Line 31)</t>
  </si>
  <si>
    <t xml:space="preserve">REVENUE CREDITS </t>
  </si>
  <si>
    <t>(Note S)</t>
  </si>
  <si>
    <t>Total</t>
  </si>
  <si>
    <t>Allocator</t>
  </si>
  <si>
    <t xml:space="preserve">  Account No. 454</t>
  </si>
  <si>
    <t>DA</t>
  </si>
  <si>
    <t>2a</t>
  </si>
  <si>
    <t xml:space="preserve">  Account No. 456</t>
  </si>
  <si>
    <t xml:space="preserve">  Account No. 456.1</t>
  </si>
  <si>
    <t xml:space="preserve">  Revenues from Grandfathered Interzonal Transactions </t>
  </si>
  <si>
    <t>(Note R)</t>
  </si>
  <si>
    <t xml:space="preserve">  Revenues from service provided by the ISO at a discount</t>
  </si>
  <si>
    <t>MISO invoices</t>
  </si>
  <si>
    <t xml:space="preserve">TOTAL REVENUE CREDITS </t>
  </si>
  <si>
    <t>(Sum of Lines 2 through 5)</t>
  </si>
  <si>
    <t>6a</t>
  </si>
  <si>
    <t xml:space="preserve">Adjustment to make Line 6b equal to zero if there is no revenue requirement associated with Schedules 7, 8 &amp; 9.  </t>
  </si>
  <si>
    <t>6b</t>
  </si>
  <si>
    <t>NET REVENUE REQUIREMENT</t>
  </si>
  <si>
    <t>(Line 1 minus Lines 6 &amp; 6a)   (Note KK)</t>
  </si>
  <si>
    <t>6c</t>
  </si>
  <si>
    <t>Attachment 9A-GLH True-up Adjustment with Interest</t>
  </si>
  <si>
    <t>Attachment 9C, Page 1, Line 3, Col. (G)</t>
  </si>
  <si>
    <t>(Line 6b plus Line 6c)</t>
  </si>
  <si>
    <t>DIVISOR</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</si>
  <si>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</si>
  <si>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</si>
  <si>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</si>
  <si>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</si>
  <si>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</si>
  <si>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</si>
  <si>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</si>
  <si>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</si>
  <si>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</si>
  <si>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</si>
  <si>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</si>
  <si>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</si>
  <si>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</si>
  <si>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</si>
  <si>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</si>
  <si>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</si>
  <si>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</si>
  <si>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</si>
  <si>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</si>
  <si>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</si>
  <si>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</si>
  <si>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</si>
  <si>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</si>
  <si>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</si>
  <si>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</si>
  <si>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</si>
  <si>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</si>
  <si>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</si>
  <si>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Charge($/MWh)</t>
  </si>
  <si>
    <t xml:space="preserve">          (Note E)</t>
  </si>
  <si>
    <t>Short Term</t>
  </si>
  <si>
    <t>Long Term</t>
  </si>
  <si>
    <t>Page 2 of 5</t>
  </si>
  <si>
    <t>Transmission</t>
  </si>
  <si>
    <t>Company Total</t>
  </si>
  <si>
    <t xml:space="preserve">                  Allocator (Note JJ)</t>
  </si>
  <si>
    <t>(Col 3 times Col 4)</t>
  </si>
  <si>
    <t>RATE BASE: (Notes Y &amp; BB)</t>
  </si>
  <si>
    <t>GROSS PLANT IN SERVICE</t>
  </si>
  <si>
    <t xml:space="preserve">  Production </t>
  </si>
  <si>
    <t>Attachment 4, Line 14, Col. (b)</t>
  </si>
  <si>
    <t>NA</t>
  </si>
  <si>
    <t xml:space="preserve">  Transmission</t>
  </si>
  <si>
    <t>Attachment 4, Line 14, Col. (c)</t>
  </si>
  <si>
    <t>TP</t>
  </si>
  <si>
    <t xml:space="preserve">  Distribution </t>
  </si>
  <si>
    <t>Attachment 4, Line 14, Col. (d)</t>
  </si>
  <si>
    <t xml:space="preserve">  General &amp; Intangible</t>
  </si>
  <si>
    <t>Attachment 4, Line 14, Col. (e)</t>
  </si>
  <si>
    <t>W/S</t>
  </si>
  <si>
    <t xml:space="preserve">  Common </t>
  </si>
  <si>
    <t>Attachment 4, Line 14, Col. (f)</t>
  </si>
  <si>
    <t>CE</t>
  </si>
  <si>
    <t>TOTAL GROSS PLANT</t>
  </si>
  <si>
    <t>(Sum of Lines 1 through 5)</t>
  </si>
  <si>
    <t>GP=</t>
  </si>
  <si>
    <t>ACCUMULATED DEPRECIATION</t>
  </si>
  <si>
    <t>Attachment 4, Line 14, Col. (k)</t>
  </si>
  <si>
    <t>Attachment 4, Line 14, Col. (l)</t>
  </si>
  <si>
    <t>Attachment 4, Line 14, Col. (m)</t>
  </si>
  <si>
    <t>Attachment 4, Line 14, Col. (n)</t>
  </si>
  <si>
    <t>Attachment 4, Line 14, Col. (o)</t>
  </si>
  <si>
    <t xml:space="preserve">TOTAL ACCUM. DEPRECIATION </t>
  </si>
  <si>
    <t>(Sum of Lines 7 through 11)</t>
  </si>
  <si>
    <t>NET PLANT IN SERVICE</t>
  </si>
  <si>
    <t>TOTAL NET PLANT</t>
  </si>
  <si>
    <t>(Sum of Lines 13 through 17)</t>
  </si>
  <si>
    <t>NP=</t>
  </si>
  <si>
    <t>18a</t>
  </si>
  <si>
    <t xml:space="preserve">  CWIP Approved by FERC Order</t>
  </si>
  <si>
    <t>Attachment 4, Line 14, Col. (g)   (Note LL)</t>
  </si>
  <si>
    <t xml:space="preserve">ADJUSTMENTS TO RATE BASE </t>
  </si>
  <si>
    <t xml:space="preserve">   Reserved</t>
  </si>
  <si>
    <t>zero</t>
  </si>
  <si>
    <t xml:space="preserve">   ADIT</t>
  </si>
  <si>
    <t>Attachment 8a or 8e, line 8, Col (e)</t>
  </si>
  <si>
    <t>NP</t>
  </si>
  <si>
    <t xml:space="preserve">  Account No. 255 (enter negative)</t>
  </si>
  <si>
    <t>Attachment 4, Line 28, Col. (h) (Note F)</t>
  </si>
  <si>
    <t>23a</t>
  </si>
  <si>
    <t xml:space="preserve">  Unamortized Regulatory Asset </t>
  </si>
  <si>
    <t>Attachment 4, Line 28, Col. (b) (Note GG)</t>
  </si>
  <si>
    <t>23b</t>
  </si>
  <si>
    <t xml:space="preserve">  Unamortized Abandoned Plant  </t>
  </si>
  <si>
    <t>Attachment 4, Line 28, Col. (c) (Notes X &amp; FF)</t>
  </si>
  <si>
    <t>23c</t>
  </si>
  <si>
    <t xml:space="preserve">  Unfunded Reserves (enter negative)</t>
  </si>
  <si>
    <r>
      <t>Attachment 4, Line 31</t>
    </r>
    <r>
      <rPr>
        <sz val="10"/>
        <rFont val="Times New Roman"/>
        <family val="1"/>
      </rPr>
      <t>, Col. h)</t>
    </r>
  </si>
  <si>
    <t xml:space="preserve">TOTAL ADJUSTMENTS </t>
  </si>
  <si>
    <t>(Sum of Lines 19 through 23c)</t>
  </si>
  <si>
    <t xml:space="preserve">LAND HELD FOR FUTURE USE </t>
  </si>
  <si>
    <t>Attachment 4, Line 14, Col. (h) (Note G)</t>
  </si>
  <si>
    <t xml:space="preserve">WORKING CAPITAL </t>
  </si>
  <si>
    <t>(Note H)</t>
  </si>
  <si>
    <t xml:space="preserve">  CWC </t>
  </si>
  <si>
    <t>1/8*(Page 3, Line 8 minus Page 3, Line 7b)</t>
  </si>
  <si>
    <t xml:space="preserve">  Materials &amp; Supplies</t>
  </si>
  <si>
    <t>Attachment 4, Line 14, Col. (i) (Note G)</t>
  </si>
  <si>
    <t xml:space="preserve">  Prepayments (Account 165)</t>
  </si>
  <si>
    <t>Attachment 4, Line 14, Col. (j)</t>
  </si>
  <si>
    <t>GP</t>
  </si>
  <si>
    <t xml:space="preserve">TOTAL WORKING CAPITAL  </t>
  </si>
  <si>
    <t>(Sum of Lines 26 through 28)</t>
  </si>
  <si>
    <t xml:space="preserve">RATE BASE </t>
  </si>
  <si>
    <t>(Sum of Lines 18, 18a, 24, 25 &amp; 29)</t>
  </si>
  <si>
    <t>Page 3 of 5</t>
  </si>
  <si>
    <t>O&amp;M</t>
  </si>
  <si>
    <t>(Note CC)</t>
  </si>
  <si>
    <t xml:space="preserve">  Transmission </t>
  </si>
  <si>
    <t>Attachment 5, Line 13, Col. (a)</t>
  </si>
  <si>
    <t>1a</t>
  </si>
  <si>
    <t xml:space="preserve">     Less Ancillary Service Expenses included in Transmission O&amp;M Accounts (Note U)</t>
  </si>
  <si>
    <t xml:space="preserve">Attachment 5, Line 13, Col. (l) </t>
  </si>
  <si>
    <t>1b</t>
  </si>
  <si>
    <t xml:space="preserve">     Less Account 566</t>
  </si>
  <si>
    <t>Attachment 5, Line 13, Col. (b)</t>
  </si>
  <si>
    <t xml:space="preserve">     Less Account 565</t>
  </si>
  <si>
    <t>Attachment 5, Line 13, Col. (c)</t>
  </si>
  <si>
    <t xml:space="preserve">  A&amp;G</t>
  </si>
  <si>
    <t>Attachment 5, Line 13, Col. (d)</t>
  </si>
  <si>
    <t xml:space="preserve">     Less FERC Annual Fees</t>
  </si>
  <si>
    <t>Attachment 5, Line 13, Col. (e)</t>
  </si>
  <si>
    <t xml:space="preserve">     Less EPRI &amp; Reg. Comm. Exp. &amp; Non-safety Ad.  </t>
  </si>
  <si>
    <t>(Note I) Attachment 5, Line 13, Col. (f)</t>
  </si>
  <si>
    <t>5a</t>
  </si>
  <si>
    <t xml:space="preserve">     Plus Transmission Related Reg. Comm. Exp.  </t>
  </si>
  <si>
    <t>(Note I) Attachment 5, Line 13, Col. (g)</t>
  </si>
  <si>
    <t>5b</t>
  </si>
  <si>
    <t xml:space="preserve">     Less PBOP Expense in Year</t>
  </si>
  <si>
    <t>Attachment 7, Line 6</t>
  </si>
  <si>
    <t>5c</t>
  </si>
  <si>
    <t xml:space="preserve">     Plus PBOP Expense Allowed Amount</t>
  </si>
  <si>
    <t>Attachment 7, Line 8</t>
  </si>
  <si>
    <t>356.1</t>
  </si>
  <si>
    <t xml:space="preserve">  Transmission Lease Payments</t>
  </si>
  <si>
    <t>Attachment 5, Line 13, Col (h)</t>
  </si>
  <si>
    <t>7a</t>
  </si>
  <si>
    <t>Account 566</t>
  </si>
  <si>
    <t>7b</t>
  </si>
  <si>
    <t xml:space="preserve">   Amortization of Regulatory Asset</t>
  </si>
  <si>
    <t>(Note GG) Attachment 5, Line 13, Col. (i)</t>
  </si>
  <si>
    <t>7c</t>
  </si>
  <si>
    <t xml:space="preserve">   Miscellaneous Transmission Expense (less Amortization of Regulatory Asset)</t>
  </si>
  <si>
    <t>Attachment 5, Line 13, Col .(j)</t>
  </si>
  <si>
    <t>7d</t>
  </si>
  <si>
    <t>Total Account 566</t>
  </si>
  <si>
    <t>(Line 7b plus Line 7c) Ties to 321.97.b</t>
  </si>
  <si>
    <t>TOTAL O&amp;M</t>
  </si>
  <si>
    <t>(Sum of Lines 1, 3, 5a, 5c, 6, 7, &amp; 7d less Lines 1a, 1b, 2, 4, 5, &amp; 5b)</t>
  </si>
  <si>
    <t>DEPRECIATION EXPENSE</t>
  </si>
  <si>
    <t>(Note BB)</t>
  </si>
  <si>
    <t>Attachment 5, Line 13, Col. (k)</t>
  </si>
  <si>
    <t>Attachment 5, Line 26, Col. (a)</t>
  </si>
  <si>
    <t>Attachment 5, Line 26, Col (l)</t>
  </si>
  <si>
    <t>11a</t>
  </si>
  <si>
    <t xml:space="preserve">  Amortization of Abandoned Plant</t>
  </si>
  <si>
    <t>(Notes X &amp; FF) Attachment 5, Line 26, Col. (b)</t>
  </si>
  <si>
    <t xml:space="preserve">TOTAL DEPRECIATION </t>
  </si>
  <si>
    <t>(Sum of Lines 9 through 11a)</t>
  </si>
  <si>
    <t xml:space="preserve">TAXES OTHER THAN INCOME TAXES </t>
  </si>
  <si>
    <t>(Note J)</t>
  </si>
  <si>
    <t xml:space="preserve">  LABOR RELATED</t>
  </si>
  <si>
    <t xml:space="preserve">          Payroll</t>
  </si>
  <si>
    <t>Attachment 5, Line 26, Col. (c)</t>
  </si>
  <si>
    <t xml:space="preserve">          Highway and vehicle</t>
  </si>
  <si>
    <t>Attachment 5, Line 26, Col. (d)</t>
  </si>
  <si>
    <t xml:space="preserve">  PLANT RELATED</t>
  </si>
  <si>
    <t xml:space="preserve">         Property</t>
  </si>
  <si>
    <t>Attachment 5, Line 26, Col. (e)</t>
  </si>
  <si>
    <t xml:space="preserve">         Gross Receipts</t>
  </si>
  <si>
    <t>Attachment 5, Line 26, Col. (f)</t>
  </si>
  <si>
    <t xml:space="preserve">         Other</t>
  </si>
  <si>
    <t>Attachment 5, Line 26, Col. (g)</t>
  </si>
  <si>
    <t xml:space="preserve">         Payments in lieu of taxes</t>
  </si>
  <si>
    <t>Attachment 5, Line 26, Col. (h)</t>
  </si>
  <si>
    <t>TOTAL OTHER TAXES</t>
  </si>
  <si>
    <t>(Sum of Lines 13 through 19)</t>
  </si>
  <si>
    <t xml:space="preserve">INCOME TAXES          </t>
  </si>
  <si>
    <t xml:space="preserve">     T=SIT * (1-FIT) + FIT - (p*FIT)</t>
  </si>
  <si>
    <t>(Note K)  (Attachment 10, Col. 12, Line 12)</t>
  </si>
  <si>
    <t xml:space="preserve">     CIT=(T/1-T) * (1-(WCLTD/R)) =</t>
  </si>
  <si>
    <t xml:space="preserve">WCLTD = Page 4, Line 27; R = Page 4, Line 30 </t>
  </si>
  <si>
    <t xml:space="preserve">     FIT,  SIT &amp; p </t>
  </si>
  <si>
    <t>(Note K)</t>
  </si>
  <si>
    <t>1 / (1 - T) (T from Line 21)</t>
  </si>
  <si>
    <t>Amortized Investment Tax Credit</t>
  </si>
  <si>
    <t>(enter negative) Attachment 5, Line 26, Col. (i)</t>
  </si>
  <si>
    <t>24a</t>
  </si>
  <si>
    <t xml:space="preserve">Excess Deferred Income Taxes </t>
  </si>
  <si>
    <t>(enter negative) Attachment 5, Line 26, Col. (j)</t>
  </si>
  <si>
    <t>24b</t>
  </si>
  <si>
    <t>Tax Effect of Permanent Differences</t>
  </si>
  <si>
    <t>Attachment 5, Line 26, Col. (k)  (Note II)</t>
  </si>
  <si>
    <t xml:space="preserve">Income Tax Calculation </t>
  </si>
  <si>
    <t>(Line 22) times (Page 4, Line 30) times (Page 2, Line 30)</t>
  </si>
  <si>
    <t xml:space="preserve">ITC adjustment </t>
  </si>
  <si>
    <t>(Line 23 times Line 24)</t>
  </si>
  <si>
    <t>26a</t>
  </si>
  <si>
    <t xml:space="preserve">Excess Deferred Income Tax Adjustment </t>
  </si>
  <si>
    <t>(Line 23 times Line 24a)</t>
  </si>
  <si>
    <t>26b</t>
  </si>
  <si>
    <t>Permanent Differences Tax Adjustment</t>
  </si>
  <si>
    <t>(Line 23 times Line 24b)</t>
  </si>
  <si>
    <t xml:space="preserve">Total Income Taxes </t>
  </si>
  <si>
    <t>(Sum of Lines 25 through 26b)</t>
  </si>
  <si>
    <t xml:space="preserve">RETURN </t>
  </si>
  <si>
    <t>Rate Base times Return</t>
  </si>
  <si>
    <t>(Page 2, Line 30 times Page 4, Line 30, Col. (5))</t>
  </si>
  <si>
    <t>REV. REQUIREMENT</t>
  </si>
  <si>
    <t>(Sum of Lines 8, 12, 20, 27 &amp; 28)</t>
  </si>
  <si>
    <t>LESS ATTACHMENT GG ADJUSTMENT [Attachment GG-GLH, Page 2, Line 17, Column 14]   (Note V)</t>
  </si>
  <si>
    <t>[Revenue Requirement for facilities included on Page 2, Lines 2, 18a, 23a, &amp; 23b and</t>
  </si>
  <si>
    <t>also included in Attachment GG]</t>
  </si>
  <si>
    <t>30a</t>
  </si>
  <si>
    <t>LESS ATTACHMENT MM ADJUSTMENT [Attachment MM-GLH, Page 2, Line 17, Column 14]   (Note Z)</t>
  </si>
  <si>
    <t>also included in Attachment MM]</t>
  </si>
  <si>
    <t>30b</t>
  </si>
  <si>
    <t xml:space="preserve">PLUS Incentives on Attachment 9B for projects other than those included in </t>
  </si>
  <si>
    <t>Attachment 9B, line 18</t>
  </si>
  <si>
    <t>Attachment MM-GLH and  Attachment GG-GLH.</t>
  </si>
  <si>
    <t>REV. REQUIREMENT TO BE COLLECTED UNDER THE OATT</t>
  </si>
  <si>
    <t>(Line 29 - Line 30 - Line 30a + Line 30b)</t>
  </si>
  <si>
    <t>Page 4 of 5</t>
  </si>
  <si>
    <t xml:space="preserve">                SUPPORTING CALCULATIONS AND NOTES</t>
  </si>
  <si>
    <t>TRANSMISSION PLANT INCLUDED IN ISO RATES</t>
  </si>
  <si>
    <t xml:space="preserve">Total Transmission plant  </t>
  </si>
  <si>
    <t>(Page 2, Line 2, Column 3)</t>
  </si>
  <si>
    <t xml:space="preserve">Less Transmission plant included in ISO rates  </t>
  </si>
  <si>
    <t>(Note L)</t>
  </si>
  <si>
    <t xml:space="preserve"> Less Transmission plant included in OATT Ancillary Services  </t>
  </si>
  <si>
    <t>(Note M)</t>
  </si>
  <si>
    <t>Transmission plant not included in ISO rates</t>
  </si>
  <si>
    <t>(Line 1 minus Lines 2 &amp; Line 3)</t>
  </si>
  <si>
    <t xml:space="preserve">Percentage of Transmission plant not included in ISO Rates  </t>
  </si>
  <si>
    <t xml:space="preserve">(Line 4 divided by Line 1) </t>
  </si>
  <si>
    <t>TP=</t>
  </si>
  <si>
    <t xml:space="preserve"> 6 - 11 </t>
  </si>
  <si>
    <t>WAGES &amp; SALARY ALLOCATOR  (W&amp;S)</t>
  </si>
  <si>
    <t>Form 1 Reference</t>
  </si>
  <si>
    <t>$</t>
  </si>
  <si>
    <t>Allocation</t>
  </si>
  <si>
    <t>354.20.b</t>
  </si>
  <si>
    <t xml:space="preserve">  Transmission  (Note MM)</t>
  </si>
  <si>
    <t>354.21.b</t>
  </si>
  <si>
    <t>354.23.b</t>
  </si>
  <si>
    <t xml:space="preserve">  Other</t>
  </si>
  <si>
    <t>354.24,25,26.b</t>
  </si>
  <si>
    <t>($ / Allocation)</t>
  </si>
  <si>
    <t xml:space="preserve">  Total  (sum lines 12-15) [If there are no labor dollars, input $1 on line 13 which is then multiplied by the TP allocator on line 13]</t>
  </si>
  <si>
    <t>=</t>
  </si>
  <si>
    <t xml:space="preserve">WS </t>
  </si>
  <si>
    <t xml:space="preserve">COMMON PLANT ALLOCATOR  (CE)  (Notes N and DD) </t>
  </si>
  <si>
    <t>% Electric</t>
  </si>
  <si>
    <t>W&amp;S Allocator</t>
  </si>
  <si>
    <t xml:space="preserve">  Electric </t>
  </si>
  <si>
    <t>200.3.c</t>
  </si>
  <si>
    <t>(Line 17 / Line 20)</t>
  </si>
  <si>
    <t>(Line 16)</t>
  </si>
  <si>
    <t xml:space="preserve">  Gas</t>
  </si>
  <si>
    <t>200.3.d</t>
  </si>
  <si>
    <t>*</t>
  </si>
  <si>
    <t xml:space="preserve">  Water </t>
  </si>
  <si>
    <t>200.3.e</t>
  </si>
  <si>
    <t xml:space="preserve">  Total</t>
  </si>
  <si>
    <t>(Sum of Lines 17 through 19)</t>
  </si>
  <si>
    <t xml:space="preserve"> 21 - 26 </t>
  </si>
  <si>
    <t>RETURN (R)</t>
  </si>
  <si>
    <t>Cost</t>
  </si>
  <si>
    <t>%</t>
  </si>
  <si>
    <t>Weighted</t>
  </si>
  <si>
    <t xml:space="preserve">  Long Term Debt </t>
  </si>
  <si>
    <t>(Note Y, EE) Attachment 5, Line 34</t>
  </si>
  <si>
    <t>=WCLTD</t>
  </si>
  <si>
    <t xml:space="preserve">  Preferred Stock </t>
  </si>
  <si>
    <t>(Note Y, EE)  Attachment 5, Line 35</t>
  </si>
  <si>
    <t xml:space="preserve">  Common Stock</t>
  </si>
  <si>
    <t>(Notes O, Y and EE)  Attachment 5, Line 36</t>
  </si>
  <si>
    <t xml:space="preserve">Total </t>
  </si>
  <si>
    <t>(Sum of Lines 27 through 29)</t>
  </si>
  <si>
    <t>=R</t>
  </si>
  <si>
    <t>REVENUE CREDITS</t>
  </si>
  <si>
    <t>Load</t>
  </si>
  <si>
    <t>ACCOUNT 447 (SALES FOR RESALE)</t>
  </si>
  <si>
    <t>310 -311</t>
  </si>
  <si>
    <t xml:space="preserve">a. Bundled Non-RQ Sales for Resale </t>
  </si>
  <si>
    <t>311.x.h</t>
  </si>
  <si>
    <t>b. Bundled Sales for Resale  included in Divisor on Page 1</t>
  </si>
  <si>
    <t xml:space="preserve">  Total of (a)-(b)</t>
  </si>
  <si>
    <t>(Note P)</t>
  </si>
  <si>
    <t xml:space="preserve">ACCOUNT 454 (RENT FROM ELECTRIC PROPERTY) </t>
  </si>
  <si>
    <t xml:space="preserve">(Note Q) </t>
  </si>
  <si>
    <t>34a</t>
  </si>
  <si>
    <t>ACCOUNT 456 (OTHER ELECTRIC REVENUES)</t>
  </si>
  <si>
    <t>(Note NN)</t>
  </si>
  <si>
    <t>ACCOUNT 456.1 (REVENUES FROM TRANSMISSION OF ELECTRICTY OF OTHERS)</t>
  </si>
  <si>
    <t>330.x.n (Note T)</t>
  </si>
  <si>
    <t xml:space="preserve">a. Transmission charges for all transmission transactions </t>
  </si>
  <si>
    <t>b. Transmission charges for all transmission transactions included in Divisor on Page 1</t>
  </si>
  <si>
    <t>36a</t>
  </si>
  <si>
    <t xml:space="preserve">c. Transmission charges from Schedules associated with Attachment GG </t>
  </si>
  <si>
    <t>(Note W)</t>
  </si>
  <si>
    <t>36b</t>
  </si>
  <si>
    <t>d. Transmission charges from Schedules associated with Attachment MM</t>
  </si>
  <si>
    <t>(Note AA)</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</si>
  <si>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</si>
  <si>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</si>
  <si>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</si>
  <si>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</si>
  <si>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</si>
  <si>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</si>
  <si>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</si>
  <si>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 Non-MISO assets are transmission assets not under MISO functional control.  Only Non-MISO related items are included.</t>
  </si>
  <si>
    <t>B</t>
  </si>
  <si>
    <t>Labeled LF, LU, IF, IU on Pages 310-311 of Form 1 at the time of the applicable pricing zone coincident monthly peaks.  Only Non-MISO related items are included.</t>
  </si>
  <si>
    <t>C</t>
  </si>
  <si>
    <t>Labeled LF on Page 328 of Form 1 at the time of the applicable pricing zone coincident monthly peaks.  Only Non-MISO related items are included.</t>
  </si>
  <si>
    <t>D</t>
  </si>
  <si>
    <t>Labeled LF on Page 328 of Form 1 at the time of the applicable pricing zone coincident monthly peaks. Only Non-MISO related items are included.</t>
  </si>
  <si>
    <t>E</t>
  </si>
  <si>
    <t>The FERC's annual charges for the year assessed the Transmission Owner for service under this formula rate.  Only Non-MISO related items are included.</t>
  </si>
  <si>
    <t>F</t>
  </si>
  <si>
    <t xml:space="preserve">The balances in Accounts 190, 281, 282 and 283, as adjusted by any amounts in contra accounts identified as regulatory assets or liabilities related to FASB 106 or 109.  Balance of Account 255 is reduced by prior flow through and excluded if the utility chose to utilize amortization of tax credits against taxable income.  Account 281 is not allocated.  </t>
  </si>
  <si>
    <t>G</t>
  </si>
  <si>
    <t>Identified in Form 1 as being only transmission related.</t>
  </si>
  <si>
    <t>H</t>
  </si>
  <si>
    <t>Cash Working Capital assigned to transmission is one-eighth of O&amp;M allocated to transmission at Page 3, Line 8, Column 5 less Page 3, Line 7a.    Prepayments are the electric related prepayments booked to Account No. 165 and reported on Page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</si>
  <si>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</si>
  <si>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</si>
  <si>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</si>
  <si>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</si>
  <si>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</si>
  <si>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</si>
  <si>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 xml:space="preserve">         Inputs Required:</t>
  </si>
  <si>
    <t>FIT =</t>
  </si>
  <si>
    <t>See Attachment 10</t>
  </si>
  <si>
    <t xml:space="preserve">  (Federal Income Tax Rate)</t>
  </si>
  <si>
    <t>SIT=</t>
  </si>
  <si>
    <t xml:space="preserve">  (State Income Tax Rate or Composite SIT)</t>
  </si>
  <si>
    <t>p =</t>
  </si>
  <si>
    <t xml:space="preserve">  (percent of federal income tax deductible for state purposes)</t>
  </si>
  <si>
    <t>L</t>
  </si>
  <si>
    <t>Includes transmission plant under MISO functional control and included in Attachment O-GLH</t>
  </si>
  <si>
    <t>M</t>
  </si>
  <si>
    <t>Includes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</si>
  <si>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</si>
  <si>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Enter dollar amounts</t>
  </si>
  <si>
    <t>O</t>
  </si>
  <si>
    <t>ROE will be supported in the original filing and no change in ROE may be made absent a filing with FERC.  A 50 basis point adder for RTO participation may be added to the ROE up to the upper end of the zone of reasonableness established by FERC.</t>
  </si>
  <si>
    <t>P</t>
  </si>
  <si>
    <t>Page 4, Line 33 must equal zero since all short-term power sales must be unbundled and the transmission component reflected in Account No. 456.1.</t>
  </si>
  <si>
    <t>Q</t>
  </si>
  <si>
    <r>
      <t xml:space="preserve">Includes income related only to transmission facilities, such as pole attachments, rentals and special use, less any amounts related to </t>
    </r>
    <r>
      <rPr>
        <strike/>
        <sz val="10"/>
        <rFont val="Times New Roman"/>
        <family val="1"/>
      </rPr>
      <t>Non-</t>
    </r>
    <r>
      <rPr>
        <sz val="10"/>
        <rFont val="Times New Roman"/>
        <family val="1"/>
      </rPr>
      <t>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 and are included here.</t>
    </r>
  </si>
  <si>
    <t>R</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</si>
  <si>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 This line will include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</si>
  <si>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S</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</si>
  <si>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  These lines will include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</si>
  <si>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T</t>
  </si>
  <si>
    <r>
      <t xml:space="preserve">Account 456.1 entry shall be the annual total of the quarterly values reported at Form 1, Page 330.x.n., less any amounts related to </t>
    </r>
    <r>
      <rPr>
        <strike/>
        <sz val="10"/>
        <rFont val="Times New Roman"/>
        <family val="1"/>
      </rPr>
      <t>Non-</t>
    </r>
    <r>
      <rPr>
        <sz val="10"/>
        <rFont val="Times New Roman"/>
        <family val="1"/>
      </rPr>
      <t>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r>
  </si>
  <si>
    <t>U</t>
  </si>
  <si>
    <t>Includes system control, dispatch and scheduling costs in FERC accounts 561.1 through 561.4 and which are recovered in Schedule 1.  Also excludes Account 561.4 and Account 561.8.  MISO-related amounts are excluded from this attachment.</t>
  </si>
  <si>
    <t>V</t>
  </si>
  <si>
    <t>Pursuant to Attachment GG of the MISO Tariff, removes dollar amount of the revenue requirements calculated pursuant to Attachment GG.  MISO-related amounts are excluded from this attachment.</t>
  </si>
  <si>
    <t>W</t>
  </si>
  <si>
    <t>Removes from revenue credits revenue that are distributed pursuant to Schedules associated with Attachment GG of the MISO Tariff, since the Transmission Owner's Attachment O revenue requirements have already been reduced by the Attachment GG revenue requirements. MISO-related amounts are excluded from this attachment.</t>
  </si>
  <si>
    <t>X</t>
  </si>
  <si>
    <t>Page 2 Line 23b includes any unamortized balances related to the recovery of abandoned plant costs approved by FERC under a separate docket.  Page 3, Line 11a includes the Amortization expense of abandonment costs.  These are shown in the workpapers required pursuant to the Annual Rate Calculation and True-up Procedures.</t>
  </si>
  <si>
    <t>Y</t>
  </si>
  <si>
    <t>Calculate using 13 month average balance, reconciling to FERC Form No. 1 by Page, Line, and Column as shown in Attachment 4 for inputs on page 2 of 5 above, except ADIT, page 2, lines 19-22, which is on Attachment 8a or 8e and shown on Attachment 5. Calculate using 13 month average balance, reconciling to FERC Form No. 1 by Page, Line, and Column as shown in Attachment 5 for inputs on lines 27, 28 and 29 of page 4 of 5 above.  For the first Rate Year, as defined in the Protocols, GLH will use thirteen months of balances in calculating the 13- month average for the determination of the projected net revenue requirement</t>
  </si>
  <si>
    <t>Z</t>
  </si>
  <si>
    <t>Pursuant to Attachment MM of the MISO Tariff, removes dollar amount of the revenue requirements calculated pursuant to Attachment MM.  MISO-related amounts are excluded from this attachment.</t>
  </si>
  <si>
    <t>AA</t>
  </si>
  <si>
    <t>Removes from revenue credits revenues that are distributed pursuant to Schedules associated with Attachment MM of the MISO Tariff, since the  Transmission Owner's Attachment O revenue requirements have already been reduced by the Attachment MM revenue requirements. MISO-related amounts are excluded from this attachment.</t>
  </si>
  <si>
    <t>BB</t>
  </si>
  <si>
    <t>Plant in Service, Accumulated Depreciation, and Depreciation Expense amounts exclude Asset Retirement Obligation amounts unless authorized by FERC.</t>
  </si>
  <si>
    <t>CC</t>
  </si>
  <si>
    <t>Schedule 10-FERC charges should not be included in O&amp;M recovered under Attachment O.</t>
  </si>
  <si>
    <t>DD</t>
  </si>
  <si>
    <t>Calculate using a simple average of beginning of year and end of year balances reconciling to FERC Form No. 1 by Page, Line and Column as shown in Column 2.</t>
  </si>
  <si>
    <t>EE</t>
  </si>
  <si>
    <t>Prior to obtaining long term debt, the cost of debt will be the average 3-month LIBOR for the year plus 2.0%.  LIBOR refers to the London Inter Bank Offer Rate from the Federal Reserve Bank of St. Louis's https://fred.stlouisfed.org/. The capital structure and cost of debt will be the weighted for the year if the long term debt is obtained midyear.   However, if prior to obtaining long term debt, the company has short term debt, the cost of debt will be calculated pursuant to Attachment 5, note D.  The capital structure will be 60% equity and 40% debt until any asset is placed in service, then it will be based on the actual capital structure, provided that during any period where the equity component of the actual capital structure is greater than 60%, company will reduce the equity component to a level not to exceed 60%. If the capital structure is reduced to 60% equity, the reduced ATRR as a result of capping the equity portion of GridLiance’s capital structure at 60%, and the difference between these two values shall be provided by the company in its Annual True-up. The amount of debt in the capital structure will be equal to 1 minus the equity percentage.</t>
  </si>
  <si>
    <t>FF</t>
  </si>
  <si>
    <t>Unamortized Abandoned Plant and Amortization of Abandoned Plant will be zero until the Commission accepts or approves recovery of the cost of abandoned plant.  Utility must submit a Section 205 filing to recover the cost of abandoned plant.</t>
  </si>
  <si>
    <t>GG</t>
  </si>
  <si>
    <t xml:space="preserve">Recovery of regulatory asset permitted only for pre-commercial and formation expenses and are subject to FERC approval before any Regulatory Asset amounts are included in rates.  Recovery of any other regulatory assets requires authorization from the Commission. A carrying charge equal to the AFUDC rate will be applied to the regulatory asset prior to the rate year when costs are first recovered. </t>
  </si>
  <si>
    <t>HH</t>
  </si>
  <si>
    <t>Reserved</t>
  </si>
  <si>
    <t>II</t>
  </si>
  <si>
    <t>The Tax Effect of Permanent Differences captures the differences in the income taxes due under the Federal and State calculations and the income taxes calculated in Attachment O-GLH that are not the result of a timing difference.</t>
  </si>
  <si>
    <t>JJ</t>
  </si>
  <si>
    <t xml:space="preserve">DA in the allocator Column in this attachment means that the cost is directly assigned to  Non-MISO consistent with the attached workpapers. </t>
  </si>
  <si>
    <t>KK</t>
  </si>
  <si>
    <t xml:space="preserve">Round to zero if amount shown is not zero and there is no revenue requirement to recover under Schedules 7, 8, and 9 of the GLH OATT. </t>
  </si>
  <si>
    <t>LL</t>
  </si>
  <si>
    <t>AFUDC ceases when CWIP is recovered in rate base.  No CWIP will be included in rate base on line 18a absent FERC authorization.</t>
  </si>
  <si>
    <t>MM</t>
  </si>
  <si>
    <t xml:space="preserve">It is possible GLH will not have any salaries and wages to report in the FERC Form No. 1 (that is page 4, lines 12-15 are zero), even if GLH has existing transmission assets in service.  If and when this occurs page 4, line 13, column 3 will be input as 1. </t>
  </si>
  <si>
    <t>NN</t>
  </si>
  <si>
    <t>Includes revenue from electric operations properly credited to Non-MISO customers and not includible in other accounts, such as compensation for minor or incidental services provided for others. GLH commits to provide a workpaper itemizing each revenue source for interested parties to determine which revenues should be reflected herein.</t>
  </si>
  <si>
    <t>End</t>
  </si>
  <si>
    <t>Attachment 9B (Note J)</t>
  </si>
  <si>
    <t>Page 1 of 3</t>
  </si>
  <si>
    <t>Non-MISO Project Revenue Requirement Worksheet</t>
  </si>
  <si>
    <t>To be completed in conjunction with Attachment 9A-GLH.</t>
  </si>
  <si>
    <t>(inputs from Attachment 9A-GLH are rounded to whole dollars)</t>
  </si>
  <si>
    <t>Page, Line, Col.</t>
  </si>
  <si>
    <t>Gross Transmission Plant - Total</t>
  </si>
  <si>
    <t>Attach 9A, p 2, line 2 col 5 (Note A)</t>
  </si>
  <si>
    <t>Transmission Accumulated Depreciation</t>
  </si>
  <si>
    <t>Attach 9A, p 2, line 8 col 5</t>
  </si>
  <si>
    <t>CWIP, Regulatory Asset, Abandoned Plant</t>
  </si>
  <si>
    <t>Attach 9A, p 2, lines 18a, 23a  &amp; 23b (Note B)</t>
  </si>
  <si>
    <t>Net Transmission Plant - Total</t>
  </si>
  <si>
    <t>Line 1 minus Line 1a plus Line 1b</t>
  </si>
  <si>
    <t>O&amp;M TRANSMISSION EXPENSE</t>
  </si>
  <si>
    <t>Total O&amp;M Allocated to Transmission</t>
  </si>
  <si>
    <t>Attach 9A, p 3, line 8 col 5</t>
  </si>
  <si>
    <t>3a</t>
  </si>
  <si>
    <t>Transmission O&amp;M</t>
  </si>
  <si>
    <t>Attach 9A, p 3, line 1 col 5</t>
  </si>
  <si>
    <t>3b</t>
  </si>
  <si>
    <t>Less: Ancillary Service expenses included in above</t>
  </si>
  <si>
    <t>Attach 9A, p 3, line 1a col 5</t>
  </si>
  <si>
    <t>3c</t>
  </si>
  <si>
    <t>Less: Account 565 included in above, if any</t>
  </si>
  <si>
    <t>Attach 9A, p 3, line 2 col 5, if any</t>
  </si>
  <si>
    <t>3d</t>
  </si>
  <si>
    <t>Less: Account 566 Amort of Reg Asset included in 3a, if any</t>
  </si>
  <si>
    <t>Attach 9A, p 3, line 7b col 5, if any</t>
  </si>
  <si>
    <t>3e</t>
  </si>
  <si>
    <t>Adjusted Transmission O&amp;M</t>
  </si>
  <si>
    <t>Line 3a minus Lines 3b thru 3d</t>
  </si>
  <si>
    <t>Annual Allocation Factor for Transmission O&amp;M</t>
  </si>
  <si>
    <t>(Line 3e divided by line 1, col 3)</t>
  </si>
  <si>
    <t>OTHER O&amp;M EXPENSE</t>
  </si>
  <si>
    <t>4a</t>
  </si>
  <si>
    <t>Other O&amp;M Allocated to Transmission</t>
  </si>
  <si>
    <t>Line 3 minus Line 3e</t>
  </si>
  <si>
    <t>4b</t>
  </si>
  <si>
    <t>Annual Allocation Factor for Other O&amp;M</t>
  </si>
  <si>
    <t>Line 4a divided by Line 1, col 3</t>
  </si>
  <si>
    <t>GENERAL, INTANGIBLE AND COMMON (G, I &amp; C) DEPRECIATION EXPENSE</t>
  </si>
  <si>
    <t>5</t>
  </si>
  <si>
    <t>Total G, I &amp; C Depreciation Expense</t>
  </si>
  <si>
    <t>Attach 9A, p 3, lines 10 &amp; 11, col 5 (Note G)</t>
  </si>
  <si>
    <t>6</t>
  </si>
  <si>
    <t>Annual Allocation Factor for G, I &amp; C Depreciation Expense</t>
  </si>
  <si>
    <t>(line 5 divided by line 1 col 3)</t>
  </si>
  <si>
    <t>TAXES OTHER THAN INCOME TAXES</t>
  </si>
  <si>
    <t>7</t>
  </si>
  <si>
    <t>Total Other Taxes</t>
  </si>
  <si>
    <t>Attach 9A, p 3, line 20 col 5</t>
  </si>
  <si>
    <t>8</t>
  </si>
  <si>
    <t>Annual Allocation Factor for Other Taxes</t>
  </si>
  <si>
    <t>(line 7 divided by line 1 col 3)</t>
  </si>
  <si>
    <t>9</t>
  </si>
  <si>
    <t>Annual Allocation Factor for Other Expense</t>
  </si>
  <si>
    <t>Sum of line 4b, 6, and 8</t>
  </si>
  <si>
    <t>INCOME TAXES</t>
  </si>
  <si>
    <t>10</t>
  </si>
  <si>
    <t>Total Income Taxes</t>
  </si>
  <si>
    <t>Attach 9A, p 3, line 27 col 5</t>
  </si>
  <si>
    <t>11</t>
  </si>
  <si>
    <t>Annual Allocation Factor for Income Taxes</t>
  </si>
  <si>
    <t>(line 10 divided by line 2 col 3)</t>
  </si>
  <si>
    <t>12</t>
  </si>
  <si>
    <t>Return on Rate Base</t>
  </si>
  <si>
    <t>Attach 9A, p 3, line 28 col 5</t>
  </si>
  <si>
    <t>13</t>
  </si>
  <si>
    <t>Annual Allocation Factor for Return on Rate Base</t>
  </si>
  <si>
    <t>(line 12 divided by line 2 col 3)</t>
  </si>
  <si>
    <t>14</t>
  </si>
  <si>
    <t>Annual Allocation Factor for Return</t>
  </si>
  <si>
    <t>Sum of line 11 and 13 col 4</t>
  </si>
  <si>
    <t>Page 2 of 3</t>
  </si>
  <si>
    <t>Page 3 of 3</t>
  </si>
  <si>
    <t>(14)</t>
  </si>
  <si>
    <t>(15)</t>
  </si>
  <si>
    <t>(16)</t>
  </si>
  <si>
    <t xml:space="preserve"> (16a)</t>
  </si>
  <si>
    <t>(17)</t>
  </si>
  <si>
    <t>(18)</t>
  </si>
  <si>
    <t>(19)</t>
  </si>
  <si>
    <t>(20)</t>
  </si>
  <si>
    <t>Line No.</t>
  </si>
  <si>
    <t xml:space="preserve">Project Name </t>
  </si>
  <si>
    <t>MTEP # or Other Designation</t>
  </si>
  <si>
    <t xml:space="preserve">Project Gross Plant </t>
  </si>
  <si>
    <t>Project Accumulated Depreciation/Amortization</t>
  </si>
  <si>
    <t>Transmission O&amp;M Annual Allocation Factor</t>
  </si>
  <si>
    <t>Annual Allocation for Transmission O&amp;M Expense</t>
  </si>
  <si>
    <t>Annual Allocation for Other Expense</t>
  </si>
  <si>
    <t>Annual Expense Charge</t>
  </si>
  <si>
    <t xml:space="preserve">Project Net Plant </t>
  </si>
  <si>
    <t>Annual Return Charge</t>
  </si>
  <si>
    <t>Project Depreciation/Amortization Expense</t>
  </si>
  <si>
    <t>Annual Revenue Requirement</t>
  </si>
  <si>
    <t>Incentive Return in basis Points</t>
  </si>
  <si>
    <t>Incentive Return</t>
  </si>
  <si>
    <t>Ceiling Rate</t>
  </si>
  <si>
    <t>Discounts</t>
  </si>
  <si>
    <t>Total Annual Revenue Requirement</t>
  </si>
  <si>
    <t>True-Up Adjustment</t>
  </si>
  <si>
    <t>Net Revenue Requirement</t>
  </si>
  <si>
    <t>Page 1 line 4</t>
  </si>
  <si>
    <t>Col. 3 * Col. 5</t>
  </si>
  <si>
    <t>Page 1 line 9</t>
  </si>
  <si>
    <t>Col. 3 * Col. 7</t>
  </si>
  <si>
    <t>Col. 6 + Col. 8)</t>
  </si>
  <si>
    <t>Page 1 line 14</t>
  </si>
  <si>
    <t>(Col. 10 * Col. 11)</t>
  </si>
  <si>
    <t>(Note E)</t>
  </si>
  <si>
    <t>(Sum Col. 9, 12 &amp; 13)</t>
  </si>
  <si>
    <t>Per FERC order (Note I)</t>
  </si>
  <si>
    <t>(Attach 2, Line 28 * (Col. 15/100)* Col. 10)</t>
  </si>
  <si>
    <t>(Sum Col. 14 &amp; 16)</t>
  </si>
  <si>
    <t>(Note H) (Enter Negative)</t>
  </si>
  <si>
    <t>(Sum Col. 16a &amp; 17)</t>
  </si>
  <si>
    <t>(Note F)</t>
  </si>
  <si>
    <t xml:space="preserve">Sum Col. 18 &amp; 19 
</t>
  </si>
  <si>
    <t>15a</t>
  </si>
  <si>
    <t>EEI Non-MISO Assets</t>
  </si>
  <si>
    <t>15b</t>
  </si>
  <si>
    <t>15c</t>
  </si>
  <si>
    <t>15d</t>
  </si>
  <si>
    <t>15e</t>
  </si>
  <si>
    <t>15f</t>
  </si>
  <si>
    <t>15g</t>
  </si>
  <si>
    <t>15h</t>
  </si>
  <si>
    <t>15i</t>
  </si>
  <si>
    <t>15j</t>
  </si>
  <si>
    <t>15k</t>
  </si>
  <si>
    <t>15l</t>
  </si>
  <si>
    <t>15m</t>
  </si>
  <si>
    <t>15n</t>
  </si>
  <si>
    <t>15o</t>
  </si>
  <si>
    <t>16</t>
  </si>
  <si>
    <t>Annual Totals</t>
  </si>
  <si>
    <t>Rev. Req. Adj For Attachment 9A</t>
  </si>
  <si>
    <t>Incentives from Projects other than those in Attachment GG- GLH and Attachment MM_GLH.  This includes only amounts related to Non-MISO assets</t>
  </si>
  <si>
    <t>Gross Transmission Plant that is included on page 2 line 2 of Attachment 9A-GLH (see line 1 col (3)).</t>
  </si>
  <si>
    <t>Inclusive of any CWIP, unamortized abandoned plant and unamortized project-related regulatory asset included in rate base when authorized by FERC order.  Excludes start-up regulatory asset (see line 1b, col. (3)).</t>
  </si>
  <si>
    <t xml:space="preserve">Project Gross Plant is the total capital investment for the project calculated in the same method as the gross plant value in line 1.  This value includes subsequent capital investments required to </t>
  </si>
  <si>
    <t>maintain the facilities to their original capabilities.  Gross plant does not include any CWIP, unamortized abandoned plant or any regulatory asset (see line 15, col. (3)).</t>
  </si>
  <si>
    <t xml:space="preserve">Project Net Plant is the Project Gross Plant Identified in Column 3 less the associated Accumulated Depreciation in col (4).  Net Plant includes any CWIP in rate base, any project related regulatory asset and any </t>
  </si>
  <si>
    <t>Unamortized Abandoned Plant approved by the Commission (see line 15, col. (10)).  Net plant does not include start-up regulatory asset.</t>
  </si>
  <si>
    <r>
      <t>Project Depreciation Expense is the actual value booked in Attachment 9A-GLH, Page 3, line 9 that is associated with the specified project.  Project Depreciation Expense includes the amortization of Abandoned Plant.  However, if FERC grants accelerated depreciation for a project the depreciation rate authorized by FERC will be used instead of the rates shown on Attachment 6 for all other projects. Line 15, Col. (13). Does not include</t>
    </r>
    <r>
      <rPr>
        <strike/>
        <sz val="10"/>
        <rFont val="Times New Roman"/>
        <family val="1"/>
      </rPr>
      <t>s</t>
    </r>
    <r>
      <rPr>
        <sz val="10"/>
        <rFont val="Times New Roman"/>
        <family val="1"/>
      </rPr>
      <t xml:space="preserve"> project related regulatory assets.</t>
    </r>
  </si>
  <si>
    <t>Project True-Up Adjustment is calculated on the Attachment GG - GLH and Attachment MM - GLH True-Up Template (see col. K). For Non-MISO projects other than Attachment GG or MM, the Project True-up Adjustment is calculated on Attachment 9C.  MISO-related amounts will be excluded from this attachment.</t>
  </si>
  <si>
    <t>The Total General and Common Depreciation Expense excludes any depreciation expense directly associated with a project and thereby included in Line 15, col. 13.</t>
  </si>
  <si>
    <t>Any discounts related to Non-MISO specific project(s) will be included in this column. The amount in Column 17  above equals the amount by which the annual revenue requirement is reduced from the ceiling rate  (see line 15 col. (17)).</t>
  </si>
  <si>
    <t>Requires approval by FERC of incentive return applicable to the specified project(s) (see line 15, col. (15)).</t>
  </si>
  <si>
    <t>This Attachment 9B is a reconciliation of the total calculated GridLiance Heartland Non-MISO ATRR and each of the related projects/assets.</t>
  </si>
  <si>
    <t>Attachment 4</t>
  </si>
  <si>
    <t>Rate Base Worksheet (Page 2 of Attachment O - GLH)</t>
  </si>
  <si>
    <t>Page 1 of 2</t>
  </si>
  <si>
    <t>Gross Plant In Service (Attachment O, Note Y and BB)</t>
  </si>
  <si>
    <t>CWIP</t>
  </si>
  <si>
    <t>LHFFU</t>
  </si>
  <si>
    <t>Working Capital</t>
  </si>
  <si>
    <t>Accumulated Depreciation (Attachment O, Note Y and BB)</t>
  </si>
  <si>
    <t>Line No</t>
  </si>
  <si>
    <t>Month</t>
  </si>
  <si>
    <t>Production</t>
  </si>
  <si>
    <t>Distribution</t>
  </si>
  <si>
    <t>General &amp; Intangible</t>
  </si>
  <si>
    <t>Common</t>
  </si>
  <si>
    <t>CWIP (Note C)</t>
  </si>
  <si>
    <t>Land Held for Future Use</t>
  </si>
  <si>
    <t xml:space="preserve">  Prepayments</t>
  </si>
  <si>
    <t>(a)</t>
  </si>
  <si>
    <t>(b)</t>
  </si>
  <si>
    <t>(c)</t>
  </si>
  <si>
    <t>(d)</t>
  </si>
  <si>
    <t>(e)</t>
  </si>
  <si>
    <t>(f)</t>
  </si>
  <si>
    <t>(g)</t>
  </si>
  <si>
    <t>(h)</t>
  </si>
  <si>
    <t>(i)</t>
  </si>
  <si>
    <t>(j)</t>
  </si>
  <si>
    <t>(k)</t>
  </si>
  <si>
    <t>(l)</t>
  </si>
  <si>
    <t>(m)</t>
  </si>
  <si>
    <t>(n)</t>
  </si>
  <si>
    <t>(o)</t>
  </si>
  <si>
    <t>FN1 Reference for Dec</t>
  </si>
  <si>
    <t>205.46.g</t>
  </si>
  <si>
    <t>207.58.g</t>
  </si>
  <si>
    <t>207.75.g</t>
  </si>
  <si>
    <t>205.5.g &amp; 207.99.g</t>
  </si>
  <si>
    <t>216.x.b</t>
  </si>
  <si>
    <t>214.x.d</t>
  </si>
  <si>
    <t>227.8.c &amp; 227.16.c</t>
  </si>
  <si>
    <t>111.57.c</t>
  </si>
  <si>
    <t>219.20-24.c</t>
  </si>
  <si>
    <t>219.25.c</t>
  </si>
  <si>
    <t>219.26.c</t>
  </si>
  <si>
    <t>219.28.c &amp; 200.21.c</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</si>
  <si>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</si>
  <si>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</si>
  <si>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</si>
  <si>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</si>
  <si>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</si>
  <si>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</si>
  <si>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</si>
  <si>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</si>
  <si>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</si>
  <si>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</si>
  <si>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</si>
  <si>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</si>
  <si>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</si>
  <si>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</si>
  <si>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 (Attachment O, Note Y)</t>
  </si>
  <si>
    <t xml:space="preserve">Unamortized Regulatory Asset </t>
  </si>
  <si>
    <t xml:space="preserve">Unamortized Abandoned Plant  </t>
  </si>
  <si>
    <t>Account No. 255
Accumulated Deferred Investment Credit  (Note D)</t>
  </si>
  <si>
    <t>Notes A &amp; E</t>
  </si>
  <si>
    <t>Notes B &amp; F</t>
  </si>
  <si>
    <t>Consistent with 266.8.b &amp; 267.8.h</t>
  </si>
  <si>
    <t>Average of the 13 Monthly Balances -</t>
  </si>
  <si>
    <t>Page 2 of 2</t>
  </si>
  <si>
    <t>Unfunded Reserves    (Note G)</t>
  </si>
  <si>
    <t>List of all reserves:</t>
  </si>
  <si>
    <t xml:space="preserve">Amount </t>
  </si>
  <si>
    <r>
      <t>Enter 1 if NOT in a trust or</t>
    </r>
    <r>
      <rPr>
        <sz val="10"/>
        <rFont val="Times New Roman"/>
        <family val="1"/>
      </rPr>
      <t xml:space="preserve"> reserved account, enter zero (0) if included in a trust or reserved account </t>
    </r>
  </si>
  <si>
    <r>
      <t xml:space="preserve">Enter 1 if the accrual account is included in the formula rate, enter zero (0) </t>
    </r>
    <r>
      <rPr>
        <sz val="10"/>
        <rFont val="Times New Roman"/>
        <family val="1"/>
      </rPr>
      <t>if the accrual account is NOT included in the formula rate</t>
    </r>
  </si>
  <si>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</si>
  <si>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</si>
  <si>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</si>
  <si>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</si>
  <si>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</si>
  <si>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30c</t>
  </si>
  <si>
    <t>Reserve 3</t>
  </si>
  <si>
    <t>30d</t>
  </si>
  <si>
    <t>Reserve 4</t>
  </si>
  <si>
    <t>30e</t>
  </si>
  <si>
    <t>…</t>
  </si>
  <si>
    <t>30f</t>
  </si>
  <si>
    <t>Notes:</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</si>
  <si>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</si>
  <si>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</si>
  <si>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Update will include for each project under construction (i) the CWIP balance eligible for inclusion in rate base; (ii) the CWIP balance ineligible for inclusion in rate base; and (iii) a demonstration that AFUDC is only applied to the CWIP balance that is not included in rate base.  The Annual Update will reconcile the project-specific CWIP balances to the total Account 107 CWIP balance reported on p. 216.b of the FERC Form 1</t>
  </si>
  <si>
    <t>Accumulated Deferred Income Tax Credits are computed on Attachments 8a and 8b</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</si>
  <si>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</si>
  <si>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</si>
  <si>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</si>
  <si>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Attachment 5</t>
  </si>
  <si>
    <t>Attachment O - GLH, Page 3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</si>
  <si>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</si>
  <si>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</si>
  <si>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</si>
  <si>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</si>
  <si>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</si>
  <si>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</si>
  <si>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</si>
  <si>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</si>
  <si>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</si>
  <si>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Miscellaneous Transmission Expense (less Amortization of Regulatory Asset)</t>
  </si>
  <si>
    <t>Depreciation Expense - Transmission (Attachment O - GLH, Note BB)</t>
  </si>
  <si>
    <t xml:space="preserve">     Less Ancillary Service Expenses included in Transmission O&amp;M Accounts </t>
  </si>
  <si>
    <t>Attachment O - GLH, Page 3, Line Number</t>
  </si>
  <si>
    <t>FERC Form 1 Reference</t>
  </si>
  <si>
    <t>321.112.b</t>
  </si>
  <si>
    <t>321.97.b</t>
  </si>
  <si>
    <t>321.96.b</t>
  </si>
  <si>
    <t>323.197.b</t>
  </si>
  <si>
    <t>Attachment O - GLH, Note I</t>
  </si>
  <si>
    <t>336.7.f</t>
  </si>
  <si>
    <t>Attachment O - GLH, Note U</t>
  </si>
  <si>
    <t>1</t>
  </si>
  <si>
    <t>2</t>
  </si>
  <si>
    <t>3</t>
  </si>
  <si>
    <t>March</t>
  </si>
  <si>
    <t>4</t>
  </si>
  <si>
    <t>August</t>
  </si>
  <si>
    <t>December</t>
  </si>
  <si>
    <t>Depreciation Expense - General &amp; Intangible (Attachment O - GLH, Note BB)</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</si>
  <si>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</si>
  <si>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</si>
  <si>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</si>
  <si>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</si>
  <si>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</si>
  <si>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</si>
  <si>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</si>
  <si>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</si>
  <si>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</si>
  <si>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Depreciation Expense - Common (Attachment O - GLH, Note BB)</t>
  </si>
  <si>
    <t>Attachment O, Page 3, Line Number</t>
  </si>
  <si>
    <t>336.10.f &amp; 336.1.f</t>
  </si>
  <si>
    <t>Attachment O - GLH, Note X &amp; FF</t>
  </si>
  <si>
    <t>263.i</t>
  </si>
  <si>
    <t>266.8.f</t>
  </si>
  <si>
    <t>336.11.f</t>
  </si>
  <si>
    <t>15</t>
  </si>
  <si>
    <t>17</t>
  </si>
  <si>
    <t>18</t>
  </si>
  <si>
    <t>19</t>
  </si>
  <si>
    <t>20</t>
  </si>
  <si>
    <t>21</t>
  </si>
  <si>
    <t>22</t>
  </si>
  <si>
    <t>23</t>
  </si>
  <si>
    <t>24</t>
  </si>
  <si>
    <t>25</t>
  </si>
  <si>
    <t>26</t>
  </si>
  <si>
    <t>RETURN (R)  (Attachment O-GLH, Notes O, Y, and EE)</t>
  </si>
  <si>
    <t>Long Term Interest (117, sum of 62.c through 67.c)</t>
  </si>
  <si>
    <t>Preferred Dividends (118.29c) (positive number)</t>
  </si>
  <si>
    <t>Proprietary Capital (112.16.c)</t>
  </si>
  <si>
    <t xml:space="preserve">Less Preferred Stock (line 35, col. (d)) </t>
  </si>
  <si>
    <t xml:space="preserve">Less Account 216.1 (112.12.c)  </t>
  </si>
  <si>
    <t>(enter negative)</t>
  </si>
  <si>
    <t>Common Stock</t>
  </si>
  <si>
    <t>(sum lines 30 - 32)</t>
  </si>
  <si>
    <t xml:space="preserve">Cost Rates </t>
  </si>
  <si>
    <t>Note A and Note D</t>
  </si>
  <si>
    <t xml:space="preserve">  Preferred Stock  (112.3.c)</t>
  </si>
  <si>
    <t>Note B</t>
  </si>
  <si>
    <t xml:space="preserve">Note C  </t>
  </si>
  <si>
    <t>(Sum of Lines 34 through 36)</t>
  </si>
  <si>
    <t>Note:</t>
  </si>
  <si>
    <t>Long Term debt balance will reflect the 13 month average of the balances, of which the 1st and 13th are found on page 112 lines 18.c to 21.c in the Form No. 1, the cost is calculated by dividing line 28 by the Long Tern Debt balance in line 34.</t>
  </si>
  <si>
    <t>Preferred Stock balance will reflect the 13 month average of the balances, of which the 1st and 13th are found on page 112 line 3.c in the Form No. 1, the cost is calculated by dividing line 29 by the Preferred Stock balance in line 35.</t>
  </si>
  <si>
    <t>Common Stock balance will reflect the 13 month average of the balances, of which the 1st and 13th are found on page 112 lines 3.c 12.c, 16.c in the Form No. 1 as shown on lines 30-33 above</t>
  </si>
  <si>
    <t xml:space="preserve">If the company has short-term debt prior to issuing long-term debt, line 34 will reflect the outstanding short-term debt and cost rates only unitl long term debt is issued, as calculated below: </t>
  </si>
  <si>
    <t>Short-term debt outstanding</t>
  </si>
  <si>
    <t>The 13 month average of the balances consistent with "S", the average short-term debt balance pursuant to Part 101 of the Commission's Regulations, Electric Plant Instruction 17</t>
  </si>
  <si>
    <t>Short-term debt cost</t>
  </si>
  <si>
    <t>The interest "s", the short-term debt interest rate pursuant to Part 101 of the Commission's Regulations, Electric Plant Instruction 17</t>
  </si>
  <si>
    <t>Attachment 8a - Accumulated Deferred Income Taxes (ADIT) Average Worksheet (Projection)</t>
  </si>
  <si>
    <t>(Sum Col. B, C &amp; D)</t>
  </si>
  <si>
    <t>Ln</t>
  </si>
  <si>
    <t>Item</t>
  </si>
  <si>
    <t>Transmission Related</t>
  </si>
  <si>
    <t>Plant Related</t>
  </si>
  <si>
    <t>Labor Related</t>
  </si>
  <si>
    <t>ADIT-282 (enter negative)</t>
  </si>
  <si>
    <t>Line 12</t>
  </si>
  <si>
    <t>ADIT-283 (enter negative)</t>
  </si>
  <si>
    <t>Line 16</t>
  </si>
  <si>
    <t>ADIT-190</t>
  </si>
  <si>
    <t xml:space="preserve">Subtotal  </t>
  </si>
  <si>
    <t>Sum of Lines 1-3</t>
  </si>
  <si>
    <t xml:space="preserve">Wages &amp; Salary Allocator </t>
  </si>
  <si>
    <t>Attachment-O Page 4 line 16</t>
  </si>
  <si>
    <t>Net Plant Allocator</t>
  </si>
  <si>
    <t>Attachment-O Page 2 line 6</t>
  </si>
  <si>
    <t>Total Plant Allocator</t>
  </si>
  <si>
    <t>Projected ADIT Total</t>
  </si>
  <si>
    <t>Enter as negative Attachment-O, page 2, line 22</t>
  </si>
  <si>
    <t>Beginning Balance &amp; Monthly Changes</t>
  </si>
  <si>
    <t>Year</t>
  </si>
  <si>
    <t xml:space="preserve">Balance </t>
  </si>
  <si>
    <t>ADIT-282</t>
  </si>
  <si>
    <t>Balance-BOY (Attach 8c, Line 30)</t>
  </si>
  <si>
    <t>EOY (Attach 8d, Line 30 less Line 26)</t>
  </si>
  <si>
    <t>Balance-EOY Prorated (Attach 8b, Line 14)</t>
  </si>
  <si>
    <t>ADIT 282-Total (Lines 10+11)</t>
  </si>
  <si>
    <t>ADIT-283</t>
  </si>
  <si>
    <t>Balance-BOY (Attach 8c, Line 44)</t>
  </si>
  <si>
    <t>EOY (Attach 8d, Line 44 less Line 40)</t>
  </si>
  <si>
    <t>EOY Prorated (Attach 8b, Line 28)</t>
  </si>
  <si>
    <t>ADIT 283-Total  (Lines 14+15)</t>
  </si>
  <si>
    <t>Balance-BOY (Attach 8c, Line 18)</t>
  </si>
  <si>
    <t>EOY (Attach 8d, Line 18 less Line 14)</t>
  </si>
  <si>
    <t>EOY Prorated (Attach 8b, Line 42)</t>
  </si>
  <si>
    <t>ADIT 190-Total (Lines 18+19)</t>
  </si>
  <si>
    <t>Attachment 8b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</si>
  <si>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</si>
  <si>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</si>
  <si>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</si>
  <si>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</si>
  <si>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</si>
  <si>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</si>
  <si>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8c, Line 30)</t>
  </si>
  <si>
    <t>Increment</t>
  </si>
  <si>
    <t>ADIT 282-Prorated EOY Balance</t>
  </si>
  <si>
    <r>
      <t>ADIT-283-Proration-</t>
    </r>
    <r>
      <rPr>
        <b/>
        <sz val="12"/>
        <rFont val="Arial Narrow"/>
        <family val="2"/>
      </rPr>
      <t>Note B</t>
    </r>
  </si>
  <si>
    <t>Balance (Attach 8c, Line 44)</t>
  </si>
  <si>
    <t>ADIT 283-Prorated EOY Balance</t>
  </si>
  <si>
    <r>
      <t>ADIT-190-Proration-</t>
    </r>
    <r>
      <rPr>
        <b/>
        <sz val="12"/>
        <rFont val="Arial Narrow"/>
        <family val="2"/>
      </rPr>
      <t>Note C</t>
    </r>
  </si>
  <si>
    <t>Balance (Attach 8c, Line 18)</t>
  </si>
  <si>
    <t>ADIT 190-Prorated EOY Balance</t>
  </si>
  <si>
    <t>Note 1</t>
  </si>
  <si>
    <t>Uses a 365 day calendar year.</t>
  </si>
  <si>
    <t>Note 2</t>
  </si>
  <si>
    <t>Projected end of year ADIT must be based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</si>
  <si>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</si>
  <si>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8c and 8d.</t>
  </si>
  <si>
    <r>
      <t xml:space="preserve">Only amounts in ADIT-190 related to net operating loss </t>
    </r>
    <r>
      <rPr>
        <strike/>
        <sz val="12"/>
        <rFont val="Arial Narrow"/>
        <family val="2"/>
      </rPr>
      <t>NOL</t>
    </r>
    <r>
      <rPr>
        <sz val="12"/>
        <rFont val="Arial Narrow"/>
        <family val="2"/>
      </rPr>
      <t xml:space="preserve"> carryforwards, if applicable, are subject to proration.  See Line 18 in Attach 8c and 8d.</t>
    </r>
  </si>
  <si>
    <t>Page 1 of  2</t>
  </si>
  <si>
    <t>Attachment 10</t>
  </si>
  <si>
    <t>Income Tax Allowance</t>
  </si>
  <si>
    <t>Calculation of Effective Tax Rate</t>
  </si>
  <si>
    <t>(7)</t>
  </si>
  <si>
    <t>(8)</t>
  </si>
  <si>
    <t>(9)</t>
  </si>
  <si>
    <t>(10)</t>
  </si>
  <si>
    <t>(11)</t>
  </si>
  <si>
    <t>(12)</t>
  </si>
  <si>
    <t>(13)</t>
  </si>
  <si>
    <t>Description</t>
  </si>
  <si>
    <t>Corporations - Including C Corps</t>
  </si>
  <si>
    <t>S Corps, PTEs</t>
  </si>
  <si>
    <t>Individuals (including foreign), estates &amp; trusts</t>
  </si>
  <si>
    <t>Mutual funds</t>
  </si>
  <si>
    <t>Trusts</t>
  </si>
  <si>
    <t>UBTI entities - pension funds, IRA, Keogh Plans</t>
  </si>
  <si>
    <t>Tax Exempt Entities</t>
  </si>
  <si>
    <r>
      <t xml:space="preserve">Weighted Average Income Tax Rate 
</t>
    </r>
    <r>
      <rPr>
        <sz val="10"/>
        <color rgb="FF000000"/>
        <rFont val="Times New Roman"/>
        <family val="1"/>
      </rPr>
      <t>(Sum Cols. 5-11)</t>
    </r>
  </si>
  <si>
    <r>
      <t xml:space="preserve">Total 
</t>
    </r>
    <r>
      <rPr>
        <sz val="10"/>
        <color rgb="FF000000"/>
        <rFont val="Times New Roman"/>
        <family val="1"/>
      </rPr>
      <t>(Sum Cols. 5-11)</t>
    </r>
  </si>
  <si>
    <t>FIT = Weighted Marginal Federal Income Tax Rate</t>
  </si>
  <si>
    <t>Note A</t>
  </si>
  <si>
    <t>Partners with Actual or Potential Income Tax Liability</t>
  </si>
  <si>
    <t>Note C</t>
  </si>
  <si>
    <t xml:space="preserve"> (Col. 13, Lines 25 - 31)</t>
  </si>
  <si>
    <t>Weighted Average Federal Income Tax Rate</t>
  </si>
  <si>
    <t>SIT = Weighted Marginal State Income Tax Rate</t>
  </si>
  <si>
    <t>Weighted Average State Income Tax Rate</t>
  </si>
  <si>
    <t>p = Weighted Average State Income Tax Rate Value of Federal Tax Deductibility</t>
  </si>
  <si>
    <t>(Page 2, Col. 56, Line 6 )</t>
  </si>
  <si>
    <t>Weighted Average X</t>
  </si>
  <si>
    <t>Projected Distributive Share of Income from Transmission Investment</t>
  </si>
  <si>
    <t xml:space="preserve"> (Col. 10, Lines 37 - 43)</t>
  </si>
  <si>
    <r>
      <rPr>
        <b/>
        <sz val="10"/>
        <color rgb="FF000000"/>
        <rFont val="Times New Roman"/>
        <family val="1"/>
      </rPr>
      <t>Income Tax Allowance</t>
    </r>
    <r>
      <rPr>
        <sz val="10"/>
        <color rgb="FF000000"/>
        <rFont val="Times New Roman"/>
        <family val="1"/>
      </rPr>
      <t xml:space="preserve"> (ITA)</t>
    </r>
  </si>
  <si>
    <t>Note D</t>
  </si>
  <si>
    <r>
      <rPr>
        <b/>
        <sz val="10"/>
        <color rgb="FF000000"/>
        <rFont val="Times New Roman"/>
        <family val="1"/>
      </rPr>
      <t>Composite Income Tax Rate</t>
    </r>
    <r>
      <rPr>
        <sz val="10"/>
        <color rgb="FF000000"/>
        <rFont val="Times New Roman"/>
        <family val="1"/>
      </rPr>
      <t xml:space="preserve"> [T=SIT * (1-FIT) + FIT - (p * FIT)]</t>
    </r>
  </si>
  <si>
    <t>Private Equity (PE) Investment Ownership of GridLiance Heartland LLC (GLH)</t>
  </si>
  <si>
    <t>Note F</t>
  </si>
  <si>
    <t>Ownership of Funds by FERC Categories of Investors</t>
  </si>
  <si>
    <t>BCP VI</t>
  </si>
  <si>
    <t>BEP II/II.F</t>
  </si>
  <si>
    <t>BCP VI SBS</t>
  </si>
  <si>
    <t>BEP II SBS</t>
  </si>
  <si>
    <t>BTAS</t>
  </si>
  <si>
    <t>Weighted Average PE Ownership of GLH by FERC Categories of Investors</t>
  </si>
  <si>
    <t>Weighted Average 
Private Equity Ownership</t>
  </si>
  <si>
    <t>Total Ownership</t>
  </si>
  <si>
    <t>Total Ownership Adjusted</t>
  </si>
  <si>
    <t>Corporations (feeder LP)</t>
  </si>
  <si>
    <t>Individuals</t>
  </si>
  <si>
    <t>Mutual Funds</t>
  </si>
  <si>
    <t>UBTI Entities</t>
  </si>
  <si>
    <t>Non-Taxpaying Entities</t>
  </si>
  <si>
    <t>Total Private Equity Ownership (Note E)</t>
  </si>
  <si>
    <t>Separate Individual Ownership (Note F)</t>
  </si>
  <si>
    <t xml:space="preserve">Represents the weighted average federal or state tax rate for each category of partners.  Support to be provided for the use of any marginal federal income tax rate that differs from any </t>
  </si>
  <si>
    <t>applicable presumptive marginal federal income tax rates that have been adopted by the Commission.</t>
  </si>
  <si>
    <t>From Page 2 below.</t>
  </si>
  <si>
    <t>Calculation of ownership by category of investor.</t>
  </si>
  <si>
    <t>Income Tax Allowance (ITA) equals one less the ownership percentage of tax exempt entities and is based upon the Commission's order in Docket Nos. ER18-2342, EL19-29, and ER19-2488.</t>
  </si>
  <si>
    <t>One (1) minus Separate Individual Ownership (Line 45).</t>
  </si>
  <si>
    <t>Based on GLH records.</t>
  </si>
  <si>
    <t>(6)</t>
  </si>
  <si>
    <t>State</t>
  </si>
  <si>
    <r>
      <t xml:space="preserve">Apportionment </t>
    </r>
    <r>
      <rPr>
        <b/>
        <i/>
        <sz val="10"/>
        <color rgb="FF000000"/>
        <rFont val="Times New Roman"/>
        <family val="1"/>
      </rPr>
      <t xml:space="preserve">
</t>
    </r>
    <r>
      <rPr>
        <sz val="10"/>
        <color rgb="FF000000"/>
        <rFont val="Times New Roman"/>
        <family val="1"/>
      </rPr>
      <t>based on situs gross plant</t>
    </r>
  </si>
  <si>
    <t>State Income Tax Rate</t>
  </si>
  <si>
    <t>Percent Federal Taxes Deductible</t>
  </si>
  <si>
    <r>
      <t>Weighted Rate (</t>
    </r>
    <r>
      <rPr>
        <sz val="10"/>
        <color rgb="FF000000"/>
        <rFont val="Times New Roman"/>
        <family val="1"/>
      </rPr>
      <t>Col. 2 * Col. 3)</t>
    </r>
  </si>
  <si>
    <r>
      <t xml:space="preserve">Weighted Rate for Impact of Federal Tax Deductibility
</t>
    </r>
    <r>
      <rPr>
        <sz val="10"/>
        <color rgb="FF000000"/>
        <rFont val="Times New Roman"/>
        <family val="1"/>
      </rPr>
      <t>(Col. 2 * Col. 4)</t>
    </r>
  </si>
  <si>
    <t>Illinois</t>
  </si>
  <si>
    <t>Kentucky</t>
  </si>
  <si>
    <t>State 3</t>
  </si>
  <si>
    <t>State 4</t>
  </si>
  <si>
    <t>State 5</t>
  </si>
  <si>
    <t>Total Weighted Average</t>
  </si>
  <si>
    <t>Attachment 9C (Note 3)</t>
  </si>
  <si>
    <t>Page 1</t>
  </si>
  <si>
    <t>Non-MISO Project True-Up</t>
  </si>
  <si>
    <t>Annual True-Up Calculation</t>
  </si>
  <si>
    <t xml:space="preserve">Net </t>
  </si>
  <si>
    <t>MTEP</t>
  </si>
  <si>
    <t>Adjusted</t>
  </si>
  <si>
    <t>Under/(Over)</t>
  </si>
  <si>
    <t>Interest</t>
  </si>
  <si>
    <t>Total True-Up</t>
  </si>
  <si>
    <t>Project</t>
  </si>
  <si>
    <t>Net Revenue</t>
  </si>
  <si>
    <t>Collection</t>
  </si>
  <si>
    <t>Income</t>
  </si>
  <si>
    <t>Adjustment</t>
  </si>
  <si>
    <t>Number</t>
  </si>
  <si>
    <t>Project Name</t>
  </si>
  <si>
    <r>
      <t>Requirement</t>
    </r>
    <r>
      <rPr>
        <vertAlign val="superscript"/>
        <sz val="10"/>
        <color theme="1"/>
        <rFont val="Times New Roman"/>
        <family val="1"/>
      </rPr>
      <t>1</t>
    </r>
  </si>
  <si>
    <r>
      <t>Revenue Received</t>
    </r>
    <r>
      <rPr>
        <vertAlign val="superscript"/>
        <sz val="10"/>
        <color theme="1"/>
        <rFont val="Times New Roman"/>
        <family val="1"/>
      </rPr>
      <t>2</t>
    </r>
  </si>
  <si>
    <t>(C-D)</t>
  </si>
  <si>
    <t>(Expense)</t>
  </si>
  <si>
    <t>(E + F)</t>
  </si>
  <si>
    <t>2b</t>
  </si>
  <si>
    <t>2c</t>
  </si>
  <si>
    <t>2d</t>
  </si>
  <si>
    <t>1) From Attachment 9A-GLH and Attachment 9B</t>
  </si>
  <si>
    <t>2) The ‘revenue received’ is the total amount of revenue received by GLH in the True-Up Year from Attachment 9A, Line 36, page 4 of 5 of Attachment 9A-GLH.  This includes only Non-MISO amounts.</t>
  </si>
  <si>
    <t>3) The Attachment 9C-Non-MISO Project True-Up is the actual True-Up calculation for Non-MISO amounts.</t>
  </si>
  <si>
    <t>For each Non-MISO project or Attachment 9A-GLH, the utility will populate the formula rate with the inputs for the True-Up Year.  The revenue requirements, based on actual operating results for the True-Up Year, associated with the projects and Attachment 9A-GLH and Attachment 9B will then be entered in Col. (C) above.  Column (D) contains the actual revenues received associated with Attachment 9A-GLH not paid by MISO to the utility during the True-Up Year.  Col. (E) is the Net Under/(Over) Collection where  Col. (D) is subtracted from Col. (C).   Column (F), line 2 is the interest calculated in accordance with Attachment O-GLH Annual True-Up, Information Exchange and Challenge Procedures.  Column (F), lines 2x contain the interest amounts calculated in column (J) of the Annual Attachment GG True-Up Calculation and the Annual Attachment MM True-Up Calculation.  Col. (G) is the sum of the Net Under/(Over) Collection in Col. (E) and the interest in Col. (F).  This includes only Non-MISO amounts.</t>
  </si>
  <si>
    <t>FERC Refund Interest Rate</t>
  </si>
  <si>
    <r>
      <t>Interest Rate</t>
    </r>
    <r>
      <rPr>
        <sz val="10"/>
        <rFont val="Times New Roman"/>
        <family val="1"/>
      </rPr>
      <t>:</t>
    </r>
  </si>
  <si>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</si>
  <si>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</si>
  <si>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</si>
  <si>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</si>
  <si>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</si>
  <si>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</si>
  <si>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</si>
  <si>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</si>
  <si>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</si>
  <si>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</si>
  <si>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O-GLH</t>
  </si>
  <si>
    <t>Rate Formula Template</t>
  </si>
  <si>
    <t>Adjustment to make Line 6b equal to zero if there is no revenue requirement associated with Schedules 7, 8 &amp; 9</t>
  </si>
  <si>
    <t>Attachment O-GLH True-up Adjustment with Interest</t>
  </si>
  <si>
    <t>Attachment 3, Page 1, Line 3, Col. (G)</t>
  </si>
  <si>
    <t xml:space="preserve">DIVISOR </t>
  </si>
  <si>
    <t xml:space="preserve">PLUS Incentives on Attachment 1 for projects other than those included in </t>
  </si>
  <si>
    <t>Attachment 1, line 18</t>
  </si>
  <si>
    <t xml:space="preserve">REV. REQUIREMENT TO BE COLLECTED UNDER ATTACHMENT O </t>
  </si>
  <si>
    <t xml:space="preserve">Less Transmission plant excluded from ISO rates  </t>
  </si>
  <si>
    <t xml:space="preserve">Less Transmission plant included in OATT Ancillary Services  </t>
  </si>
  <si>
    <t>Transmission plant included in ISO rates</t>
  </si>
  <si>
    <t>(Line 1 minus Lines 2 &amp; 3)</t>
  </si>
  <si>
    <t xml:space="preserve">Percentage of Transmission plant included in ISO Rates  </t>
  </si>
  <si>
    <t xml:space="preserve">  Total  (sum lines 12-15) [ If there are no labor dollars, input $1 on line 13 which is then multiplied by the TP allocator on line 13)</t>
  </si>
  <si>
    <t>Income Taxes</t>
  </si>
  <si>
    <t>% Ownership that has Actual or Potential Income Tax Liability</t>
  </si>
  <si>
    <t>Total Income Taxes Allocated</t>
  </si>
  <si>
    <t>Ownership (input in Col. (b) the % ownership with Income Tax Liability)</t>
  </si>
  <si>
    <t>39(b) = return from Page 3, Line 28, Col 3 times % in Line 38, Col b 
39(e) = return from Page 3, Line 28, Col 5 times % in Line 38, Col b</t>
  </si>
  <si>
    <t>Income Tax    Page 3, line 22 [CIT=(T/1-T) * (1-(WCLTD/R))] x Line 39</t>
  </si>
  <si>
    <t>Peak as would be reported on Page 401, Column d of Form 1 at the time of the applicable pricing zone coincident monthly peaks.</t>
  </si>
  <si>
    <t>Labeled LF, LU, IF, IU on Pages 310-311 of Form 1 at the time of the applicable pricing zone coincident monthly peaks.</t>
  </si>
  <si>
    <t>Labeled LF on Page 328 of Form 1 at the time of the applicable pricing zone coincident monthly peaks.</t>
  </si>
  <si>
    <t xml:space="preserve">The FERC's annual charges for the year assessed the Transmission Owner for service under this formula rate. </t>
  </si>
  <si>
    <t>Removes transmission plant determined by Commission order to be state-jurisdictional according to the seven-factor test (until Form 1 balances are adjusted to reflect application of seven-factor test) or removes transmission plant that is not under MISO functional control.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</si>
  <si>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</si>
  <si>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r>
      <t>ROE will be supported in the original filing and no change in ROE may be made absent a filing with FERC.  A 50 basis point adder for RTO participation may be added to the ROE up to the upper end of the zone of reasonableness established by FERC</t>
    </r>
    <r>
      <rPr>
        <b/>
        <sz val="10"/>
        <color rgb="FFFF0000"/>
        <rFont val="Times New Roman"/>
        <family val="1"/>
      </rPr>
      <t>.</t>
    </r>
  </si>
  <si>
    <t>Includes income related only to transmission facilities, such as pole attachments, rentals and special use, less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</si>
  <si>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 This line will exclude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</si>
  <si>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</si>
  <si>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Account 456.1 entry shall be the annual total of the quarterly values reported at Form 1, Page 330.x.n., less any amounts related to Non-MISO assets or services.  For clarification, GLH commits to provided a workpaper itemizing each revenue source in order for interested parties to determine which revenues are related to MISO assets and services versus Non-MISO assets and services.  Non-MISO assets are transmission assets not under MISO functional control.</t>
  </si>
  <si>
    <t xml:space="preserve">Includes scheduling, system control and dispatch costs recorded in Accounts 561.1 through 561.3 and which are recovered in Schedule 1 or Schedule 24 rates.  Also excludes Account 561.4 and Account 561.8.  </t>
  </si>
  <si>
    <r>
      <t>Pursuant to Attachment GG of the MISO Tariff, removes dollar amount of the revenue requirements calculated pursuant to Attachment GG</t>
    </r>
    <r>
      <rPr>
        <sz val="10"/>
        <color rgb="FFFF0000"/>
        <rFont val="Times New Roman"/>
        <family val="1"/>
      </rPr>
      <t>.</t>
    </r>
  </si>
  <si>
    <t>Removes from revenue credits revenue that are distributed pursuant to Schedules associated with Attachment GG of the MISO Tariff, since the Transmission Owner's Attachment O revenue requirements have already been reduced by the Attachment GG revenue requirements.</t>
  </si>
  <si>
    <t>Pursuant to Attachment MM of the MISO Tariff, removes dollar amount of the revenue requirements calculated pursuant to Attachment MM.</t>
  </si>
  <si>
    <t>Removes from revenue credits revenues that are distributed pursuant to Schedules associated with Attachment MM of the MISO Tariff, since the  Transmission Owner's Attachment O revenue requirements have already been reduced by the Attachment MM revenue requirements.</t>
  </si>
  <si>
    <t>Schedule 10-FERC charges should not be included in O&amp;M recovered under this Attachment O.</t>
  </si>
  <si>
    <t xml:space="preserve">DA in the allocator Column means that the cost is directly assigned to transmission consistent with the attached workpapers. </t>
  </si>
  <si>
    <t xml:space="preserve">Round to zero if amount shown is not zero and there is no revenue requirement to recover under Schedules 7, 8, and 9 of the MISO OATT.  </t>
  </si>
  <si>
    <t>Includes revenue from electric operations properly credited to MISO customers and not includible in other accounts, such as compensation for minor or incidental services provided for others. GLH commits to provide a workpaper itemizing each revenue source for interested parties to determine which revenues should be reflected herein.</t>
  </si>
  <si>
    <t>Attachment 1 (Note J)</t>
  </si>
  <si>
    <t>Project Revenue Requirement Worksheet</t>
  </si>
  <si>
    <t>To be completed in conjunction with Attachment O - GLH.</t>
  </si>
  <si>
    <t>(inputs from Attachment O - GLH are rounded to whole dollars)</t>
  </si>
  <si>
    <t>Attach O, p 2, line 2 col 5 (Note A)</t>
  </si>
  <si>
    <t>Attach O, p 2, line 8 col 5</t>
  </si>
  <si>
    <t>Attach O, p 2, lines 18a, 23a  &amp; 23b (Note B)</t>
  </si>
  <si>
    <t>Attach O, p 3, line 8 col 5</t>
  </si>
  <si>
    <t>Attach O, p 3, line 1 col 5</t>
  </si>
  <si>
    <t>Less: Ancillary Service Expenses included in above</t>
  </si>
  <si>
    <t>Attach O, p 3, line 1a col 5</t>
  </si>
  <si>
    <t>Attach O, p 3, line 2 col 5, if any</t>
  </si>
  <si>
    <t>Attach O, p 3, line 7b col 5, if any</t>
  </si>
  <si>
    <t>Attach O, p 3, lines 10 &amp; 11, col 5 (Note G)</t>
  </si>
  <si>
    <t>Attach O, p 3, line 20 col 5</t>
  </si>
  <si>
    <t>Attach O, p 3, line 27 col 5</t>
  </si>
  <si>
    <t>Attach O, p 3, line 28 col 5</t>
  </si>
  <si>
    <t>Competitive Bid Concession</t>
  </si>
  <si>
    <t>Rev. Req. Adj For Attachment O</t>
  </si>
  <si>
    <t>Incentives from Projects other than those in Attachment GG- GLH and Attachment MM_GLH</t>
  </si>
  <si>
    <t>Gross Transmission Plant that is included on page 2 line 2 of Attachment O-GLH (see line 1 col (3)).</t>
  </si>
  <si>
    <t>Project Depreciation Expense is the actual value booked in Attachment O-GLH, Page 3, line 9 that is associated with the specified project.  Project Depreciation Expense includes the amortization of Abandoned Plant.  However, if FERC grants accelerated depreciation for a project the depreciation rate authorized by FERC will be used instead of the rates shown on Attachment 6 for all other projects. Line 15, Col. (13). Includes project related regulatory assets.</t>
  </si>
  <si>
    <t>Project True-Up Adjustment is calculated on the Attachment GG - GLH and Attachment MM - GLH True-Up Template (see col. K). For projects other than Attachment GG or MM, the Project True-up Adjustment is calculated on Attachment 3.</t>
  </si>
  <si>
    <t>A Competitive Bid Concession reflects any commitment by GLH to MISO to charge less than GLH’s Ceiling Rate, regardless of how that Competitive Bid Concession is calculated.  For each project, the amount of the Competitive Bid Concession will be zero or a reduction to the annual transmission revenue requirement in one or more years.   GLH will include, as part of its Annual Update, (i) an explanation of the basis for any Competitive Bid Concession, (ii) a calculation of the Competitive Bid Concession, and (iii) any documentation needed to support the calculation of the Competitive Bid Concession.  The amount in Column 17  above equals the amount by which the annual revenue requirement is reduced from the ceiling rate  (see line 15 col. (17)).</t>
  </si>
  <si>
    <t>This Attachment 1 is a reconciliation or summary of Attachment GG - GLH and Attachment MM - GLH.  The actual calculations for Attachment GG and MM projects used in developing rates will be those calculated in Attachment GG - GLH and Attachment MM - GLH.  Attachment 1 may also consist of other projects, such as those which have received FERC approval for an incentive adder but are not Attachment GG or MM projects.  The incentives associated with those projects will be added to the Attachment O-GLH revenue requirement on Attachment O, page 3, line 30b.</t>
  </si>
  <si>
    <t>Attachment 2</t>
  </si>
  <si>
    <t>Rate Base</t>
  </si>
  <si>
    <t xml:space="preserve">Attachment O-GLH, page 2, line 30, Col.5 </t>
  </si>
  <si>
    <t>100 Basis Point Incentive Return</t>
  </si>
  <si>
    <t>Attachment O-GLH, Notes Y and EE</t>
  </si>
  <si>
    <t xml:space="preserve">  Preferred Stock  </t>
  </si>
  <si>
    <t xml:space="preserve">  Common Stock  (Note A)</t>
  </si>
  <si>
    <t>Cost = Attachment O, Line 29, Cost plus .01</t>
  </si>
  <si>
    <t>Attachment O-GLH, Notes O, Y and EE</t>
  </si>
  <si>
    <t>Sum Lines 3 to 5</t>
  </si>
  <si>
    <t xml:space="preserve">100 Basis Point Incentive Return multiplied by Rate Base </t>
  </si>
  <si>
    <t>Line 1 * Line 6, Col. I</t>
  </si>
  <si>
    <t>Attachment O-GLH, Page 3, Line 21</t>
  </si>
  <si>
    <t xml:space="preserve">      WCLTD = Line 3</t>
  </si>
  <si>
    <t xml:space="preserve">       and FIT, SIT &amp; p are as given in footnote K.</t>
  </si>
  <si>
    <t>Amortized Investment Tax Credit (266.8f) (enter negative)</t>
  </si>
  <si>
    <t>Excess Deferred Income Taxes (enter negative)</t>
  </si>
  <si>
    <t>Tax Effect of Permanent Differences  (Note B)</t>
  </si>
  <si>
    <t>Line 10 * Line 7</t>
  </si>
  <si>
    <t>Line 13 * Line 14</t>
  </si>
  <si>
    <t>Line 13 * Line 15</t>
  </si>
  <si>
    <t>Line 13 * Line 16</t>
  </si>
  <si>
    <t>Sum Lines 17 - 20</t>
  </si>
  <si>
    <t>Return and Income Taxes with 100 basis point increase in ROE</t>
  </si>
  <si>
    <t xml:space="preserve">Return    </t>
  </si>
  <si>
    <t>Attach. O, Page 3, Line 28, Col. 5</t>
  </si>
  <si>
    <t xml:space="preserve">Income Tax  </t>
  </si>
  <si>
    <t>Attach. O, Page 3, Line 27, Col. 5</t>
  </si>
  <si>
    <t>Return and Income Taxes without 100 basis point increase in ROE</t>
  </si>
  <si>
    <t>Sum Lines 23 and 24</t>
  </si>
  <si>
    <t>Incremental Return and Income Taxes for 100 basis point increase in ROE</t>
  </si>
  <si>
    <t>Line 22 less Line 25</t>
  </si>
  <si>
    <t>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</si>
  <si>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</si>
  <si>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</si>
  <si>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</si>
  <si>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</si>
  <si>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ROE incentive must be approved by the Commission.</t>
  </si>
  <si>
    <t>For example, if the Commission were to grant a 137 basis point ROE incentive, the increase in return and taxes for a 100 basis point</t>
  </si>
  <si>
    <t>increase in ROE would be multiplied by 1.37 on Attachment 1, column 16.</t>
  </si>
  <si>
    <t>The Tax Effect of Permanent Differences captures the differences in the income taxes due under the Federal and State calculations and the income taxes calculated</t>
  </si>
  <si>
    <t xml:space="preserve"> in Attachment O-GLH that are not the result of a timing difference.</t>
  </si>
  <si>
    <t>Attachment 3 (Note 3)</t>
  </si>
  <si>
    <t>Project True-Up</t>
  </si>
  <si>
    <t>1) From Attachment GG - GLH True-Up Calculation, Column G and Attachment MM - GLH True-Up Calculation, Column G, and Attachment O-GLH.</t>
  </si>
  <si>
    <t>2) The "revenue received" is the total amount of revenue distributed to GLH in the True-Up Year. Attachment O, Lines 36a -37, page 4 of 5 of Attachment O - GLH</t>
  </si>
  <si>
    <t>3) This Attachment 3 is a summary of the Attachment GG -GLH True-Up Calculation and the Attachment MM - GLH True-Up Calculation.  The Attachment O - GLH True-Up is the actual True-Up calculation.</t>
  </si>
  <si>
    <t>For each project or Attachment O-GLH, the utility will populate the formula rate with the inputs for the True-Up Year.  The revenue requirements, based on actual operating results for the True-Up Year, associated with the projects and Attachment O-GLH will then be entered in Col. (C) above.  Column (D) contains the actual revenues received associated with Attachment GG-GLH, Attachment MM-GLH and Attachment O-GLH paid by MISO to the utility during the True-Up Year.  Col. (E) is the Net Under/(Over) Collection where  Col. (D) is subtracted from Col. (C).   Column (F), line 2 is the interest calculated in accordance with Attachment O-GLH Annual True-Up, Information Exchange and Challenge Procedures.  Column (F), lines 2x contain the interest amounts calculated in column (J) of the Annual Attachment GG True-Up Calculation and the Annual Attachment MM True-Up Calculation.  Col. (G) is the sum of the Net Under/(Over) Collection in Col. (E) and the interest in Col. (F).</t>
  </si>
  <si>
    <t>Attachment 6</t>
  </si>
  <si>
    <t>Depreciation Rates</t>
  </si>
  <si>
    <t>FERC ACCOUNT</t>
  </si>
  <si>
    <t>DESCRIPTION</t>
  </si>
  <si>
    <t>RATE PERCENT</t>
  </si>
  <si>
    <t>TRANSMISSION</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</si>
  <si>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</si>
  <si>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</si>
  <si>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</si>
  <si>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</si>
  <si>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</si>
  <si>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</si>
  <si>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</si>
  <si>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</si>
  <si>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</si>
  <si>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</si>
  <si>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</si>
  <si>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</si>
  <si>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</si>
  <si>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</si>
  <si>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</si>
  <si>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</si>
  <si>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</si>
  <si>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</si>
  <si>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</si>
  <si>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</si>
  <si>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</si>
  <si>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</si>
  <si>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</si>
  <si>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</si>
  <si>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</si>
  <si>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</si>
  <si>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</si>
  <si>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</si>
  <si>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</si>
  <si>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GLH’s depreciation and amortization rates may not be changed absent a section </t>
  </si>
  <si>
    <t>205 or 206 filing</t>
  </si>
  <si>
    <t>Attachment 7</t>
  </si>
  <si>
    <t>PBOPs</t>
  </si>
  <si>
    <t>Calculation of PBOP Expenses</t>
  </si>
  <si>
    <t>Year Ended December 31, ____</t>
  </si>
  <si>
    <t xml:space="preserve">Total PBOP expenses </t>
  </si>
  <si>
    <t>Labor dollars</t>
  </si>
  <si>
    <t>Cost per labor dollar</t>
  </si>
  <si>
    <t>Line 2 divided by line 3</t>
  </si>
  <si>
    <t>labor (labor not capitalized) current year</t>
  </si>
  <si>
    <t>PBOP Expense for current year</t>
  </si>
  <si>
    <t>Line 4 times line 5</t>
  </si>
  <si>
    <t xml:space="preserve">Lines 2 and 3 cannot change absent approval or acceptance by FERC in a separate proceeding. </t>
  </si>
  <si>
    <t>PBOP amount included in Company's O&amp;M and A&amp;G expenses in Form No. 1</t>
  </si>
  <si>
    <t>Amounts will be zero until changed pursuant to a FERC order.</t>
  </si>
  <si>
    <t>The sum of all labor included in accounts 560 to 579 and 920 to 935</t>
  </si>
  <si>
    <t>Attachment 8c - Accumulated Deferred Income Taxes (ADIT) Worksheet (Beginning of Year)</t>
  </si>
  <si>
    <t>Line 30</t>
  </si>
  <si>
    <t>Line 44</t>
  </si>
  <si>
    <t>Line 18</t>
  </si>
  <si>
    <t>Subtotal</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</si>
  <si>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</si>
  <si>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</si>
  <si>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</si>
  <si>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</si>
  <si>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Plant related</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</si>
  <si>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</si>
  <si>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</si>
  <si>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</si>
  <si>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</si>
  <si>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</si>
  <si>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</si>
  <si>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</si>
  <si>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</si>
  <si>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</si>
  <si>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</si>
  <si>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</si>
  <si>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</si>
  <si>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Plant Items</t>
  </si>
  <si>
    <t xml:space="preserve">Subtotal - p274.b </t>
  </si>
  <si>
    <t>Instructions for Account 282:</t>
  </si>
  <si>
    <t>ADIT- 283</t>
  </si>
  <si>
    <t>Depreciation Items</t>
  </si>
  <si>
    <t xml:space="preserve">Subtotal - p276.b  </t>
  </si>
  <si>
    <t>Instructions for Account 283:</t>
  </si>
  <si>
    <t>Attachment 8d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</si>
  <si>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</si>
  <si>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</si>
  <si>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</si>
  <si>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</si>
  <si>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8e - Accumulated Deferred Income Taxes (ADIT) Average Worksheet (True-Up)</t>
  </si>
  <si>
    <t>Total Plant &amp; Labor Related</t>
  </si>
  <si>
    <t>Line 20</t>
  </si>
  <si>
    <t>Wages &amp; Salary Allocator</t>
  </si>
  <si>
    <t>ADIT True-Up Total</t>
  </si>
  <si>
    <t>Balance-EOY (Attach 8d, Line 30 less Line 26)</t>
  </si>
  <si>
    <t>Balance-EOY-Prorated (Attach 8f, Line 14)</t>
  </si>
  <si>
    <t>Balance-EOY-Total (Lines 10+11)</t>
  </si>
  <si>
    <t>Balance-EOY (Attach 8d, Line 44 less Line 40)</t>
  </si>
  <si>
    <t>Balance-EOY-Prorated (Attach 8f, Line 28)</t>
  </si>
  <si>
    <t>Balance-EOY-Total (Lines 14+15)</t>
  </si>
  <si>
    <t>Balance-EOY (Attach 8d, Line 18 less Line 14)</t>
  </si>
  <si>
    <t>Balance-EOY-Prorated (Attach 8f, Line 42)</t>
  </si>
  <si>
    <t>Balance-EOY-Total (Lines 18+19)</t>
  </si>
  <si>
    <t>Attachment 8f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</si>
  <si>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</si>
  <si>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</si>
  <si>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</si>
  <si>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</si>
  <si>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  (h)-(e)</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</si>
  <si>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</si>
  <si>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</si>
  <si>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</si>
  <si>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</si>
  <si>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</si>
  <si>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r>
      <t>ADIT-283-Proration-</t>
    </r>
    <r>
      <rPr>
        <b/>
        <sz val="10"/>
        <rFont val="Arial Narrow"/>
        <family val="2"/>
      </rPr>
      <t>Note B</t>
    </r>
  </si>
  <si>
    <r>
      <t>ADIT-190-Proration-</t>
    </r>
    <r>
      <rPr>
        <b/>
        <sz val="10"/>
        <rFont val="Arial Narrow"/>
        <family val="2"/>
      </rPr>
      <t>Note C</t>
    </r>
  </si>
  <si>
    <t>Actual end of year ADIT must be based solely on enacted tax law.  No assumptions for future estimated changes in tax law may be forecasted.</t>
  </si>
  <si>
    <t>Only amounts in ADIT-190 related to net operating loss  carryforwards, if applicable, are subject to proration.  See Line 18 in Attach 8c and 8d.</t>
  </si>
  <si>
    <t>Attachment 10a</t>
  </si>
  <si>
    <t>Actual ownership</t>
  </si>
  <si>
    <t>For Informational Purposes Only</t>
  </si>
  <si>
    <t>Upon request, GridLiance Heartland will provide any relevant ownership agreements to support the ownership categories and associated inputs used to calculate GridLiance Heartland's income tax liability</t>
  </si>
  <si>
    <t xml:space="preserve">Upon request, GridLiance Heartland will provide supporting documents, including tax returns or, where the federal income tax rate is concerned, notice that GridLiance Heartland elected to take the 20 percent deduction available to pass-through entities.  </t>
  </si>
  <si>
    <t>State 1</t>
  </si>
  <si>
    <t>State 2</t>
  </si>
  <si>
    <t>For the 12 months ended 12/31/2020</t>
  </si>
  <si>
    <t>2019</t>
  </si>
  <si>
    <t>Corrected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</si>
</sst>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00000"/>
    <numFmt numFmtId="167" formatCode="&quot;$&quot;#,##0"/>
    <numFmt numFmtId="168" formatCode="0.0%"/>
    <numFmt numFmtId="169" formatCode="&quot;$&quot;#,##0.000"/>
    <numFmt numFmtId="170" formatCode="0.0000"/>
    <numFmt numFmtId="171" formatCode="0.000%"/>
    <numFmt numFmtId="172" formatCode="#,##0.0"/>
    <numFmt numFmtId="173" formatCode="_(* #,##0.0000_);_(* \(#,##0.0000\);_(* &quot;-&quot;??_);_(@_)"/>
    <numFmt numFmtId="174" formatCode="#,##0.0000"/>
    <numFmt numFmtId="175" formatCode="_(* #,##0.00000_);_(* \(#,##0.00000\);_(* &quot;-&quot;??_);_(@_)"/>
    <numFmt numFmtId="176" formatCode="_(* #,##0.0000000_);_(* \(#,##0.0000000\);_(* &quot;-&quot;??_);_(@_)"/>
    <numFmt numFmtId="177" formatCode="_(* #,##0.0_);_(* \(#,##0.0\);_(* &quot;-&quot;??_);_(@_)"/>
    <numFmt numFmtId="178" formatCode="#,##0.000"/>
    <numFmt numFmtId="179" formatCode="#,##0.00000"/>
    <numFmt numFmtId="180" formatCode="0_);\(0\)"/>
    <numFmt numFmtId="181" formatCode="&quot;$&quot;#,##0.0000"/>
    <numFmt numFmtId="182" formatCode="_(&quot;$&quot;* #,##0_);_(&quot;$&quot;* \(#,##0\);_(&quot;$&quot;* &quot;-&quot;??_);_(@_)"/>
    <numFmt numFmtId="183" formatCode="0.0000%"/>
    <numFmt numFmtId="184" formatCode="0.000000000000000%"/>
    <numFmt numFmtId="185" formatCode="0.00000%"/>
    <numFmt numFmtId="186" formatCode="0.00000000000000%"/>
    <numFmt numFmtId="187" formatCode="0.000000000000%"/>
  </numFmts>
  <fonts count="47">
    <font>
      <sz val="12"/>
      <name val="Arial MT"/>
      <family val="2"/>
    </font>
    <font>
      <sz val="11"/>
      <color theme="1"/>
      <name val="Calibri"/>
      <family val="2"/>
      <scheme val="minor"/>
    </font>
    <font>
      <sz val="11"/>
      <color theme="1"/>
      <name val="Calibri"/>
      <family val="2"/>
      <scheme val="minor"/>
    </font>
    <font>
      <sz val="10"/>
      <name val="Arial"/>
      <family val="2"/>
    </font>
    <font>
      <sz val="10"/>
      <name val="Times New Roman"/>
      <family val="1"/>
    </font>
    <font>
      <sz val="12"/>
      <name val="Arial MT"/>
      <family val="2"/>
    </font>
    <font>
      <sz val="10"/>
      <color rgb="FF0000FF"/>
      <name val="Times New Roman"/>
      <family val="1"/>
    </font>
    <font>
      <b/>
      <i/>
      <strike/>
      <sz val="10"/>
      <name val="Times New Roman"/>
      <family val="1"/>
    </font>
    <font>
      <sz val="12"/>
      <name val="Arial MT"/>
    </font>
    <font>
      <sz val="10"/>
      <color indexed="10"/>
      <name val="Times New Roman"/>
      <family val="1"/>
    </font>
    <font>
      <sz val="12"/>
      <name val="Times New Roman"/>
      <family val="1"/>
    </font>
    <font>
      <strike/>
      <sz val="10"/>
      <name val="Times New Roman"/>
      <family val="1"/>
    </font>
    <font>
      <b/>
      <sz val="10"/>
      <name val="Times New Roman"/>
      <family val="1"/>
    </font>
    <font>
      <sz val="10"/>
      <color indexed="40"/>
      <name val="Times New Roman"/>
      <family val="1"/>
    </font>
    <font>
      <u/>
      <sz val="10"/>
      <name val="Times New Roman"/>
      <family val="1"/>
    </font>
    <font>
      <strike/>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name val="Arial Narrow"/>
      <family val="2"/>
    </font>
    <font>
      <sz val="11"/>
      <name val="Times New Roman"/>
      <family val="1"/>
    </font>
    <font>
      <sz val="11"/>
      <color indexed="40"/>
      <name val="Times New Roman"/>
      <family val="1"/>
    </font>
    <font>
      <sz val="10"/>
      <color theme="1"/>
      <name val="Times New Roman"/>
      <family val="1"/>
    </font>
    <font>
      <b/>
      <strike/>
      <sz val="10"/>
      <color rgb="FFFF0000"/>
      <name val="Times New Roman"/>
      <family val="1"/>
    </font>
    <font>
      <b/>
      <u/>
      <sz val="10"/>
      <color rgb="FFFF0000"/>
      <name val="Times New Roman"/>
      <family val="1"/>
    </font>
    <font>
      <sz val="12"/>
      <name val="Arial Narrow"/>
      <family val="2"/>
    </font>
    <font>
      <sz val="12"/>
      <name val="Arial"/>
      <family val="2"/>
    </font>
    <font>
      <b/>
      <sz val="12"/>
      <name val="Arial Narrow"/>
      <family val="2"/>
    </font>
    <font>
      <sz val="14"/>
      <name val="Arial"/>
      <family val="2"/>
    </font>
    <font>
      <b/>
      <sz val="12"/>
      <name val="Arial"/>
      <family val="2"/>
    </font>
    <font>
      <sz val="10"/>
      <color rgb="FFFF0000"/>
      <name val="Arial Narrow"/>
      <family val="2"/>
    </font>
    <font>
      <b/>
      <sz val="10"/>
      <name val="Arial Narrow"/>
      <family val="2"/>
    </font>
    <font>
      <strike/>
      <sz val="12"/>
      <name val="Arial Narrow"/>
      <family val="2"/>
    </font>
    <font>
      <b/>
      <sz val="10"/>
      <color rgb="FF000000"/>
      <name val="Times New Roman"/>
      <family val="1"/>
    </font>
    <font>
      <sz val="10"/>
      <color rgb="FF000000"/>
      <name val="Times New Roman"/>
      <family val="1"/>
    </font>
    <font>
      <b/>
      <sz val="10"/>
      <color indexed="8"/>
      <name val="Times New Roman"/>
      <family val="1"/>
    </font>
    <font>
      <b/>
      <i/>
      <sz val="10"/>
      <color rgb="FF000000"/>
      <name val="Times New Roman"/>
      <family val="1"/>
    </font>
    <font>
      <vertAlign val="superscript"/>
      <sz val="10"/>
      <color theme="1"/>
      <name val="Times New Roman"/>
      <family val="1"/>
    </font>
    <font>
      <b/>
      <sz val="10"/>
      <color rgb="FFFF0000"/>
      <name val="Times New Roman"/>
      <family val="1"/>
    </font>
    <font>
      <sz val="10"/>
      <color rgb="FFFF0000"/>
      <name val="Times New Roman"/>
      <family val="1"/>
    </font>
    <font>
      <sz val="9"/>
      <name val="Helv"/>
      <family val="2"/>
    </font>
    <font>
      <u/>
      <sz val="11"/>
      <name val="Garamond"/>
      <family val="1"/>
    </font>
    <font>
      <sz val="11"/>
      <name val="Garamond"/>
      <family val="1"/>
    </font>
    <font>
      <b/>
      <sz val="11"/>
      <name val="Garamond"/>
      <family val="1"/>
    </font>
    <font>
      <b/>
      <u/>
      <sz val="10"/>
      <name val="Arial"/>
      <family val="2"/>
    </font>
    <font>
      <b/>
      <sz val="11"/>
      <name val="Arial"/>
      <family val="2"/>
    </font>
    <font>
      <b/>
      <sz val="10"/>
      <name val="Arial"/>
      <family val="2"/>
    </font>
  </fonts>
  <fills count="11">
    <fill>
      <patternFill patternType="none"/>
    </fill>
    <fill>
      <patternFill patternType="gray125"/>
    </fill>
    <fill>
      <patternFill patternType="solid">
        <fgColor indexed="43"/>
        <bgColor indexed="64"/>
      </patternFill>
    </fill>
    <fill>
      <patternFill patternType="solid">
        <fgColor rgb="FFFFC000"/>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00FF"/>
        <bgColor indexed="64"/>
      </patternFill>
    </fill>
    <fill>
      <patternFill patternType="solid">
        <fgColor rgb="FFFFFFCC"/>
        <bgColor rgb="FF000000"/>
      </patternFill>
    </fill>
    <fill>
      <patternFill patternType="solid">
        <fgColor rgb="FFFFFF99"/>
        <bgColor rgb="FF000000"/>
      </patternFill>
    </fill>
    <fill>
      <patternFill patternType="solid">
        <fgColor theme="4"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right/>
      <top/>
      <bottom style="double">
        <color auto="1"/>
      </bottom>
      <diagonal/>
    </border>
    <border>
      <left/>
      <right/>
      <top style="thin">
        <color auto="1"/>
      </top>
      <bottom style="double">
        <color auto="1"/>
      </bottom>
      <diagonal/>
    </border>
    <border>
      <left style="thin">
        <color auto="1"/>
      </left>
      <right style="thin">
        <color auto="1"/>
      </right>
      <top/>
      <bottom style="thin">
        <color auto="1"/>
      </bottom>
      <diagonal/>
    </border>
    <border>
      <left/>
      <right/>
      <top style="medium">
        <color auto="1"/>
      </top>
      <bottom style="double">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s>
  <cellStyleXfs count="44">
    <xf numFmtId="164" fontId="0"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0" fontId="3" fillId="0" borderId="0"/>
    <xf numFmtId="164" fontId="5" fillId="0" borderId="0" applyProtection="0"/>
    <xf numFmtId="0" fontId="3" fillId="0" borderId="0"/>
    <xf numFmtId="0" fontId="3" fillId="0" borderId="0"/>
    <xf numFmtId="0" fontId="3" fillId="0" borderId="0"/>
    <xf numFmtId="164" fontId="8" fillId="0" borderId="0" applyProtection="0"/>
    <xf numFmtId="164" fontId="8" fillId="0" borderId="0" applyProtection="0"/>
    <xf numFmtId="164" fontId="8" fillId="0" borderId="0" applyProtection="0"/>
    <xf numFmtId="164" fontId="8" fillId="0" borderId="0" applyProtection="0"/>
    <xf numFmtId="9" fontId="3" fillId="0" borderId="0" applyFont="0" applyFill="0" applyBorder="0" applyAlignment="0" applyProtection="0"/>
    <xf numFmtId="43" fontId="3" fillId="0" borderId="0" applyFont="0" applyFill="0" applyBorder="0" applyAlignment="0" applyProtection="0"/>
    <xf numFmtId="164" fontId="5" fillId="0" borderId="0" applyProtection="0"/>
    <xf numFmtId="0" fontId="3" fillId="0" borderId="0"/>
    <xf numFmtId="0" fontId="2" fillId="0" borderId="0"/>
    <xf numFmtId="7" fontId="40" fillId="0" borderId="0"/>
    <xf numFmtId="9" fontId="3" fillId="0" borderId="0" applyFont="0" applyFill="0" applyBorder="0" applyAlignment="0" applyProtection="0"/>
    <xf numFmtId="0" fontId="20" fillId="0" borderId="0"/>
    <xf numFmtId="0" fontId="2" fillId="0" borderId="0"/>
    <xf numFmtId="43" fontId="2" fillId="0" borderId="0" applyFont="0" applyFill="0" applyBorder="0" applyAlignment="0" applyProtection="0"/>
    <xf numFmtId="0" fontId="2"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8" fillId="0" borderId="0" applyProtection="0"/>
    <xf numFmtId="164" fontId="8" fillId="0" borderId="0" applyProtection="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cellStyleXfs>
  <cellXfs count="757">
    <xf numFmtId="164" fontId="0" fillId="0" borderId="0" xfId="0"/>
    <xf numFmtId="0" fontId="4" fillId="0" borderId="0" xfId="4" applyFont="1"/>
    <xf numFmtId="164" fontId="4" fillId="0" borderId="0" xfId="0" applyFont="1"/>
    <xf numFmtId="0" fontId="4" fillId="0" borderId="0" xfId="4" applyFont="1" applyAlignment="1">
      <alignment horizontal="right"/>
    </xf>
    <xf numFmtId="165" fontId="4" fillId="0" borderId="0" xfId="1" applyNumberFormat="1" applyFont="1"/>
    <xf numFmtId="164" fontId="4" fillId="0" borderId="0" xfId="6" applyFont="1"/>
    <xf numFmtId="0" fontId="4" fillId="0" borderId="0" xfId="6" applyNumberFormat="1" applyFont="1" applyProtection="1">
      <protection locked="0"/>
    </xf>
    <xf numFmtId="0" fontId="4" fillId="0" borderId="0" xfId="6" applyNumberFormat="1" applyFont="1" applyAlignment="1" applyProtection="1">
      <alignment horizontal="center"/>
      <protection locked="0"/>
    </xf>
    <xf numFmtId="0" fontId="4" fillId="2" borderId="0" xfId="4" applyFont="1" applyFill="1"/>
    <xf numFmtId="0" fontId="4" fillId="2" borderId="0" xfId="6" applyNumberFormat="1" applyFont="1" applyFill="1"/>
    <xf numFmtId="0" fontId="4" fillId="2" borderId="0" xfId="7" applyNumberFormat="1" applyFont="1" applyFill="1" applyAlignment="1">
      <alignment horizontal="right"/>
    </xf>
    <xf numFmtId="3" fontId="4" fillId="0" borderId="0" xfId="6" applyNumberFormat="1" applyFont="1"/>
    <xf numFmtId="3" fontId="4" fillId="0" borderId="0" xfId="6" applyNumberFormat="1" applyFont="1" applyAlignment="1">
      <alignment horizontal="center"/>
    </xf>
    <xf numFmtId="0" fontId="4" fillId="0" borderId="0" xfId="6" applyNumberFormat="1" applyFont="1"/>
    <xf numFmtId="0" fontId="7" fillId="0" borderId="0" xfId="6" applyNumberFormat="1" applyFont="1"/>
    <xf numFmtId="164" fontId="4" fillId="0" borderId="0" xfId="0" applyFont="1" applyAlignment="1">
      <alignment horizontal="center"/>
    </xf>
    <xf numFmtId="49" fontId="4" fillId="0" borderId="0" xfId="6" applyNumberFormat="1" applyFont="1"/>
    <xf numFmtId="49" fontId="4" fillId="0" borderId="0" xfId="6" applyNumberFormat="1" applyFont="1" applyAlignment="1">
      <alignment horizontal="center"/>
    </xf>
    <xf numFmtId="0" fontId="4" fillId="0" borderId="0" xfId="6" applyNumberFormat="1" applyFont="1" applyAlignment="1">
      <alignment horizontal="center"/>
    </xf>
    <xf numFmtId="0" fontId="4" fillId="0" borderId="3" xfId="6" applyNumberFormat="1" applyFont="1" applyBorder="1" applyAlignment="1" applyProtection="1">
      <alignment horizontal="center"/>
      <protection locked="0"/>
    </xf>
    <xf numFmtId="42" fontId="4" fillId="0" borderId="0" xfId="4" applyNumberFormat="1" applyFont="1"/>
    <xf numFmtId="0" fontId="4" fillId="0" borderId="3" xfId="6" applyNumberFormat="1" applyFont="1" applyBorder="1" applyAlignment="1" applyProtection="1">
      <alignment horizontal="centerContinuous"/>
      <protection locked="0"/>
    </xf>
    <xf numFmtId="43" fontId="4" fillId="0" borderId="0" xfId="1" applyFont="1"/>
    <xf numFmtId="3" fontId="4" fillId="0" borderId="0" xfId="4" applyNumberFormat="1" applyFont="1"/>
    <xf numFmtId="3" fontId="4" fillId="0" borderId="0" xfId="6" applyNumberFormat="1" applyFont="1" applyAlignment="1">
      <alignment horizontal="left"/>
    </xf>
    <xf numFmtId="43" fontId="4" fillId="0" borderId="3" xfId="1" applyFont="1" applyBorder="1"/>
    <xf numFmtId="43" fontId="4" fillId="0" borderId="0" xfId="1" applyFont="1" applyAlignment="1">
      <alignment horizontal="fill"/>
    </xf>
    <xf numFmtId="166" fontId="4" fillId="0" borderId="0" xfId="4" applyNumberFormat="1" applyFont="1"/>
    <xf numFmtId="166" fontId="4" fillId="0" borderId="0" xfId="6" applyNumberFormat="1" applyFont="1"/>
    <xf numFmtId="43" fontId="4" fillId="2" borderId="0" xfId="1" applyFont="1" applyFill="1"/>
    <xf numFmtId="3" fontId="4" fillId="0" borderId="0" xfId="6" applyNumberFormat="1" applyFont="1" applyAlignment="1">
      <alignment horizontal="fill"/>
    </xf>
    <xf numFmtId="42" fontId="4" fillId="0" borderId="4" xfId="6" applyNumberFormat="1" applyFont="1" applyBorder="1" applyAlignment="1" applyProtection="1">
      <alignment horizontal="right"/>
      <protection locked="0"/>
    </xf>
    <xf numFmtId="167" fontId="9" fillId="0" borderId="0" xfId="0" applyNumberFormat="1" applyFont="1"/>
    <xf numFmtId="164" fontId="9" fillId="0" borderId="0" xfId="0" applyFont="1"/>
    <xf numFmtId="0" fontId="4" fillId="0" borderId="0" xfId="5" applyFont="1" applyAlignment="1" applyProtection="1">
      <alignment horizontal="center"/>
      <protection locked="0"/>
    </xf>
    <xf numFmtId="0" fontId="4" fillId="0" borderId="0" xfId="5" applyFont="1"/>
    <xf numFmtId="0" fontId="4" fillId="0" borderId="0" xfId="5" applyFont="1" applyAlignment="1">
      <alignment horizontal="left"/>
    </xf>
    <xf numFmtId="43" fontId="4" fillId="0" borderId="0" xfId="1" applyFont="1" applyFill="1"/>
    <xf numFmtId="3" fontId="4" fillId="0" borderId="0" xfId="5" applyNumberFormat="1" applyFont="1"/>
    <xf numFmtId="42" fontId="4" fillId="0" borderId="4" xfId="5" applyNumberFormat="1" applyFont="1" applyBorder="1" applyAlignment="1" applyProtection="1">
      <alignment horizontal="right"/>
      <protection locked="0"/>
    </xf>
    <xf numFmtId="0" fontId="4" fillId="0" borderId="0" xfId="0" applyNumberFormat="1" applyFont="1" applyAlignment="1" applyProtection="1">
      <alignment horizontal="center"/>
      <protection locked="0"/>
    </xf>
    <xf numFmtId="0" fontId="4" fillId="0" borderId="0" xfId="0" applyNumberFormat="1" applyFont="1"/>
    <xf numFmtId="3" fontId="4" fillId="0" borderId="0" xfId="0" applyNumberFormat="1" applyFont="1"/>
    <xf numFmtId="0" fontId="10" fillId="0" borderId="0" xfId="0" applyNumberFormat="1" applyFont="1"/>
    <xf numFmtId="0" fontId="4" fillId="0" borderId="0" xfId="0" applyNumberFormat="1" applyFont="1" applyProtection="1">
      <protection locked="0"/>
    </xf>
    <xf numFmtId="43" fontId="4" fillId="2" borderId="3" xfId="1" applyFont="1" applyFill="1" applyBorder="1"/>
    <xf numFmtId="43" fontId="4" fillId="0" borderId="0" xfId="1" applyFont="1" applyAlignment="1">
      <alignment horizontal="center"/>
    </xf>
    <xf numFmtId="0" fontId="4" fillId="0" borderId="0" xfId="0" applyNumberFormat="1" applyFont="1" applyAlignment="1">
      <alignment horizontal="left"/>
    </xf>
    <xf numFmtId="43" fontId="4" fillId="2" borderId="0" xfId="1" applyFont="1" applyFill="1" applyProtection="1">
      <protection locked="0"/>
    </xf>
    <xf numFmtId="43" fontId="4" fillId="0" borderId="0" xfId="1" applyFont="1" applyProtection="1">
      <protection locked="0"/>
    </xf>
    <xf numFmtId="169" fontId="4" fillId="0" borderId="0" xfId="0" applyNumberFormat="1" applyFont="1" applyProtection="1">
      <protection locked="0"/>
    </xf>
    <xf numFmtId="169" fontId="4" fillId="0" borderId="0" xfId="6" applyNumberFormat="1" applyFont="1" applyProtection="1">
      <protection locked="0"/>
    </xf>
    <xf numFmtId="0" fontId="4" fillId="0" borderId="0" xfId="6" applyNumberFormat="1" applyFont="1" applyAlignment="1">
      <alignment horizontal="right"/>
    </xf>
    <xf numFmtId="170" fontId="4" fillId="0" borderId="0" xfId="6" applyNumberFormat="1" applyFont="1"/>
    <xf numFmtId="0" fontId="11" fillId="0" borderId="0" xfId="6" applyNumberFormat="1" applyFont="1"/>
    <xf numFmtId="3" fontId="12" fillId="0" borderId="0" xfId="6" applyNumberFormat="1" applyFont="1" applyAlignment="1">
      <alignment horizontal="center"/>
    </xf>
    <xf numFmtId="0" fontId="12" fillId="0" borderId="0" xfId="6" applyNumberFormat="1" applyFont="1" applyAlignment="1" applyProtection="1">
      <alignment horizontal="center"/>
      <protection locked="0"/>
    </xf>
    <xf numFmtId="164" fontId="12" fillId="0" borderId="0" xfId="6" applyFont="1" applyAlignment="1">
      <alignment horizontal="center"/>
    </xf>
    <xf numFmtId="3" fontId="12" fillId="0" borderId="0" xfId="6" applyNumberFormat="1" applyFont="1"/>
    <xf numFmtId="0" fontId="12" fillId="0" borderId="0" xfId="6" applyNumberFormat="1" applyFont="1"/>
    <xf numFmtId="43" fontId="4" fillId="0" borderId="0" xfId="1" applyFont="1" applyAlignment="1">
      <alignment horizontal="right"/>
    </xf>
    <xf numFmtId="165" fontId="4" fillId="0" borderId="3" xfId="1" applyNumberFormat="1" applyFont="1" applyBorder="1"/>
    <xf numFmtId="165" fontId="4" fillId="0" borderId="0" xfId="1" applyNumberFormat="1" applyFont="1" applyFill="1"/>
    <xf numFmtId="171" fontId="4" fillId="0" borderId="0" xfId="6" applyNumberFormat="1" applyFont="1" applyAlignment="1">
      <alignment horizontal="center"/>
    </xf>
    <xf numFmtId="3" fontId="4" fillId="0" borderId="0" xfId="6" quotePrefix="1" applyNumberFormat="1" applyFont="1" applyAlignment="1">
      <alignment horizontal="left"/>
    </xf>
    <xf numFmtId="165" fontId="4" fillId="0" borderId="4" xfId="1" applyNumberFormat="1" applyFont="1" applyBorder="1"/>
    <xf numFmtId="171" fontId="4" fillId="0" borderId="0" xfId="4" applyNumberFormat="1" applyFont="1" applyAlignment="1">
      <alignment horizontal="center"/>
    </xf>
    <xf numFmtId="3" fontId="4" fillId="0" borderId="0" xfId="6" applyNumberFormat="1" applyFont="1" applyAlignment="1">
      <alignment horizontal="right"/>
    </xf>
    <xf numFmtId="0" fontId="4" fillId="0" borderId="0" xfId="5" applyFont="1" applyAlignment="1" applyProtection="1">
      <alignment horizontal="center" vertical="top"/>
      <protection locked="0"/>
    </xf>
    <xf numFmtId="0" fontId="4" fillId="0" borderId="0" xfId="0" applyNumberFormat="1" applyFont="1" applyAlignment="1">
      <alignment wrapText="1"/>
    </xf>
    <xf numFmtId="172" fontId="4" fillId="0" borderId="0" xfId="6" applyNumberFormat="1" applyFont="1" applyAlignment="1">
      <alignment horizontal="left"/>
    </xf>
    <xf numFmtId="164" fontId="13" fillId="0" borderId="0" xfId="0" applyFont="1"/>
    <xf numFmtId="165" fontId="4" fillId="0" borderId="0" xfId="1" applyNumberFormat="1" applyFont="1" applyAlignment="1">
      <alignment horizontal="right"/>
    </xf>
    <xf numFmtId="3" fontId="13" fillId="0" borderId="0" xfId="6" applyNumberFormat="1" applyFont="1"/>
    <xf numFmtId="3" fontId="13" fillId="0" borderId="0" xfId="4" applyNumberFormat="1" applyFont="1"/>
    <xf numFmtId="165" fontId="4" fillId="4" borderId="0" xfId="1" applyNumberFormat="1" applyFont="1" applyFill="1"/>
    <xf numFmtId="0" fontId="4" fillId="0" borderId="0" xfId="6" applyNumberFormat="1" applyFont="1" applyAlignment="1">
      <alignment wrapText="1"/>
    </xf>
    <xf numFmtId="3" fontId="4" fillId="0" borderId="0" xfId="6" applyNumberFormat="1" applyFont="1" applyAlignment="1">
      <alignment wrapText="1"/>
    </xf>
    <xf numFmtId="0" fontId="4" fillId="0" borderId="0" xfId="6" quotePrefix="1" applyNumberFormat="1" applyFont="1" applyAlignment="1">
      <alignment horizontal="left"/>
    </xf>
    <xf numFmtId="171" fontId="4" fillId="0" borderId="0" xfId="6" applyNumberFormat="1" applyFont="1" applyAlignment="1">
      <alignment horizontal="left"/>
    </xf>
    <xf numFmtId="173" fontId="4" fillId="0" borderId="0" xfId="1" applyNumberFormat="1" applyFont="1" applyFill="1" applyAlignment="1">
      <alignment horizontal="right"/>
    </xf>
    <xf numFmtId="43" fontId="4" fillId="0" borderId="0" xfId="1" applyFont="1" applyFill="1" applyAlignment="1">
      <alignment horizontal="right"/>
    </xf>
    <xf numFmtId="10" fontId="4" fillId="0" borderId="0" xfId="6" applyNumberFormat="1" applyFont="1" applyAlignment="1">
      <alignment horizontal="left"/>
    </xf>
    <xf numFmtId="165" fontId="4" fillId="0" borderId="0" xfId="1" applyNumberFormat="1" applyFont="1" applyFill="1" applyAlignment="1">
      <alignment horizontal="right"/>
    </xf>
    <xf numFmtId="10" fontId="4" fillId="0" borderId="0" xfId="3" applyNumberFormat="1" applyFont="1"/>
    <xf numFmtId="173" fontId="4" fillId="0" borderId="0" xfId="1" applyNumberFormat="1" applyFont="1"/>
    <xf numFmtId="165" fontId="4" fillId="0" borderId="3" xfId="1" applyNumberFormat="1" applyFont="1" applyBorder="1" applyAlignment="1">
      <alignment horizontal="right"/>
    </xf>
    <xf numFmtId="171" fontId="4" fillId="0" borderId="0" xfId="6" applyNumberFormat="1" applyFont="1" applyAlignment="1" applyProtection="1">
      <alignment horizontal="left"/>
      <protection locked="0"/>
    </xf>
    <xf numFmtId="174" fontId="4" fillId="0" borderId="0" xfId="6" applyNumberFormat="1" applyFont="1"/>
    <xf numFmtId="166" fontId="4" fillId="0" borderId="0" xfId="4" applyNumberFormat="1" applyFont="1" applyAlignment="1">
      <alignment horizontal="center"/>
    </xf>
    <xf numFmtId="165" fontId="4" fillId="0" borderId="5" xfId="1" applyNumberFormat="1" applyFont="1" applyBorder="1"/>
    <xf numFmtId="0" fontId="4" fillId="0" borderId="0" xfId="0" applyNumberFormat="1" applyFont="1" applyAlignment="1">
      <alignment horizontal="left" wrapText="1"/>
    </xf>
    <xf numFmtId="165" fontId="4" fillId="2" borderId="0" xfId="1" applyNumberFormat="1" applyFont="1" applyFill="1"/>
    <xf numFmtId="173" fontId="4" fillId="0" borderId="0" xfId="1" applyNumberFormat="1" applyFont="1" applyAlignment="1">
      <alignment horizontal="center"/>
    </xf>
    <xf numFmtId="165" fontId="4" fillId="0" borderId="7" xfId="1" applyNumberFormat="1" applyFont="1" applyBorder="1"/>
    <xf numFmtId="164" fontId="12" fillId="0" borderId="0" xfId="0" applyFont="1"/>
    <xf numFmtId="167" fontId="4" fillId="0" borderId="0" xfId="0" applyNumberFormat="1" applyFont="1"/>
    <xf numFmtId="164" fontId="4" fillId="0" borderId="0" xfId="6" applyFont="1" applyAlignment="1">
      <alignment horizontal="right"/>
    </xf>
    <xf numFmtId="164" fontId="4" fillId="0" borderId="0" xfId="6" applyFont="1" applyAlignment="1">
      <alignment horizontal="center"/>
    </xf>
    <xf numFmtId="0" fontId="13" fillId="0" borderId="0" xfId="6" applyNumberFormat="1" applyFont="1" applyAlignment="1" applyProtection="1">
      <alignment horizontal="center"/>
      <protection locked="0"/>
    </xf>
    <xf numFmtId="0" fontId="4" fillId="0" borderId="3" xfId="6" applyNumberFormat="1" applyFont="1" applyBorder="1" applyProtection="1">
      <protection locked="0"/>
    </xf>
    <xf numFmtId="0" fontId="4" fillId="0" borderId="3" xfId="6" applyNumberFormat="1" applyFont="1" applyBorder="1"/>
    <xf numFmtId="165" fontId="4" fillId="2" borderId="3" xfId="1" applyNumberFormat="1" applyFont="1" applyFill="1" applyBorder="1"/>
    <xf numFmtId="168" fontId="4" fillId="0" borderId="0" xfId="1" applyNumberFormat="1" applyFont="1" applyFill="1" applyAlignment="1">
      <alignment horizontal="right"/>
    </xf>
    <xf numFmtId="43" fontId="4" fillId="0" borderId="0" xfId="1" applyFont="1" applyAlignment="1" applyProtection="1">
      <alignment horizontal="center"/>
      <protection locked="0"/>
    </xf>
    <xf numFmtId="3" fontId="4" fillId="0" borderId="3" xfId="6" applyNumberFormat="1" applyFont="1" applyBorder="1"/>
    <xf numFmtId="3" fontId="4" fillId="0" borderId="3" xfId="6" applyNumberFormat="1" applyFont="1" applyBorder="1" applyAlignment="1">
      <alignment horizontal="center"/>
    </xf>
    <xf numFmtId="4" fontId="4" fillId="0" borderId="0" xfId="6" applyNumberFormat="1" applyFont="1"/>
    <xf numFmtId="3" fontId="4" fillId="0" borderId="0" xfId="4" applyNumberFormat="1" applyFont="1" applyAlignment="1">
      <alignment horizontal="center"/>
    </xf>
    <xf numFmtId="0" fontId="4" fillId="0" borderId="3" xfId="4" applyFont="1" applyBorder="1" applyAlignment="1">
      <alignment horizontal="center"/>
    </xf>
    <xf numFmtId="0" fontId="4" fillId="0" borderId="0" xfId="4" applyFont="1" applyAlignment="1">
      <alignment horizontal="center"/>
    </xf>
    <xf numFmtId="166" fontId="4" fillId="0" borderId="0" xfId="6" applyNumberFormat="1" applyFont="1" applyAlignment="1">
      <alignment horizontal="center"/>
    </xf>
    <xf numFmtId="166" fontId="4" fillId="0" borderId="0" xfId="6" applyNumberFormat="1" applyFont="1" applyAlignment="1" applyProtection="1">
      <alignment horizontal="center"/>
      <protection locked="0"/>
    </xf>
    <xf numFmtId="175" fontId="4" fillId="0" borderId="0" xfId="1" applyNumberFormat="1" applyFont="1"/>
    <xf numFmtId="175" fontId="4" fillId="0" borderId="0" xfId="1" applyNumberFormat="1" applyFont="1" applyAlignment="1">
      <alignment horizontal="center"/>
    </xf>
    <xf numFmtId="177" fontId="4" fillId="0" borderId="0" xfId="1" applyNumberFormat="1" applyFont="1" applyAlignment="1">
      <alignment horizontal="center"/>
    </xf>
    <xf numFmtId="168" fontId="4" fillId="0" borderId="0" xfId="3" applyNumberFormat="1" applyFont="1" applyAlignment="1">
      <alignment horizontal="center"/>
    </xf>
    <xf numFmtId="9" fontId="4" fillId="0" borderId="0" xfId="3" applyFont="1" applyAlignment="1">
      <alignment horizontal="center"/>
    </xf>
    <xf numFmtId="10" fontId="4" fillId="0" borderId="0" xfId="3" applyNumberFormat="1" applyFont="1" applyAlignment="1">
      <alignment horizontal="center"/>
    </xf>
    <xf numFmtId="3" fontId="4" fillId="0" borderId="0" xfId="6" quotePrefix="1" applyNumberFormat="1" applyFont="1"/>
    <xf numFmtId="165" fontId="0" fillId="0" borderId="0" xfId="1" applyNumberFormat="1" applyFont="1"/>
    <xf numFmtId="177" fontId="4" fillId="0" borderId="3" xfId="1" applyNumberFormat="1" applyFont="1" applyBorder="1" applyAlignment="1">
      <alignment horizontal="center"/>
    </xf>
    <xf numFmtId="10" fontId="4" fillId="0" borderId="3" xfId="3" applyNumberFormat="1" applyFont="1" applyBorder="1"/>
    <xf numFmtId="10" fontId="4" fillId="0" borderId="0" xfId="3" applyNumberFormat="1" applyFont="1" applyFill="1"/>
    <xf numFmtId="0" fontId="9" fillId="0" borderId="0" xfId="6" applyNumberFormat="1" applyFont="1" applyProtection="1">
      <protection locked="0"/>
    </xf>
    <xf numFmtId="164" fontId="9" fillId="0" borderId="0" xfId="6" applyFont="1"/>
    <xf numFmtId="177" fontId="4" fillId="4" borderId="0" xfId="1" applyNumberFormat="1" applyFont="1" applyFill="1" applyProtection="1">
      <protection locked="0"/>
    </xf>
    <xf numFmtId="38" fontId="4" fillId="0" borderId="0" xfId="6" applyNumberFormat="1" applyFont="1"/>
    <xf numFmtId="164" fontId="4" fillId="0" borderId="3" xfId="6" applyFont="1" applyBorder="1"/>
    <xf numFmtId="177" fontId="4" fillId="4" borderId="3" xfId="1" applyNumberFormat="1" applyFont="1" applyFill="1" applyBorder="1" applyProtection="1">
      <protection locked="0"/>
    </xf>
    <xf numFmtId="177" fontId="4" fillId="0" borderId="0" xfId="1" applyNumberFormat="1" applyFont="1"/>
    <xf numFmtId="167" fontId="4" fillId="0" borderId="0" xfId="6" applyNumberFormat="1" applyFont="1"/>
    <xf numFmtId="178" fontId="4" fillId="0" borderId="0" xfId="6" applyNumberFormat="1" applyFont="1" applyProtection="1">
      <protection locked="0"/>
    </xf>
    <xf numFmtId="1" fontId="4" fillId="0" borderId="0" xfId="6" applyNumberFormat="1" applyFont="1"/>
    <xf numFmtId="0" fontId="4" fillId="0" borderId="0" xfId="6" applyNumberFormat="1" applyFont="1" applyAlignment="1" applyProtection="1">
      <alignment horizontal="left"/>
      <protection locked="0"/>
    </xf>
    <xf numFmtId="165" fontId="4" fillId="2" borderId="0" xfId="1" applyNumberFormat="1" applyFont="1" applyFill="1" applyProtection="1">
      <protection locked="0"/>
    </xf>
    <xf numFmtId="165" fontId="4" fillId="2" borderId="3" xfId="1" applyNumberFormat="1" applyFont="1" applyFill="1" applyBorder="1" applyProtection="1">
      <protection locked="0"/>
    </xf>
    <xf numFmtId="164" fontId="4" fillId="0" borderId="0" xfId="0" applyFont="1" applyProtection="1">
      <protection locked="0"/>
    </xf>
    <xf numFmtId="3" fontId="14" fillId="0" borderId="0" xfId="6" applyNumberFormat="1" applyFont="1" applyAlignment="1">
      <alignment horizontal="center"/>
    </xf>
    <xf numFmtId="0" fontId="4" fillId="0" borderId="0" xfId="6" applyNumberFormat="1" applyFont="1" applyAlignment="1" applyProtection="1">
      <alignment horizontal="center" wrapText="1"/>
      <protection locked="0"/>
    </xf>
    <xf numFmtId="164" fontId="14" fillId="0" borderId="0" xfId="0" applyFont="1"/>
    <xf numFmtId="10" fontId="4" fillId="0" borderId="0" xfId="3" applyNumberFormat="1" applyFont="1" applyFill="1" applyAlignment="1" applyProtection="1">
      <protection locked="0"/>
    </xf>
    <xf numFmtId="165" fontId="4" fillId="0" borderId="0" xfId="1" applyNumberFormat="1" applyFont="1" applyFill="1" applyAlignment="1" applyProtection="1">
      <protection locked="0"/>
    </xf>
    <xf numFmtId="165" fontId="4" fillId="0" borderId="0" xfId="1" applyNumberFormat="1" applyFont="1" applyFill="1" applyAlignment="1">
      <alignment horizontal="center"/>
    </xf>
    <xf numFmtId="165" fontId="4" fillId="0" borderId="0" xfId="1" applyNumberFormat="1" applyFont="1" applyFill="1" applyAlignment="1" applyProtection="1">
      <alignment horizontal="center"/>
      <protection locked="0"/>
    </xf>
    <xf numFmtId="164" fontId="4" fillId="0" borderId="0" xfId="6" applyFont="1" applyProtection="1">
      <protection locked="0"/>
    </xf>
    <xf numFmtId="167" fontId="4" fillId="0" borderId="0" xfId="6" applyNumberFormat="1" applyFont="1" applyAlignment="1" applyProtection="1">
      <alignment horizontal="right"/>
      <protection locked="0"/>
    </xf>
    <xf numFmtId="167" fontId="4" fillId="0" borderId="0" xfId="6" applyNumberFormat="1" applyFont="1" applyProtection="1">
      <protection locked="0"/>
    </xf>
    <xf numFmtId="0" fontId="4" fillId="0" borderId="0" xfId="6" applyNumberFormat="1" applyFont="1" applyAlignment="1" applyProtection="1">
      <alignment horizontal="left" indent="8"/>
      <protection locked="0"/>
    </xf>
    <xf numFmtId="3" fontId="4" fillId="0" borderId="0" xfId="6" applyNumberFormat="1" applyFont="1" applyAlignment="1">
      <alignment vertical="top" wrapText="1"/>
    </xf>
    <xf numFmtId="0" fontId="4" fillId="0" borderId="0" xfId="6" applyNumberFormat="1" applyFont="1" applyAlignment="1" applyProtection="1">
      <alignment vertical="top" wrapText="1"/>
      <protection locked="0"/>
    </xf>
    <xf numFmtId="0" fontId="4" fillId="0" borderId="0" xfId="0" applyNumberFormat="1" applyFont="1" applyAlignment="1" applyProtection="1">
      <alignment horizontal="center" vertical="top"/>
      <protection locked="0"/>
    </xf>
    <xf numFmtId="0" fontId="4" fillId="0" borderId="0" xfId="0" applyNumberFormat="1" applyFont="1" applyAlignment="1" applyProtection="1">
      <alignment vertical="top"/>
      <protection locked="0"/>
    </xf>
    <xf numFmtId="3" fontId="4" fillId="0" borderId="0" xfId="0" applyNumberFormat="1" applyFont="1" applyAlignment="1">
      <alignment vertical="top"/>
    </xf>
    <xf numFmtId="0" fontId="4" fillId="0" borderId="0" xfId="6" applyNumberFormat="1" applyFont="1" applyAlignment="1" applyProtection="1">
      <alignment vertical="top"/>
      <protection locked="0"/>
    </xf>
    <xf numFmtId="10" fontId="4" fillId="0" borderId="0" xfId="3" applyNumberFormat="1" applyFont="1" applyFill="1" applyAlignment="1" applyProtection="1">
      <alignment vertical="top"/>
      <protection locked="0"/>
    </xf>
    <xf numFmtId="0" fontId="4" fillId="0" borderId="0" xfId="4" applyFont="1" applyAlignment="1">
      <alignment vertical="top" wrapText="1"/>
    </xf>
    <xf numFmtId="164" fontId="4" fillId="0" borderId="0" xfId="0" applyFont="1" applyAlignment="1">
      <alignment vertical="top"/>
    </xf>
    <xf numFmtId="164" fontId="4" fillId="0" borderId="0" xfId="0" applyFont="1" applyAlignment="1">
      <alignment horizontal="center" vertical="top"/>
    </xf>
    <xf numFmtId="0" fontId="4" fillId="0" borderId="0" xfId="0" applyNumberFormat="1" applyFont="1" applyAlignment="1">
      <alignment vertical="top"/>
    </xf>
    <xf numFmtId="0" fontId="4" fillId="0" borderId="0" xfId="8" applyNumberFormat="1" applyFont="1" applyAlignment="1">
      <alignment vertical="top"/>
    </xf>
    <xf numFmtId="164" fontId="4" fillId="0" borderId="0" xfId="8" applyFont="1" applyAlignment="1">
      <alignment horizontal="center" vertical="top"/>
    </xf>
    <xf numFmtId="164" fontId="4" fillId="0" borderId="0" xfId="0" applyFont="1" applyAlignment="1">
      <alignment vertical="top" wrapText="1"/>
    </xf>
    <xf numFmtId="0" fontId="4" fillId="0" borderId="0" xfId="4" applyFont="1" applyAlignment="1">
      <alignment vertical="top"/>
    </xf>
    <xf numFmtId="167" fontId="4" fillId="0" borderId="0" xfId="6" applyNumberFormat="1" applyFont="1" applyAlignment="1">
      <alignment vertical="top"/>
    </xf>
    <xf numFmtId="3" fontId="4" fillId="0" borderId="0" xfId="6" applyNumberFormat="1" applyFont="1" applyAlignment="1">
      <alignment vertical="top"/>
    </xf>
    <xf numFmtId="164" fontId="12" fillId="0" borderId="0" xfId="0" applyFont="1" applyAlignment="1">
      <alignment horizontal="center" vertical="top"/>
    </xf>
    <xf numFmtId="0" fontId="10" fillId="0" borderId="0" xfId="8" applyNumberFormat="1" applyFont="1"/>
    <xf numFmtId="165" fontId="4" fillId="0" borderId="0" xfId="1" applyNumberFormat="1" applyFont="1" applyAlignment="1" applyProtection="1">
      <alignment horizontal="center"/>
      <protection locked="0"/>
    </xf>
    <xf numFmtId="165" fontId="4" fillId="0" borderId="0" xfId="1" applyNumberFormat="1" applyFont="1" applyAlignment="1">
      <alignment horizontal="center"/>
    </xf>
    <xf numFmtId="164" fontId="4" fillId="0" borderId="0" xfId="7" applyFont="1"/>
    <xf numFmtId="164" fontId="4" fillId="0" borderId="0" xfId="7" applyFont="1" applyAlignment="1">
      <alignment horizontal="right"/>
    </xf>
    <xf numFmtId="0" fontId="4" fillId="0" borderId="0" xfId="7" applyNumberFormat="1" applyFont="1" applyAlignment="1" applyProtection="1">
      <alignment horizontal="center"/>
      <protection locked="0"/>
    </xf>
    <xf numFmtId="0" fontId="4" fillId="0" borderId="0" xfId="7" applyNumberFormat="1" applyFont="1" applyProtection="1">
      <protection locked="0"/>
    </xf>
    <xf numFmtId="0" fontId="4" fillId="0" borderId="0" xfId="7" applyNumberFormat="1" applyFont="1" applyAlignment="1">
      <alignment horizontal="right"/>
    </xf>
    <xf numFmtId="0" fontId="4" fillId="0" borderId="0" xfId="7" applyNumberFormat="1" applyFont="1"/>
    <xf numFmtId="0" fontId="16" fillId="0" borderId="0" xfId="7" applyNumberFormat="1" applyFont="1"/>
    <xf numFmtId="3" fontId="4" fillId="0" borderId="0" xfId="7" applyNumberFormat="1" applyFont="1"/>
    <xf numFmtId="0" fontId="16" fillId="0" borderId="0" xfId="7" applyNumberFormat="1" applyFont="1" applyAlignment="1">
      <alignment horizontal="center"/>
    </xf>
    <xf numFmtId="49" fontId="4" fillId="0" borderId="0" xfId="7" applyNumberFormat="1" applyFont="1"/>
    <xf numFmtId="49" fontId="4" fillId="0" borderId="0" xfId="0" applyNumberFormat="1" applyFont="1"/>
    <xf numFmtId="0" fontId="4" fillId="0" borderId="0" xfId="0" applyNumberFormat="1" applyFont="1" applyAlignment="1">
      <alignment horizontal="center"/>
    </xf>
    <xf numFmtId="49" fontId="4" fillId="0" borderId="0" xfId="0" applyNumberFormat="1" applyFont="1" applyAlignment="1">
      <alignment horizontal="center"/>
    </xf>
    <xf numFmtId="49" fontId="4" fillId="0" borderId="0" xfId="7" applyNumberFormat="1" applyFont="1" applyAlignment="1">
      <alignment horizontal="center"/>
    </xf>
    <xf numFmtId="3" fontId="12" fillId="0" borderId="0" xfId="0" applyNumberFormat="1" applyFont="1" applyAlignment="1">
      <alignment horizontal="center"/>
    </xf>
    <xf numFmtId="0" fontId="4" fillId="0" borderId="0" xfId="7" applyNumberFormat="1" applyFont="1" applyAlignment="1">
      <alignment horizontal="center"/>
    </xf>
    <xf numFmtId="164" fontId="12" fillId="0" borderId="0" xfId="0" applyFont="1" applyAlignment="1">
      <alignment horizontal="center"/>
    </xf>
    <xf numFmtId="0" fontId="12" fillId="0" borderId="0" xfId="0" applyNumberFormat="1" applyFont="1" applyAlignment="1" applyProtection="1">
      <alignment horizontal="center"/>
      <protection locked="0"/>
    </xf>
    <xf numFmtId="0" fontId="12" fillId="0" borderId="0" xfId="7" applyNumberFormat="1" applyFont="1" applyAlignment="1" applyProtection="1">
      <alignment horizontal="center"/>
      <protection locked="0"/>
    </xf>
    <xf numFmtId="0" fontId="12" fillId="0" borderId="0" xfId="7" applyNumberFormat="1" applyFont="1" applyAlignment="1">
      <alignment horizontal="center"/>
    </xf>
    <xf numFmtId="0" fontId="12" fillId="0" borderId="0" xfId="0" applyNumberFormat="1" applyFont="1"/>
    <xf numFmtId="0" fontId="17" fillId="0" borderId="0" xfId="0" applyNumberFormat="1" applyFont="1" applyAlignment="1" applyProtection="1">
      <alignment horizontal="center"/>
      <protection locked="0"/>
    </xf>
    <xf numFmtId="3" fontId="4" fillId="0" borderId="0" xfId="7" applyNumberFormat="1" applyFont="1" applyAlignment="1">
      <alignment horizontal="center"/>
    </xf>
    <xf numFmtId="3" fontId="4" fillId="0" borderId="0" xfId="7" applyNumberFormat="1" applyFont="1" applyAlignment="1">
      <alignment horizontal="left"/>
    </xf>
    <xf numFmtId="165" fontId="4" fillId="0" borderId="8" xfId="1" applyNumberFormat="1" applyFont="1" applyBorder="1"/>
    <xf numFmtId="3" fontId="4" fillId="0" borderId="0" xfId="0" applyNumberFormat="1" applyFont="1" applyAlignment="1">
      <alignment horizontal="left"/>
    </xf>
    <xf numFmtId="3" fontId="4" fillId="0" borderId="0" xfId="0" applyNumberFormat="1" applyFont="1" applyAlignment="1">
      <alignment horizontal="center"/>
    </xf>
    <xf numFmtId="10" fontId="18" fillId="0" borderId="0" xfId="3" applyNumberFormat="1" applyFont="1"/>
    <xf numFmtId="10" fontId="12" fillId="0" borderId="0" xfId="7" applyNumberFormat="1" applyFont="1"/>
    <xf numFmtId="3" fontId="12" fillId="0" borderId="0" xfId="7" applyNumberFormat="1" applyFont="1"/>
    <xf numFmtId="179" fontId="12" fillId="0" borderId="0" xfId="7" applyNumberFormat="1" applyFont="1"/>
    <xf numFmtId="3" fontId="14" fillId="0" borderId="0" xfId="0" applyNumberFormat="1" applyFont="1"/>
    <xf numFmtId="43" fontId="12" fillId="0" borderId="0" xfId="1" applyFont="1"/>
    <xf numFmtId="164" fontId="4" fillId="0" borderId="0" xfId="0" applyFont="1" applyAlignment="1">
      <alignment horizontal="left"/>
    </xf>
    <xf numFmtId="10" fontId="12" fillId="0" borderId="0" xfId="3" applyNumberFormat="1" applyFont="1"/>
    <xf numFmtId="0" fontId="4" fillId="0" borderId="0" xfId="7" applyNumberFormat="1" applyFont="1" applyAlignment="1">
      <alignment horizontal="fill"/>
    </xf>
    <xf numFmtId="3" fontId="9" fillId="0" borderId="0" xfId="7" applyNumberFormat="1" applyFont="1"/>
    <xf numFmtId="164" fontId="9" fillId="0" borderId="0" xfId="7" applyFont="1"/>
    <xf numFmtId="49" fontId="12" fillId="0" borderId="0" xfId="0" applyNumberFormat="1" applyFont="1" applyAlignment="1">
      <alignment horizontal="center"/>
    </xf>
    <xf numFmtId="3" fontId="12" fillId="0" borderId="0" xfId="0" applyNumberFormat="1" applyFont="1" applyAlignment="1">
      <alignment horizontal="left"/>
    </xf>
    <xf numFmtId="167" fontId="4" fillId="0" borderId="0" xfId="7" applyNumberFormat="1" applyFont="1"/>
    <xf numFmtId="171" fontId="4" fillId="0" borderId="0" xfId="7" applyNumberFormat="1" applyFont="1" applyAlignment="1">
      <alignment horizontal="center"/>
    </xf>
    <xf numFmtId="0" fontId="9" fillId="0" borderId="0" xfId="7" applyNumberFormat="1" applyFont="1"/>
    <xf numFmtId="171" fontId="4" fillId="0" borderId="0" xfId="0" applyNumberFormat="1" applyFont="1" applyAlignment="1">
      <alignment horizontal="left"/>
    </xf>
    <xf numFmtId="171" fontId="4" fillId="0" borderId="0" xfId="0" applyNumberFormat="1" applyFont="1" applyAlignment="1">
      <alignment horizontal="center"/>
    </xf>
    <xf numFmtId="49" fontId="4" fillId="0" borderId="0" xfId="7" applyNumberFormat="1" applyFont="1" applyAlignment="1">
      <alignment horizontal="left"/>
    </xf>
    <xf numFmtId="164" fontId="4" fillId="0" borderId="0" xfId="7" applyFont="1" applyAlignment="1">
      <alignment horizontal="center"/>
    </xf>
    <xf numFmtId="10" fontId="4" fillId="0" borderId="0" xfId="7" applyNumberFormat="1" applyFont="1"/>
    <xf numFmtId="0" fontId="12" fillId="0" borderId="0" xfId="7" applyNumberFormat="1" applyFont="1"/>
    <xf numFmtId="164" fontId="19" fillId="0" borderId="0" xfId="7" applyFont="1"/>
    <xf numFmtId="180" fontId="12" fillId="0" borderId="0" xfId="7" applyNumberFormat="1" applyFont="1" applyAlignment="1">
      <alignment horizontal="center"/>
    </xf>
    <xf numFmtId="180" fontId="12" fillId="0" borderId="0" xfId="7" quotePrefix="1" applyNumberFormat="1" applyFont="1" applyAlignment="1">
      <alignment horizontal="center"/>
    </xf>
    <xf numFmtId="164" fontId="12" fillId="0" borderId="9" xfId="7" applyFont="1" applyBorder="1" applyAlignment="1">
      <alignment horizontal="center" wrapText="1"/>
    </xf>
    <xf numFmtId="164" fontId="12" fillId="0" borderId="10" xfId="7" applyFont="1" applyBorder="1"/>
    <xf numFmtId="164" fontId="12" fillId="0" borderId="10" xfId="7" applyFont="1" applyBorder="1" applyAlignment="1">
      <alignment horizontal="center" wrapText="1"/>
    </xf>
    <xf numFmtId="0" fontId="12" fillId="0" borderId="10" xfId="7" applyNumberFormat="1" applyFont="1" applyBorder="1" applyAlignment="1">
      <alignment horizontal="center" wrapText="1"/>
    </xf>
    <xf numFmtId="164" fontId="12" fillId="0" borderId="10" xfId="0" applyFont="1" applyBorder="1" applyAlignment="1">
      <alignment horizontal="center" wrapText="1"/>
    </xf>
    <xf numFmtId="0" fontId="12" fillId="0" borderId="10" xfId="0" applyNumberFormat="1" applyFont="1" applyBorder="1" applyAlignment="1">
      <alignment horizontal="center" wrapText="1"/>
    </xf>
    <xf numFmtId="164" fontId="12" fillId="0" borderId="11" xfId="0" applyFont="1" applyBorder="1" applyAlignment="1">
      <alignment horizontal="center" wrapText="1"/>
    </xf>
    <xf numFmtId="164" fontId="12" fillId="0" borderId="1" xfId="7" applyFont="1" applyBorder="1" applyAlignment="1">
      <alignment horizontal="center" wrapText="1"/>
    </xf>
    <xf numFmtId="0" fontId="12" fillId="0" borderId="12" xfId="7" applyNumberFormat="1" applyFont="1" applyBorder="1" applyAlignment="1">
      <alignment horizontal="center" wrapText="1"/>
    </xf>
    <xf numFmtId="3" fontId="12" fillId="0" borderId="1" xfId="7" applyNumberFormat="1" applyFont="1" applyBorder="1" applyAlignment="1">
      <alignment horizontal="center" wrapText="1"/>
    </xf>
    <xf numFmtId="0" fontId="4" fillId="0" borderId="13" xfId="7" applyNumberFormat="1" applyFont="1" applyBorder="1" applyAlignment="1">
      <alignment horizontal="left"/>
    </xf>
    <xf numFmtId="0" fontId="4" fillId="0" borderId="12" xfId="7" applyNumberFormat="1" applyFont="1" applyBorder="1"/>
    <xf numFmtId="0" fontId="4" fillId="0" borderId="12" xfId="7" applyNumberFormat="1" applyFont="1" applyBorder="1" applyAlignment="1">
      <alignment wrapText="1"/>
    </xf>
    <xf numFmtId="0" fontId="4" fillId="0" borderId="12" xfId="7" applyNumberFormat="1" applyFont="1" applyBorder="1" applyAlignment="1">
      <alignment horizontal="center" wrapText="1"/>
    </xf>
    <xf numFmtId="164" fontId="4" fillId="0" borderId="12" xfId="7" applyFont="1" applyBorder="1" applyAlignment="1">
      <alignment wrapText="1"/>
    </xf>
    <xf numFmtId="164" fontId="4" fillId="0" borderId="14" xfId="7" applyFont="1" applyBorder="1" applyAlignment="1">
      <alignment wrapText="1"/>
    </xf>
    <xf numFmtId="0" fontId="4" fillId="0" borderId="1" xfId="7" applyNumberFormat="1" applyFont="1" applyBorder="1" applyAlignment="1">
      <alignment horizontal="center" wrapText="1"/>
    </xf>
    <xf numFmtId="0" fontId="4" fillId="0" borderId="13" xfId="7" applyNumberFormat="1" applyFont="1" applyBorder="1" applyAlignment="1">
      <alignment horizontal="center" wrapText="1"/>
    </xf>
    <xf numFmtId="3" fontId="4" fillId="0" borderId="1" xfId="7" applyNumberFormat="1" applyFont="1" applyBorder="1" applyAlignment="1">
      <alignment horizontal="center" wrapText="1"/>
    </xf>
    <xf numFmtId="3" fontId="4" fillId="0" borderId="12" xfId="7" applyNumberFormat="1" applyFont="1" applyBorder="1" applyAlignment="1">
      <alignment horizontal="center" wrapText="1"/>
    </xf>
    <xf numFmtId="0" fontId="4" fillId="0" borderId="9" xfId="7" applyNumberFormat="1" applyFont="1" applyBorder="1"/>
    <xf numFmtId="0" fontId="4" fillId="0" borderId="10" xfId="7" applyNumberFormat="1" applyFont="1" applyBorder="1"/>
    <xf numFmtId="164" fontId="4" fillId="0" borderId="10" xfId="7" applyFont="1" applyBorder="1"/>
    <xf numFmtId="0" fontId="4" fillId="0" borderId="2" xfId="7" applyNumberFormat="1" applyFont="1" applyBorder="1"/>
    <xf numFmtId="3" fontId="4" fillId="0" borderId="10" xfId="7" applyNumberFormat="1" applyFont="1" applyBorder="1"/>
    <xf numFmtId="3" fontId="4" fillId="0" borderId="2" xfId="7" applyNumberFormat="1" applyFont="1" applyBorder="1"/>
    <xf numFmtId="164" fontId="4" fillId="0" borderId="0" xfId="9" applyFont="1"/>
    <xf numFmtId="165" fontId="4" fillId="0" borderId="16" xfId="1" applyNumberFormat="1" applyFont="1" applyBorder="1"/>
    <xf numFmtId="165" fontId="4" fillId="2" borderId="16" xfId="1" applyNumberFormat="1" applyFont="1" applyFill="1" applyBorder="1"/>
    <xf numFmtId="165" fontId="4" fillId="4" borderId="16" xfId="1" applyNumberFormat="1" applyFont="1" applyFill="1" applyBorder="1"/>
    <xf numFmtId="164" fontId="4" fillId="0" borderId="15" xfId="9" applyFont="1" applyBorder="1"/>
    <xf numFmtId="164" fontId="4" fillId="0" borderId="15" xfId="7" applyFont="1" applyBorder="1"/>
    <xf numFmtId="164" fontId="4" fillId="0" borderId="17" xfId="7" applyFont="1" applyBorder="1"/>
    <xf numFmtId="164" fontId="4" fillId="0" borderId="8" xfId="7" applyFont="1" applyBorder="1"/>
    <xf numFmtId="165" fontId="4" fillId="0" borderId="8" xfId="7" applyNumberFormat="1" applyFont="1" applyBorder="1"/>
    <xf numFmtId="10" fontId="4" fillId="0" borderId="8" xfId="1" applyNumberFormat="1" applyFont="1" applyBorder="1"/>
    <xf numFmtId="181" fontId="4" fillId="0" borderId="8" xfId="7" applyNumberFormat="1" applyFont="1" applyBorder="1"/>
    <xf numFmtId="164" fontId="4" fillId="0" borderId="6" xfId="7" applyFont="1" applyBorder="1"/>
    <xf numFmtId="43" fontId="4" fillId="0" borderId="6" xfId="1" applyFont="1" applyBorder="1"/>
    <xf numFmtId="164" fontId="11" fillId="0" borderId="6" xfId="7" applyFont="1" applyBorder="1"/>
    <xf numFmtId="164" fontId="11" fillId="0" borderId="8" xfId="7" applyFont="1" applyBorder="1"/>
    <xf numFmtId="165" fontId="4" fillId="0" borderId="6" xfId="1" applyNumberFormat="1" applyFont="1" applyBorder="1"/>
    <xf numFmtId="1" fontId="4" fillId="0" borderId="0" xfId="1" applyNumberFormat="1" applyFont="1" applyAlignment="1">
      <alignment horizontal="center"/>
    </xf>
    <xf numFmtId="164" fontId="4" fillId="4" borderId="0" xfId="7" applyFont="1" applyFill="1"/>
    <xf numFmtId="164" fontId="4" fillId="0" borderId="3" xfId="7" applyFont="1" applyBorder="1"/>
    <xf numFmtId="164" fontId="4" fillId="0" borderId="0" xfId="7" applyFont="1" applyAlignment="1">
      <alignment horizontal="center" vertical="top"/>
    </xf>
    <xf numFmtId="164" fontId="4" fillId="0" borderId="0" xfId="7" applyFont="1" applyAlignment="1">
      <alignment wrapText="1"/>
    </xf>
    <xf numFmtId="164" fontId="4" fillId="0" borderId="0" xfId="7" applyFont="1" applyAlignment="1">
      <alignment vertical="top" wrapText="1"/>
    </xf>
    <xf numFmtId="164" fontId="4" fillId="0" borderId="0" xfId="7" applyFont="1" applyAlignment="1">
      <alignment horizontal="left"/>
    </xf>
    <xf numFmtId="164" fontId="4" fillId="0" borderId="0" xfId="7" applyFont="1" applyAlignment="1">
      <alignment horizontal="left" wrapText="1"/>
    </xf>
    <xf numFmtId="164" fontId="4" fillId="0" borderId="0" xfId="7" applyFont="1" applyAlignment="1">
      <alignment vertical="center" wrapText="1"/>
    </xf>
    <xf numFmtId="164" fontId="4" fillId="0" borderId="0" xfId="7" applyFont="1" applyAlignment="1">
      <alignment horizontal="left" vertical="center"/>
    </xf>
    <xf numFmtId="164" fontId="4" fillId="0" borderId="0" xfId="7" applyFont="1" applyAlignment="1">
      <alignment horizontal="left" vertical="center" wrapText="1"/>
    </xf>
    <xf numFmtId="0" fontId="13" fillId="0" borderId="0" xfId="0" applyNumberFormat="1" applyFont="1" applyAlignment="1">
      <alignment horizontal="center"/>
    </xf>
    <xf numFmtId="0" fontId="4" fillId="0" borderId="0" xfId="10" applyFont="1"/>
    <xf numFmtId="164" fontId="20" fillId="0" borderId="0" xfId="0" applyFont="1"/>
    <xf numFmtId="0" fontId="4" fillId="0" borderId="0" xfId="10" applyFont="1" applyAlignment="1">
      <alignment horizontal="center"/>
    </xf>
    <xf numFmtId="164" fontId="4" fillId="0" borderId="0" xfId="0" applyFont="1" applyAlignment="1">
      <alignment horizontal="right"/>
    </xf>
    <xf numFmtId="0" fontId="12" fillId="0" borderId="0" xfId="10" applyFont="1" applyAlignment="1">
      <alignment horizontal="centerContinuous"/>
    </xf>
    <xf numFmtId="0" fontId="12" fillId="0" borderId="1" xfId="10" applyFont="1" applyBorder="1" applyAlignment="1">
      <alignment horizontal="center"/>
    </xf>
    <xf numFmtId="0" fontId="4" fillId="0" borderId="0" xfId="0" applyNumberFormat="1" applyFont="1" applyAlignment="1">
      <alignment horizontal="center" wrapText="1"/>
    </xf>
    <xf numFmtId="0" fontId="12" fillId="0" borderId="0" xfId="10" applyFont="1" applyAlignment="1">
      <alignment horizontal="center" wrapText="1"/>
    </xf>
    <xf numFmtId="164" fontId="12" fillId="0" borderId="0" xfId="0" applyFont="1" applyAlignment="1">
      <alignment horizontal="center" wrapText="1"/>
    </xf>
    <xf numFmtId="164" fontId="20" fillId="0" borderId="0" xfId="0" applyFont="1" applyAlignment="1">
      <alignment wrapText="1"/>
    </xf>
    <xf numFmtId="164" fontId="4" fillId="0" borderId="0" xfId="0" applyFont="1" applyAlignment="1">
      <alignment wrapText="1"/>
    </xf>
    <xf numFmtId="0" fontId="12" fillId="0" borderId="0" xfId="10" applyFont="1" applyAlignment="1">
      <alignment horizontal="center"/>
    </xf>
    <xf numFmtId="0" fontId="12" fillId="0" borderId="0" xfId="5" applyFont="1" applyAlignment="1">
      <alignment horizontal="center" wrapText="1"/>
    </xf>
    <xf numFmtId="164" fontId="21" fillId="0" borderId="0" xfId="0" applyFont="1"/>
    <xf numFmtId="0" fontId="4" fillId="0" borderId="0" xfId="10" applyFont="1" applyAlignment="1">
      <alignment horizontal="left"/>
    </xf>
    <xf numFmtId="0" fontId="4" fillId="0" borderId="0" xfId="10" quotePrefix="1" applyFont="1" applyAlignment="1">
      <alignment horizontal="left"/>
    </xf>
    <xf numFmtId="41" fontId="4" fillId="2" borderId="0" xfId="10" applyNumberFormat="1" applyFont="1" applyFill="1"/>
    <xf numFmtId="0" fontId="4" fillId="0" borderId="0" xfId="10" applyFont="1" applyAlignment="1">
      <alignment horizontal="right"/>
    </xf>
    <xf numFmtId="43" fontId="4" fillId="0" borderId="5" xfId="1" applyFont="1" applyBorder="1"/>
    <xf numFmtId="37" fontId="4" fillId="0" borderId="0" xfId="10" applyNumberFormat="1" applyFont="1"/>
    <xf numFmtId="164" fontId="4" fillId="0" borderId="0" xfId="11" applyFont="1"/>
    <xf numFmtId="0" fontId="12" fillId="0" borderId="0" xfId="10" applyFont="1" applyAlignment="1">
      <alignment horizontal="centerContinuous" wrapText="1"/>
    </xf>
    <xf numFmtId="0" fontId="12" fillId="5" borderId="0" xfId="5" applyFont="1" applyFill="1" applyAlignment="1">
      <alignment horizontal="center" wrapText="1"/>
    </xf>
    <xf numFmtId="41" fontId="22" fillId="6" borderId="0" xfId="10" applyNumberFormat="1" applyFont="1" applyFill="1"/>
    <xf numFmtId="43" fontId="4" fillId="6" borderId="5" xfId="1" applyFont="1" applyFill="1" applyBorder="1"/>
    <xf numFmtId="0" fontId="23" fillId="0" borderId="0" xfId="10" applyFont="1"/>
    <xf numFmtId="164" fontId="4" fillId="5" borderId="0" xfId="0" applyFont="1" applyFill="1"/>
    <xf numFmtId="44" fontId="4" fillId="0" borderId="0" xfId="0" applyNumberFormat="1" applyFont="1"/>
    <xf numFmtId="0" fontId="4" fillId="0" borderId="0" xfId="12" applyFont="1"/>
    <xf numFmtId="0" fontId="4" fillId="0" borderId="0" xfId="12" applyFont="1" applyAlignment="1">
      <alignment horizontal="center"/>
    </xf>
    <xf numFmtId="3" fontId="4" fillId="0" borderId="0" xfId="12" applyNumberFormat="1" applyFont="1" applyAlignment="1">
      <alignment horizontal="center" wrapText="1"/>
    </xf>
    <xf numFmtId="0" fontId="4" fillId="0" borderId="0" xfId="12" applyFont="1" applyAlignment="1">
      <alignment horizontal="center" wrapText="1"/>
    </xf>
    <xf numFmtId="0" fontId="4" fillId="4" borderId="0" xfId="12" applyFont="1" applyFill="1"/>
    <xf numFmtId="165" fontId="4" fillId="4" borderId="0" xfId="1" applyNumberFormat="1" applyFont="1" applyFill="1" applyAlignment="1">
      <alignment horizontal="center"/>
    </xf>
    <xf numFmtId="165" fontId="4" fillId="0" borderId="0" xfId="1" applyNumberFormat="1" applyFont="1" applyAlignment="1">
      <alignment horizontal="center" wrapText="1"/>
    </xf>
    <xf numFmtId="164" fontId="13" fillId="4" borderId="0" xfId="0" applyFont="1" applyFill="1"/>
    <xf numFmtId="0" fontId="4" fillId="4" borderId="8" xfId="12" applyFont="1" applyFill="1" applyBorder="1"/>
    <xf numFmtId="165" fontId="4" fillId="4" borderId="8" xfId="1" applyNumberFormat="1" applyFont="1" applyFill="1" applyBorder="1"/>
    <xf numFmtId="165" fontId="4" fillId="4" borderId="8" xfId="1" applyNumberFormat="1" applyFont="1" applyFill="1" applyBorder="1" applyAlignment="1">
      <alignment horizontal="center"/>
    </xf>
    <xf numFmtId="164" fontId="13" fillId="4" borderId="8" xfId="0" applyFont="1" applyFill="1" applyBorder="1"/>
    <xf numFmtId="165" fontId="4" fillId="0" borderId="8" xfId="1" applyNumberFormat="1" applyFont="1" applyBorder="1" applyAlignment="1">
      <alignment horizontal="center" wrapText="1"/>
    </xf>
    <xf numFmtId="0" fontId="11" fillId="0" borderId="0" xfId="0" applyNumberFormat="1" applyFont="1" applyAlignment="1">
      <alignment horizontal="center"/>
    </xf>
    <xf numFmtId="164" fontId="11" fillId="0" borderId="0" xfId="0" applyFont="1" applyAlignment="1">
      <alignment horizontal="center"/>
    </xf>
    <xf numFmtId="44" fontId="11" fillId="0" borderId="0" xfId="0" applyNumberFormat="1" applyFont="1"/>
    <xf numFmtId="0" fontId="4" fillId="0" borderId="0" xfId="0" applyNumberFormat="1" applyFont="1" applyAlignment="1">
      <alignment horizontal="center" vertical="top"/>
    </xf>
    <xf numFmtId="49" fontId="4" fillId="0" borderId="0" xfId="0" applyNumberFormat="1" applyFont="1" applyAlignment="1">
      <alignment horizontal="center" vertical="center" wrapText="1"/>
    </xf>
    <xf numFmtId="0" fontId="4" fillId="0" borderId="0" xfId="13" applyFont="1" applyAlignment="1">
      <alignment horizontal="center" vertical="center" wrapText="1"/>
    </xf>
    <xf numFmtId="164" fontId="4" fillId="0" borderId="0" xfId="0" applyFont="1" applyAlignment="1">
      <alignment horizontal="center" vertical="center" wrapText="1"/>
    </xf>
    <xf numFmtId="0" fontId="4" fillId="0" borderId="0" xfId="13" applyFont="1" applyAlignment="1">
      <alignment horizontal="center" wrapText="1"/>
    </xf>
    <xf numFmtId="0" fontId="4" fillId="0" borderId="0" xfId="13" applyFont="1" applyAlignment="1">
      <alignment horizontal="center"/>
    </xf>
    <xf numFmtId="0" fontId="4" fillId="0" borderId="0" xfId="10" applyFont="1" applyAlignment="1">
      <alignment horizontal="center" wrapText="1"/>
    </xf>
    <xf numFmtId="0" fontId="4" fillId="0" borderId="0" xfId="5" applyFont="1" applyAlignment="1">
      <alignment horizontal="center" wrapText="1"/>
    </xf>
    <xf numFmtId="164" fontId="13" fillId="0" borderId="0" xfId="0" applyFont="1" applyAlignment="1">
      <alignment horizontal="center"/>
    </xf>
    <xf numFmtId="0" fontId="4" fillId="0" borderId="0" xfId="13" applyFont="1" applyAlignment="1">
      <alignment wrapText="1"/>
    </xf>
    <xf numFmtId="0" fontId="11" fillId="0" borderId="0" xfId="13" applyFont="1" applyAlignment="1">
      <alignment horizontal="center"/>
    </xf>
    <xf numFmtId="0" fontId="4" fillId="0" borderId="0" xfId="13" applyFont="1"/>
    <xf numFmtId="165" fontId="4" fillId="4" borderId="0" xfId="1" applyNumberFormat="1" applyFont="1" applyFill="1" applyAlignment="1">
      <alignment horizontal="right"/>
    </xf>
    <xf numFmtId="0" fontId="4" fillId="0" borderId="10" xfId="13" applyFont="1" applyBorder="1"/>
    <xf numFmtId="182" fontId="4" fillId="0" borderId="10" xfId="2" applyNumberFormat="1" applyFont="1" applyBorder="1"/>
    <xf numFmtId="0" fontId="11" fillId="0" borderId="0" xfId="13" applyFont="1"/>
    <xf numFmtId="0" fontId="4" fillId="0" borderId="0" xfId="13" applyFont="1" applyAlignment="1">
      <alignment horizontal="left" wrapText="1"/>
    </xf>
    <xf numFmtId="43" fontId="4" fillId="4" borderId="0" xfId="1" applyFont="1" applyFill="1"/>
    <xf numFmtId="164" fontId="4" fillId="0" borderId="0" xfId="0" quotePrefix="1" applyFont="1"/>
    <xf numFmtId="165" fontId="4" fillId="0" borderId="10" xfId="2" applyNumberFormat="1" applyFont="1" applyBorder="1"/>
    <xf numFmtId="1" fontId="4" fillId="0" borderId="0" xfId="0" applyNumberFormat="1" applyFont="1" applyAlignment="1">
      <alignment horizontal="center"/>
    </xf>
    <xf numFmtId="165" fontId="4" fillId="0" borderId="0" xfId="1" applyNumberFormat="1" applyFont="1" applyProtection="1">
      <protection locked="0"/>
    </xf>
    <xf numFmtId="43" fontId="4" fillId="4" borderId="0" xfId="1" applyFont="1" applyFill="1" applyAlignment="1">
      <alignment horizontal="center"/>
    </xf>
    <xf numFmtId="43" fontId="4" fillId="0" borderId="0" xfId="13" applyNumberFormat="1" applyFont="1"/>
    <xf numFmtId="10" fontId="4" fillId="4" borderId="0" xfId="1" applyNumberFormat="1" applyFont="1" applyFill="1"/>
    <xf numFmtId="43" fontId="4" fillId="4" borderId="3" xfId="1" applyFont="1" applyFill="1" applyBorder="1" applyAlignment="1">
      <alignment horizontal="center"/>
    </xf>
    <xf numFmtId="10" fontId="4" fillId="4" borderId="0" xfId="3" quotePrefix="1" applyNumberFormat="1" applyFont="1" applyFill="1"/>
    <xf numFmtId="1" fontId="24" fillId="0" borderId="0" xfId="0" applyNumberFormat="1" applyFont="1" applyAlignment="1">
      <alignment horizontal="center"/>
    </xf>
    <xf numFmtId="0" fontId="25" fillId="0" borderId="0" xfId="14" applyFont="1"/>
    <xf numFmtId="0" fontId="26" fillId="0" borderId="0" xfId="14" applyFont="1"/>
    <xf numFmtId="0" fontId="27" fillId="0" borderId="0" xfId="14" applyFont="1"/>
    <xf numFmtId="0" fontId="25" fillId="0" borderId="0" xfId="14" applyFont="1" applyAlignment="1">
      <alignment horizontal="center"/>
    </xf>
    <xf numFmtId="0" fontId="26" fillId="0" borderId="0" xfId="14" applyFont="1" applyAlignment="1">
      <alignment horizontal="center"/>
    </xf>
    <xf numFmtId="0" fontId="28" fillId="0" borderId="0" xfId="14" applyFont="1"/>
    <xf numFmtId="0" fontId="25" fillId="0" borderId="8" xfId="14" applyFont="1" applyBorder="1" applyAlignment="1">
      <alignment horizontal="center"/>
    </xf>
    <xf numFmtId="0" fontId="25" fillId="0" borderId="8" xfId="14" applyFont="1" applyBorder="1"/>
    <xf numFmtId="0" fontId="26" fillId="0" borderId="8" xfId="14" applyFont="1" applyBorder="1"/>
    <xf numFmtId="0" fontId="25" fillId="0" borderId="8" xfId="14" applyFont="1" applyBorder="1" applyAlignment="1">
      <alignment horizontal="center" wrapText="1"/>
    </xf>
    <xf numFmtId="0" fontId="25" fillId="0" borderId="0" xfId="14" applyFont="1" applyAlignment="1">
      <alignment horizontal="right"/>
    </xf>
    <xf numFmtId="43" fontId="26" fillId="0" borderId="0" xfId="1" applyFont="1"/>
    <xf numFmtId="165" fontId="25" fillId="0" borderId="0" xfId="1" applyNumberFormat="1" applyFont="1"/>
    <xf numFmtId="37" fontId="25" fillId="0" borderId="0" xfId="14" applyNumberFormat="1" applyFont="1"/>
    <xf numFmtId="43" fontId="25" fillId="0" borderId="0" xfId="1" applyFont="1"/>
    <xf numFmtId="43" fontId="25" fillId="0" borderId="0" xfId="14" applyNumberFormat="1" applyFont="1"/>
    <xf numFmtId="9" fontId="25" fillId="0" borderId="0" xfId="14" applyNumberFormat="1" applyFont="1" applyAlignment="1">
      <alignment horizontal="left"/>
    </xf>
    <xf numFmtId="37" fontId="25" fillId="0" borderId="0" xfId="14" applyNumberFormat="1" applyFont="1" applyAlignment="1">
      <alignment horizontal="left"/>
    </xf>
    <xf numFmtId="0" fontId="25" fillId="0" borderId="8" xfId="14" applyFont="1" applyBorder="1" applyAlignment="1">
      <alignment horizontal="right" vertical="top"/>
    </xf>
    <xf numFmtId="0" fontId="25" fillId="0" borderId="8" xfId="14" applyFont="1" applyBorder="1" applyAlignment="1">
      <alignment horizontal="center" vertical="top" wrapText="1"/>
    </xf>
    <xf numFmtId="0" fontId="25" fillId="0" borderId="0" xfId="14" applyFont="1" applyAlignment="1">
      <alignment horizontal="left"/>
    </xf>
    <xf numFmtId="0" fontId="25" fillId="4" borderId="0" xfId="1" applyNumberFormat="1" applyFont="1" applyFill="1" applyAlignment="1">
      <alignment horizontal="center"/>
    </xf>
    <xf numFmtId="165" fontId="26" fillId="0" borderId="0" xfId="1" applyNumberFormat="1" applyFont="1"/>
    <xf numFmtId="43" fontId="26" fillId="0" borderId="0" xfId="14" applyNumberFormat="1" applyFont="1"/>
    <xf numFmtId="165" fontId="25" fillId="0" borderId="0" xfId="14" applyNumberFormat="1" applyFont="1"/>
    <xf numFmtId="165" fontId="26" fillId="0" borderId="0" xfId="14" applyNumberFormat="1" applyFont="1"/>
    <xf numFmtId="41" fontId="25" fillId="0" borderId="0" xfId="14" applyNumberFormat="1" applyFont="1" applyAlignment="1">
      <alignment horizontal="center"/>
    </xf>
    <xf numFmtId="41" fontId="29" fillId="0" borderId="0" xfId="14" applyNumberFormat="1" applyFont="1" applyAlignment="1">
      <alignment horizontal="center"/>
    </xf>
    <xf numFmtId="10" fontId="26" fillId="0" borderId="0" xfId="14" applyNumberFormat="1" applyFont="1"/>
    <xf numFmtId="165" fontId="25" fillId="0" borderId="0" xfId="1" applyNumberFormat="1" applyFont="1" applyAlignment="1">
      <alignment horizontal="center"/>
    </xf>
    <xf numFmtId="165" fontId="25" fillId="0" borderId="8" xfId="1" applyNumberFormat="1" applyFont="1" applyBorder="1" applyAlignment="1">
      <alignment horizontal="center" vertical="top" wrapText="1"/>
    </xf>
    <xf numFmtId="10" fontId="25" fillId="0" borderId="0" xfId="3" applyNumberFormat="1" applyFont="1"/>
    <xf numFmtId="165" fontId="25" fillId="4" borderId="0" xfId="1" applyNumberFormat="1" applyFont="1" applyFill="1"/>
    <xf numFmtId="165" fontId="26" fillId="4" borderId="0" xfId="1" applyNumberFormat="1" applyFont="1" applyFill="1"/>
    <xf numFmtId="0" fontId="27" fillId="0" borderId="0" xfId="14" applyFont="1" applyAlignment="1">
      <alignment horizontal="right"/>
    </xf>
    <xf numFmtId="164" fontId="8" fillId="0" borderId="0" xfId="15"/>
    <xf numFmtId="0" fontId="4" fillId="0" borderId="0" xfId="16" applyNumberFormat="1" applyFont="1" applyProtection="1">
      <protection locked="0"/>
    </xf>
    <xf numFmtId="0" fontId="12" fillId="0" borderId="0" xfId="16" applyNumberFormat="1" applyFont="1" applyAlignment="1" applyProtection="1">
      <alignment horizontal="center"/>
      <protection locked="0"/>
    </xf>
    <xf numFmtId="0" fontId="12" fillId="0" borderId="0" xfId="17" applyNumberFormat="1" applyFont="1" applyAlignment="1" applyProtection="1">
      <alignment horizontal="center"/>
      <protection locked="0"/>
    </xf>
    <xf numFmtId="0" fontId="12" fillId="0" borderId="0" xfId="18" applyNumberFormat="1" applyFont="1" applyAlignment="1">
      <alignment horizontal="center"/>
    </xf>
    <xf numFmtId="0" fontId="6" fillId="0" borderId="0" xfId="18" applyNumberFormat="1" applyFont="1" applyAlignment="1">
      <alignment horizontal="center"/>
    </xf>
    <xf numFmtId="0" fontId="4" fillId="0" borderId="0" xfId="18" applyNumberFormat="1" applyFont="1" applyAlignment="1">
      <alignment horizontal="center"/>
    </xf>
    <xf numFmtId="37" fontId="4" fillId="0" borderId="0" xfId="1" quotePrefix="1" applyNumberFormat="1" applyFont="1" applyAlignment="1">
      <alignment horizontal="center"/>
    </xf>
    <xf numFmtId="0" fontId="33" fillId="0" borderId="8" xfId="15" applyNumberFormat="1" applyFont="1" applyBorder="1" applyAlignment="1">
      <alignment horizontal="center"/>
    </xf>
    <xf numFmtId="0" fontId="33" fillId="0" borderId="8" xfId="15" applyNumberFormat="1" applyFont="1" applyBorder="1" applyAlignment="1">
      <alignment horizontal="left"/>
    </xf>
    <xf numFmtId="0" fontId="33" fillId="0" borderId="8" xfId="15" applyNumberFormat="1" applyFont="1" applyBorder="1" applyAlignment="1">
      <alignment horizontal="center" wrapText="1"/>
    </xf>
    <xf numFmtId="0" fontId="34" fillId="0" borderId="0" xfId="15" applyNumberFormat="1" applyFont="1" applyAlignment="1">
      <alignment horizontal="center"/>
    </xf>
    <xf numFmtId="0" fontId="34" fillId="0" borderId="0" xfId="15" applyNumberFormat="1" applyFont="1" applyAlignment="1">
      <alignment horizontal="left"/>
    </xf>
    <xf numFmtId="0" fontId="34" fillId="0" borderId="0" xfId="15" quotePrefix="1" applyNumberFormat="1" applyFont="1" applyAlignment="1">
      <alignment horizontal="center"/>
    </xf>
    <xf numFmtId="0" fontId="34" fillId="0" borderId="0" xfId="15" applyNumberFormat="1" applyFont="1"/>
    <xf numFmtId="10" fontId="34" fillId="8" borderId="0" xfId="19" applyNumberFormat="1" applyFont="1" applyFill="1" applyAlignment="1">
      <alignment horizontal="center"/>
    </xf>
    <xf numFmtId="10" fontId="34" fillId="0" borderId="0" xfId="3" applyNumberFormat="1" applyFont="1" applyFill="1" applyAlignment="1">
      <alignment horizontal="center"/>
    </xf>
    <xf numFmtId="10" fontId="34" fillId="0" borderId="8" xfId="3" applyNumberFormat="1" applyFont="1" applyFill="1" applyBorder="1" applyAlignment="1">
      <alignment horizontal="center"/>
    </xf>
    <xf numFmtId="10" fontId="34" fillId="0" borderId="8" xfId="3" applyNumberFormat="1" applyFont="1" applyBorder="1" applyAlignment="1">
      <alignment horizontal="center"/>
    </xf>
    <xf numFmtId="0" fontId="34" fillId="0" borderId="8" xfId="15" applyNumberFormat="1" applyFont="1" applyBorder="1" applyAlignment="1">
      <alignment horizontal="center"/>
    </xf>
    <xf numFmtId="10" fontId="34" fillId="0" borderId="0" xfId="3" applyNumberFormat="1" applyFont="1" applyAlignment="1">
      <alignment horizontal="center"/>
    </xf>
    <xf numFmtId="10" fontId="34" fillId="0" borderId="0" xfId="15" applyNumberFormat="1" applyFont="1" applyAlignment="1">
      <alignment horizontal="center"/>
    </xf>
    <xf numFmtId="183" fontId="0" fillId="0" borderId="0" xfId="3" applyNumberFormat="1" applyFont="1"/>
    <xf numFmtId="10" fontId="33" fillId="0" borderId="0" xfId="3" applyNumberFormat="1" applyFont="1" applyAlignment="1">
      <alignment horizontal="center"/>
    </xf>
    <xf numFmtId="10" fontId="35" fillId="0" borderId="0" xfId="15" applyNumberFormat="1" applyFont="1" applyAlignment="1">
      <alignment horizontal="center"/>
    </xf>
    <xf numFmtId="10" fontId="33" fillId="0" borderId="0" xfId="15" applyNumberFormat="1" applyFont="1" applyAlignment="1">
      <alignment horizontal="center"/>
    </xf>
    <xf numFmtId="0" fontId="33" fillId="0" borderId="0" xfId="15" applyNumberFormat="1" applyFont="1" applyAlignment="1">
      <alignment horizontal="center"/>
    </xf>
    <xf numFmtId="0" fontId="34" fillId="0" borderId="0" xfId="15" applyNumberFormat="1" applyFont="1" applyAlignment="1">
      <alignment horizontal="left" indent="2"/>
    </xf>
    <xf numFmtId="184" fontId="0" fillId="0" borderId="0" xfId="3" applyNumberFormat="1" applyFont="1"/>
    <xf numFmtId="164" fontId="8" fillId="0" borderId="8" xfId="15" applyBorder="1"/>
    <xf numFmtId="0" fontId="34" fillId="0" borderId="8" xfId="15" applyNumberFormat="1" applyFont="1" applyBorder="1"/>
    <xf numFmtId="10" fontId="34" fillId="0" borderId="8" xfId="15" applyNumberFormat="1" applyFont="1" applyBorder="1" applyAlignment="1">
      <alignment horizontal="center"/>
    </xf>
    <xf numFmtId="10" fontId="34" fillId="0" borderId="0" xfId="15" applyNumberFormat="1" applyFont="1"/>
    <xf numFmtId="10" fontId="33" fillId="0" borderId="0" xfId="15" applyNumberFormat="1" applyFont="1"/>
    <xf numFmtId="185" fontId="0" fillId="0" borderId="0" xfId="3" applyNumberFormat="1" applyFont="1"/>
    <xf numFmtId="186" fontId="0" fillId="0" borderId="0" xfId="3" applyNumberFormat="1" applyFont="1"/>
    <xf numFmtId="171" fontId="0" fillId="0" borderId="0" xfId="3" applyNumberFormat="1" applyFont="1"/>
    <xf numFmtId="10" fontId="0" fillId="0" borderId="0" xfId="3" applyNumberFormat="1" applyFont="1"/>
    <xf numFmtId="0" fontId="33" fillId="0" borderId="0" xfId="15" applyNumberFormat="1" applyFont="1" applyAlignment="1">
      <alignment wrapText="1"/>
    </xf>
    <xf numFmtId="0" fontId="33" fillId="0" borderId="0" xfId="15" applyNumberFormat="1" applyFont="1" applyAlignment="1">
      <alignment horizontal="center" wrapText="1"/>
    </xf>
    <xf numFmtId="0" fontId="33" fillId="0" borderId="0" xfId="15" applyNumberFormat="1" applyFont="1"/>
    <xf numFmtId="187" fontId="34" fillId="0" borderId="0" xfId="15" applyNumberFormat="1" applyFont="1"/>
    <xf numFmtId="0" fontId="34" fillId="0" borderId="0" xfId="15" applyNumberFormat="1" applyFont="1" applyAlignment="1">
      <alignment horizontal="right"/>
    </xf>
    <xf numFmtId="10" fontId="34" fillId="0" borderId="10" xfId="3" applyNumberFormat="1" applyFont="1" applyFill="1" applyBorder="1" applyAlignment="1">
      <alignment horizontal="center"/>
    </xf>
    <xf numFmtId="43" fontId="34" fillId="0" borderId="0" xfId="1" applyFont="1" applyFill="1"/>
    <xf numFmtId="164" fontId="8" fillId="0" borderId="0" xfId="15" applyAlignment="1">
      <alignment horizontal="center"/>
    </xf>
    <xf numFmtId="10" fontId="34" fillId="0" borderId="0" xfId="3" applyNumberFormat="1" applyFont="1" applyFill="1"/>
    <xf numFmtId="164" fontId="4" fillId="0" borderId="0" xfId="15" applyFont="1"/>
    <xf numFmtId="164" fontId="4" fillId="0" borderId="8" xfId="15" applyFont="1" applyBorder="1"/>
    <xf numFmtId="0" fontId="33" fillId="0" borderId="8" xfId="14" applyFont="1" applyBorder="1" applyAlignment="1">
      <alignment wrapText="1"/>
    </xf>
    <xf numFmtId="0" fontId="33" fillId="0" borderId="0" xfId="14" applyFont="1" applyAlignment="1">
      <alignment wrapText="1"/>
    </xf>
    <xf numFmtId="165" fontId="34" fillId="0" borderId="0" xfId="1" applyNumberFormat="1" applyFont="1" applyBorder="1" applyAlignment="1">
      <alignment horizontal="center"/>
    </xf>
    <xf numFmtId="164" fontId="12" fillId="0" borderId="8" xfId="14" applyNumberFormat="1" applyFont="1" applyBorder="1" applyAlignment="1">
      <alignment horizontal="center" wrapText="1"/>
    </xf>
    <xf numFmtId="0" fontId="33" fillId="0" borderId="8" xfId="14" applyFont="1" applyBorder="1" applyAlignment="1">
      <alignment horizontal="left"/>
    </xf>
    <xf numFmtId="0" fontId="33" fillId="0" borderId="8" xfId="14" applyFont="1" applyBorder="1" applyAlignment="1">
      <alignment horizontal="center"/>
    </xf>
    <xf numFmtId="0" fontId="33" fillId="0" borderId="8" xfId="14" applyFont="1" applyBorder="1" applyAlignment="1">
      <alignment horizontal="center" wrapText="1"/>
    </xf>
    <xf numFmtId="0" fontId="34" fillId="0" borderId="8" xfId="14" applyFont="1" applyBorder="1" applyAlignment="1">
      <alignment horizontal="center"/>
    </xf>
    <xf numFmtId="0" fontId="34" fillId="0" borderId="0" xfId="14" applyFont="1" applyAlignment="1">
      <alignment horizontal="center" wrapText="1"/>
    </xf>
    <xf numFmtId="37" fontId="4" fillId="0" borderId="0" xfId="20" applyNumberFormat="1" applyFont="1" applyAlignment="1">
      <alignment horizontal="center"/>
    </xf>
    <xf numFmtId="0" fontId="34" fillId="8" borderId="0" xfId="14" applyFont="1" applyFill="1"/>
    <xf numFmtId="0" fontId="34" fillId="0" borderId="0" xfId="14" applyFont="1"/>
    <xf numFmtId="0" fontId="34" fillId="0" borderId="0" xfId="14" applyFont="1" applyAlignment="1">
      <alignment horizontal="center"/>
    </xf>
    <xf numFmtId="10" fontId="34" fillId="0" borderId="0" xfId="3" applyNumberFormat="1" applyFont="1"/>
    <xf numFmtId="37" fontId="4" fillId="0" borderId="8" xfId="20" applyNumberFormat="1" applyFont="1" applyBorder="1" applyAlignment="1">
      <alignment horizontal="center"/>
    </xf>
    <xf numFmtId="0" fontId="34" fillId="8" borderId="8" xfId="14" applyFont="1" applyFill="1" applyBorder="1"/>
    <xf numFmtId="0" fontId="34" fillId="0" borderId="8" xfId="14" applyFont="1" applyBorder="1"/>
    <xf numFmtId="10" fontId="34" fillId="8" borderId="8" xfId="19" applyNumberFormat="1" applyFont="1" applyFill="1" applyBorder="1" applyAlignment="1">
      <alignment horizontal="center"/>
    </xf>
    <xf numFmtId="0" fontId="34" fillId="0" borderId="0" xfId="14" applyFont="1" applyAlignment="1">
      <alignment horizontal="left" indent="1"/>
    </xf>
    <xf numFmtId="10" fontId="34" fillId="0" borderId="10" xfId="3" applyNumberFormat="1" applyFont="1" applyBorder="1" applyAlignment="1">
      <alignment horizontal="center"/>
    </xf>
    <xf numFmtId="10" fontId="34" fillId="0" borderId="0" xfId="3" applyNumberFormat="1" applyFont="1" applyBorder="1"/>
    <xf numFmtId="164" fontId="25" fillId="0" borderId="0" xfId="14" applyNumberFormat="1" applyFont="1" applyAlignment="1">
      <alignment horizontal="right"/>
    </xf>
    <xf numFmtId="164" fontId="25" fillId="0" borderId="0" xfId="14" applyNumberFormat="1" applyFont="1"/>
    <xf numFmtId="43" fontId="25" fillId="0" borderId="0" xfId="20" applyFont="1"/>
    <xf numFmtId="0" fontId="4" fillId="0" borderId="0" xfId="21" applyNumberFormat="1" applyFont="1" applyAlignment="1" applyProtection="1">
      <alignment horizontal="center"/>
      <protection locked="0"/>
    </xf>
    <xf numFmtId="164" fontId="22" fillId="0" borderId="0" xfId="0" applyFont="1"/>
    <xf numFmtId="164" fontId="19" fillId="0" borderId="0" xfId="7" applyFont="1" applyAlignment="1">
      <alignment horizontal="center"/>
    </xf>
    <xf numFmtId="164" fontId="22" fillId="0" borderId="9" xfId="0" applyFont="1" applyBorder="1"/>
    <xf numFmtId="164" fontId="22" fillId="0" borderId="10" xfId="0" applyFont="1" applyBorder="1"/>
    <xf numFmtId="164" fontId="22" fillId="0" borderId="11" xfId="0" applyFont="1" applyBorder="1"/>
    <xf numFmtId="164" fontId="22" fillId="0" borderId="17" xfId="0" applyFont="1" applyBorder="1"/>
    <xf numFmtId="164" fontId="22" fillId="0" borderId="8" xfId="0" applyFont="1" applyBorder="1"/>
    <xf numFmtId="164" fontId="22" fillId="0" borderId="18" xfId="0" applyFont="1" applyBorder="1"/>
    <xf numFmtId="0" fontId="19" fillId="0" borderId="0" xfId="1" applyNumberFormat="1" applyFont="1" applyAlignment="1">
      <alignment horizontal="center"/>
    </xf>
    <xf numFmtId="164" fontId="22" fillId="4" borderId="0" xfId="0" applyFont="1" applyFill="1"/>
    <xf numFmtId="164" fontId="22" fillId="0" borderId="2" xfId="0" applyFont="1" applyBorder="1"/>
    <xf numFmtId="164" fontId="22" fillId="0" borderId="1" xfId="0" applyFont="1" applyBorder="1" applyAlignment="1">
      <alignment horizontal="center"/>
    </xf>
    <xf numFmtId="164" fontId="22" fillId="0" borderId="13" xfId="0" applyFont="1" applyBorder="1" applyAlignment="1">
      <alignment horizontal="center"/>
    </xf>
    <xf numFmtId="164" fontId="22" fillId="0" borderId="6" xfId="0" applyFont="1" applyBorder="1" applyAlignment="1">
      <alignment horizontal="center"/>
    </xf>
    <xf numFmtId="164" fontId="22" fillId="0" borderId="0" xfId="0" applyFont="1" applyAlignment="1">
      <alignment horizontal="center"/>
    </xf>
    <xf numFmtId="164" fontId="22" fillId="0" borderId="2" xfId="0" applyFont="1" applyBorder="1" applyAlignment="1">
      <alignment horizontal="center"/>
    </xf>
    <xf numFmtId="164" fontId="22" fillId="0" borderId="16" xfId="0" applyFont="1" applyBorder="1" applyAlignment="1">
      <alignment horizontal="center"/>
    </xf>
    <xf numFmtId="164" fontId="22" fillId="0" borderId="16" xfId="0" applyFont="1" applyBorder="1"/>
    <xf numFmtId="164" fontId="4" fillId="0" borderId="16" xfId="0" applyFont="1" applyBorder="1" applyAlignment="1">
      <alignment horizontal="center"/>
    </xf>
    <xf numFmtId="164" fontId="22" fillId="4" borderId="2" xfId="0" applyFont="1" applyFill="1" applyBorder="1"/>
    <xf numFmtId="43" fontId="22" fillId="4" borderId="9" xfId="1" applyFont="1" applyFill="1" applyBorder="1"/>
    <xf numFmtId="43" fontId="22" fillId="4" borderId="9" xfId="1" applyFont="1" applyFill="1" applyBorder="1" applyAlignment="1">
      <alignment horizontal="center"/>
    </xf>
    <xf numFmtId="43" fontId="22" fillId="0" borderId="2" xfId="1" applyFont="1" applyBorder="1"/>
    <xf numFmtId="43" fontId="22" fillId="4" borderId="11" xfId="1" applyFont="1" applyFill="1" applyBorder="1"/>
    <xf numFmtId="43" fontId="22" fillId="0" borderId="2" xfId="1" applyFont="1" applyBorder="1" applyAlignment="1">
      <alignment horizontal="center"/>
    </xf>
    <xf numFmtId="164" fontId="22" fillId="4" borderId="16" xfId="0" applyFont="1" applyFill="1" applyBorder="1"/>
    <xf numFmtId="43" fontId="22" fillId="4" borderId="15" xfId="1" applyFont="1" applyFill="1" applyBorder="1"/>
    <xf numFmtId="43" fontId="22" fillId="4" borderId="15" xfId="1" applyFont="1" applyFill="1" applyBorder="1" applyAlignment="1">
      <alignment horizontal="center"/>
    </xf>
    <xf numFmtId="43" fontId="22" fillId="0" borderId="16" xfId="1" applyFont="1" applyBorder="1"/>
    <xf numFmtId="43" fontId="22" fillId="4" borderId="19" xfId="1" applyFont="1" applyFill="1" applyBorder="1"/>
    <xf numFmtId="164" fontId="22" fillId="4" borderId="6" xfId="0" applyFont="1" applyFill="1" applyBorder="1"/>
    <xf numFmtId="43" fontId="22" fillId="4" borderId="17" xfId="1" applyFont="1" applyFill="1" applyBorder="1"/>
    <xf numFmtId="43" fontId="22" fillId="4" borderId="17" xfId="1" applyFont="1" applyFill="1" applyBorder="1" applyAlignment="1">
      <alignment horizontal="center"/>
    </xf>
    <xf numFmtId="43" fontId="22" fillId="0" borderId="6" xfId="1" applyFont="1" applyBorder="1"/>
    <xf numFmtId="43" fontId="22" fillId="4" borderId="18" xfId="1" applyFont="1" applyFill="1" applyBorder="1"/>
    <xf numFmtId="43" fontId="22" fillId="0" borderId="0" xfId="1" applyFont="1"/>
    <xf numFmtId="43" fontId="22" fillId="0" borderId="0" xfId="1" applyFont="1" applyAlignment="1">
      <alignment horizontal="center"/>
    </xf>
    <xf numFmtId="165" fontId="19" fillId="0" borderId="0" xfId="1" applyNumberFormat="1" applyFont="1"/>
    <xf numFmtId="165" fontId="4" fillId="0" borderId="0" xfId="1" applyNumberFormat="1" applyFont="1" applyAlignment="1">
      <alignment horizontal="left" vertical="top"/>
    </xf>
    <xf numFmtId="182" fontId="4" fillId="0" borderId="0" xfId="2" applyNumberFormat="1" applyFont="1"/>
    <xf numFmtId="182" fontId="0" fillId="0" borderId="0" xfId="2" applyNumberFormat="1" applyFont="1"/>
    <xf numFmtId="0" fontId="19" fillId="0" borderId="0" xfId="7" applyNumberFormat="1" applyFont="1"/>
    <xf numFmtId="164" fontId="12" fillId="0" borderId="0" xfId="7" applyFont="1"/>
    <xf numFmtId="49" fontId="4" fillId="0" borderId="0" xfId="1" applyNumberFormat="1" applyFont="1" applyAlignment="1">
      <alignment horizontal="center"/>
    </xf>
    <xf numFmtId="164" fontId="4" fillId="0" borderId="0" xfId="7" quotePrefix="1" applyFont="1" applyAlignment="1">
      <alignment horizontal="left"/>
    </xf>
    <xf numFmtId="164" fontId="4" fillId="0" borderId="0" xfId="7" applyFont="1" applyAlignment="1">
      <alignment horizontal="center" wrapText="1"/>
    </xf>
    <xf numFmtId="43" fontId="4" fillId="0" borderId="10" xfId="1" applyFont="1" applyBorder="1"/>
    <xf numFmtId="1" fontId="4" fillId="0" borderId="0" xfId="7" applyNumberFormat="1" applyFont="1" applyAlignment="1">
      <alignment horizontal="left"/>
    </xf>
    <xf numFmtId="0" fontId="4" fillId="0" borderId="0" xfId="22" applyFont="1"/>
    <xf numFmtId="165" fontId="4" fillId="0" borderId="4" xfId="1" applyNumberFormat="1" applyFont="1" applyFill="1" applyBorder="1"/>
    <xf numFmtId="165" fontId="4" fillId="0" borderId="7" xfId="1" applyNumberFormat="1" applyFont="1" applyFill="1" applyBorder="1"/>
    <xf numFmtId="176" fontId="4" fillId="0" borderId="0" xfId="1" applyNumberFormat="1" applyFont="1"/>
    <xf numFmtId="165" fontId="4" fillId="0" borderId="3" xfId="1" applyNumberFormat="1" applyFont="1" applyBorder="1" applyAlignment="1">
      <alignment horizontal="center"/>
    </xf>
    <xf numFmtId="9" fontId="4" fillId="0" borderId="3" xfId="3" applyFont="1" applyBorder="1" applyAlignment="1">
      <alignment horizontal="center"/>
    </xf>
    <xf numFmtId="10" fontId="4" fillId="4" borderId="0" xfId="3" applyNumberFormat="1" applyFont="1" applyFill="1" applyAlignment="1" applyProtection="1">
      <alignment horizontal="center"/>
      <protection locked="0"/>
    </xf>
    <xf numFmtId="0" fontId="4" fillId="0" borderId="0" xfId="6" applyNumberFormat="1" applyFont="1" applyAlignment="1" applyProtection="1">
      <alignment horizontal="center" vertical="top"/>
      <protection locked="0"/>
    </xf>
    <xf numFmtId="0" fontId="4" fillId="0" borderId="0" xfId="4" applyFont="1" applyAlignment="1">
      <alignment wrapText="1"/>
    </xf>
    <xf numFmtId="43" fontId="4" fillId="0" borderId="0" xfId="1" applyFont="1" applyAlignment="1" applyProtection="1">
      <alignment vertical="top"/>
      <protection locked="0"/>
    </xf>
    <xf numFmtId="0" fontId="14" fillId="0" borderId="0" xfId="0" applyNumberFormat="1" applyFont="1" applyAlignment="1" applyProtection="1">
      <alignment vertical="top"/>
      <protection locked="0"/>
    </xf>
    <xf numFmtId="167" fontId="4" fillId="0" borderId="0" xfId="6" applyNumberFormat="1" applyFont="1" applyAlignment="1" applyProtection="1">
      <alignment vertical="top"/>
    </xf>
    <xf numFmtId="3" fontId="4" fillId="0" borderId="0" xfId="6" applyNumberFormat="1" applyFont="1" applyAlignment="1" applyProtection="1">
      <alignment vertical="top"/>
    </xf>
    <xf numFmtId="43" fontId="4" fillId="0" borderId="16" xfId="1" applyFont="1" applyBorder="1"/>
    <xf numFmtId="165" fontId="4" fillId="0" borderId="16" xfId="1" applyNumberFormat="1" applyFont="1" applyFill="1" applyBorder="1"/>
    <xf numFmtId="0" fontId="4" fillId="4" borderId="0" xfId="7" applyNumberFormat="1" applyFont="1" applyFill="1"/>
    <xf numFmtId="164" fontId="5" fillId="0" borderId="0" xfId="7"/>
    <xf numFmtId="0" fontId="26" fillId="0" borderId="0" xfId="7" applyNumberFormat="1" applyFont="1"/>
    <xf numFmtId="0" fontId="27" fillId="0" borderId="0" xfId="7" applyNumberFormat="1" applyFont="1" applyAlignment="1">
      <alignment horizontal="center"/>
    </xf>
    <xf numFmtId="0" fontId="27" fillId="0" borderId="0" xfId="6" applyNumberFormat="1" applyFont="1" applyAlignment="1">
      <alignment horizontal="center"/>
    </xf>
    <xf numFmtId="164" fontId="27" fillId="0" borderId="0" xfId="0" applyFont="1" applyAlignment="1">
      <alignment horizontal="center"/>
    </xf>
    <xf numFmtId="165" fontId="27" fillId="0" borderId="0" xfId="1" applyNumberFormat="1" applyFont="1" applyAlignment="1">
      <alignment horizontal="center"/>
    </xf>
    <xf numFmtId="43" fontId="4" fillId="2" borderId="0" xfId="1" applyFont="1" applyFill="1" applyAlignment="1">
      <alignment horizontal="center"/>
    </xf>
    <xf numFmtId="9" fontId="4" fillId="0" borderId="0" xfId="3" applyFont="1"/>
    <xf numFmtId="170" fontId="4" fillId="0" borderId="0" xfId="1" applyNumberFormat="1" applyFont="1"/>
    <xf numFmtId="164" fontId="4" fillId="0" borderId="0" xfId="6" applyFont="1" applyAlignment="1">
      <alignment wrapText="1"/>
    </xf>
    <xf numFmtId="10" fontId="22" fillId="0" borderId="0" xfId="23" applyNumberFormat="1" applyFont="1"/>
    <xf numFmtId="170" fontId="4" fillId="0" borderId="3" xfId="1" applyNumberFormat="1" applyFont="1" applyBorder="1"/>
    <xf numFmtId="43" fontId="4" fillId="0" borderId="0" xfId="1" applyFont="1" applyFill="1" applyAlignment="1">
      <alignment horizontal="left"/>
    </xf>
    <xf numFmtId="173" fontId="4" fillId="0" borderId="0" xfId="1" applyNumberFormat="1" applyFont="1" applyAlignment="1">
      <alignment horizontal="right"/>
    </xf>
    <xf numFmtId="43" fontId="4" fillId="0" borderId="0" xfId="1" applyFont="1" applyAlignment="1">
      <alignment horizontal="left"/>
    </xf>
    <xf numFmtId="43" fontId="4" fillId="0" borderId="3" xfId="1" applyFont="1" applyBorder="1" applyAlignment="1">
      <alignment horizontal="right"/>
    </xf>
    <xf numFmtId="165" fontId="4" fillId="0" borderId="0" xfId="0" applyNumberFormat="1" applyFont="1"/>
    <xf numFmtId="165" fontId="4" fillId="0" borderId="0" xfId="1" applyNumberFormat="1" applyFont="1" applyAlignment="1">
      <alignment horizontal="left" indent="2"/>
    </xf>
    <xf numFmtId="165" fontId="4" fillId="0" borderId="0" xfId="1" applyNumberFormat="1" applyFont="1" applyAlignment="1"/>
    <xf numFmtId="7" fontId="41" fillId="0" borderId="0" xfId="24" applyFont="1"/>
    <xf numFmtId="7" fontId="41" fillId="0" borderId="0" xfId="24" applyFont="1" applyAlignment="1">
      <alignment horizontal="center"/>
    </xf>
    <xf numFmtId="7" fontId="42" fillId="0" borderId="0" xfId="24" applyFont="1" applyAlignment="1">
      <alignment horizontal="center"/>
    </xf>
    <xf numFmtId="7" fontId="42" fillId="0" borderId="0" xfId="24" applyFont="1"/>
    <xf numFmtId="183" fontId="43" fillId="0" borderId="0" xfId="25" applyNumberFormat="1" applyFont="1" applyAlignment="1">
      <alignment horizontal="center"/>
    </xf>
    <xf numFmtId="180" fontId="42" fillId="0" borderId="0" xfId="1" applyNumberFormat="1" applyFont="1" applyAlignment="1">
      <alignment horizontal="left"/>
    </xf>
    <xf numFmtId="183" fontId="42" fillId="0" borderId="0" xfId="25" applyNumberFormat="1" applyFont="1" applyAlignment="1">
      <alignment horizontal="center"/>
    </xf>
    <xf numFmtId="180" fontId="41" fillId="0" borderId="0" xfId="1" applyNumberFormat="1" applyFont="1" applyAlignment="1">
      <alignment horizontal="left"/>
    </xf>
    <xf numFmtId="183" fontId="42" fillId="0" borderId="0" xfId="25" applyNumberFormat="1" applyFont="1"/>
    <xf numFmtId="10" fontId="42" fillId="0" borderId="0" xfId="24" applyNumberFormat="1" applyFont="1"/>
    <xf numFmtId="183" fontId="4" fillId="0" borderId="0" xfId="25" applyNumberFormat="1" applyFont="1"/>
    <xf numFmtId="7" fontId="4" fillId="0" borderId="0" xfId="24" quotePrefix="1" applyFont="1"/>
    <xf numFmtId="7" fontId="42" fillId="0" borderId="0" xfId="24" applyFont="1" applyAlignment="1">
      <alignment horizontal="left"/>
    </xf>
    <xf numFmtId="7" fontId="4" fillId="0" borderId="0" xfId="24" applyFont="1"/>
    <xf numFmtId="183" fontId="4" fillId="0" borderId="0" xfId="25" applyNumberFormat="1" applyFont="1" applyAlignment="1">
      <alignment horizontal="center"/>
    </xf>
    <xf numFmtId="164" fontId="42" fillId="0" borderId="0" xfId="0" applyFont="1"/>
    <xf numFmtId="2" fontId="42" fillId="0" borderId="0" xfId="0" applyNumberFormat="1" applyFont="1" applyAlignment="1">
      <alignment horizontal="left"/>
    </xf>
    <xf numFmtId="164" fontId="42" fillId="0" borderId="0" xfId="0" applyFont="1" applyAlignment="1">
      <alignment horizontal="left"/>
    </xf>
    <xf numFmtId="10" fontId="42" fillId="0" borderId="0" xfId="3"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3" fillId="0" borderId="0" xfId="12" applyAlignment="1">
      <alignment horizontal="center"/>
    </xf>
    <xf numFmtId="0" fontId="44" fillId="0" borderId="0" xfId="12" applyFont="1" applyAlignment="1">
      <alignment horizontal="left"/>
    </xf>
    <xf numFmtId="0" fontId="3" fillId="0" borderId="0" xfId="12"/>
    <xf numFmtId="164" fontId="45" fillId="0" borderId="0" xfId="7" applyFont="1" applyAlignment="1">
      <alignment horizontal="center"/>
    </xf>
    <xf numFmtId="164" fontId="39" fillId="0" borderId="0" xfId="0" applyFont="1"/>
    <xf numFmtId="0" fontId="22" fillId="0" borderId="0" xfId="23" applyFont="1"/>
    <xf numFmtId="0" fontId="17" fillId="0" borderId="0" xfId="12" applyFont="1" applyAlignment="1">
      <alignment horizontal="left"/>
    </xf>
    <xf numFmtId="164" fontId="12" fillId="0" borderId="0" xfId="7" applyFont="1" applyAlignment="1">
      <alignment horizontal="center"/>
    </xf>
    <xf numFmtId="0" fontId="46" fillId="0" borderId="0" xfId="26" applyFont="1" applyAlignment="1">
      <alignment horizontal="center"/>
    </xf>
    <xf numFmtId="164" fontId="12" fillId="0" borderId="0" xfId="7" applyFont="1" applyAlignment="1">
      <alignment horizontal="center" wrapText="1"/>
    </xf>
    <xf numFmtId="0" fontId="12" fillId="0" borderId="0" xfId="26" applyFont="1" applyAlignment="1">
      <alignment horizontal="center"/>
    </xf>
    <xf numFmtId="3" fontId="3" fillId="0" borderId="0" xfId="12" applyNumberFormat="1"/>
    <xf numFmtId="164" fontId="46" fillId="0" borderId="0" xfId="7" applyFont="1" applyAlignment="1">
      <alignment horizontal="center" wrapText="1"/>
    </xf>
    <xf numFmtId="0" fontId="3" fillId="0" borderId="0" xfId="27" applyFont="1"/>
    <xf numFmtId="167" fontId="3" fillId="0" borderId="0" xfId="27" applyNumberFormat="1" applyFont="1" applyAlignment="1">
      <alignment horizontal="right"/>
    </xf>
    <xf numFmtId="167" fontId="3" fillId="0" borderId="0" xfId="7" applyNumberFormat="1" applyFont="1"/>
    <xf numFmtId="3" fontId="4" fillId="0" borderId="0" xfId="12" applyNumberFormat="1" applyFont="1"/>
    <xf numFmtId="164" fontId="12" fillId="0" borderId="8" xfId="7" applyFont="1" applyBorder="1" applyAlignment="1">
      <alignment horizontal="center" wrapText="1"/>
    </xf>
    <xf numFmtId="165" fontId="3" fillId="0" borderId="0" xfId="28" applyNumberFormat="1" applyFont="1" applyAlignment="1">
      <alignment horizontal="right"/>
    </xf>
    <xf numFmtId="0" fontId="4" fillId="0" borderId="0" xfId="27" applyFont="1"/>
    <xf numFmtId="169" fontId="3" fillId="0" borderId="0" xfId="27" applyNumberFormat="1" applyFont="1"/>
    <xf numFmtId="164" fontId="3" fillId="0" borderId="0" xfId="7" applyFont="1"/>
    <xf numFmtId="169" fontId="4" fillId="0" borderId="0" xfId="29" applyNumberFormat="1" applyFont="1"/>
    <xf numFmtId="165" fontId="4" fillId="2" borderId="0" xfId="28" applyNumberFormat="1" applyFont="1" applyFill="1" applyAlignment="1">
      <alignment horizontal="right"/>
    </xf>
    <xf numFmtId="165" fontId="4" fillId="0" borderId="0" xfId="28" applyNumberFormat="1" applyFont="1" applyAlignment="1">
      <alignment horizontal="right"/>
    </xf>
    <xf numFmtId="167" fontId="4" fillId="0" borderId="0" xfId="27" applyNumberFormat="1" applyFont="1"/>
    <xf numFmtId="164" fontId="4" fillId="4" borderId="0" xfId="0" applyFont="1" applyFill="1"/>
    <xf numFmtId="0" fontId="4" fillId="0" borderId="0" xfId="0" applyNumberFormat="1" applyFont="1" applyAlignment="1">
      <alignment horizontal="center" vertical="center"/>
    </xf>
    <xf numFmtId="164" fontId="4" fillId="0" borderId="3" xfId="7" applyFont="1" applyBorder="1" applyAlignment="1">
      <alignment horizontal="center"/>
    </xf>
    <xf numFmtId="0" fontId="25" fillId="0" borderId="0" xfId="14" applyFont="1" applyAlignment="1">
      <alignment horizontal="center" wrapText="1"/>
    </xf>
    <xf numFmtId="0" fontId="25" fillId="2" borderId="20" xfId="14" applyFont="1" applyFill="1" applyBorder="1"/>
    <xf numFmtId="41" fontId="25" fillId="2" borderId="1" xfId="14" applyNumberFormat="1" applyFont="1" applyFill="1" applyBorder="1"/>
    <xf numFmtId="41" fontId="25" fillId="2" borderId="1" xfId="30" applyFont="1" applyFill="1" applyBorder="1"/>
    <xf numFmtId="0" fontId="25" fillId="2" borderId="21" xfId="14" applyFont="1" applyFill="1" applyBorder="1" applyAlignment="1">
      <alignment wrapText="1"/>
    </xf>
    <xf numFmtId="0" fontId="25" fillId="2" borderId="20" xfId="14" applyFont="1" applyFill="1" applyBorder="1" applyAlignment="1">
      <alignment wrapText="1"/>
    </xf>
    <xf numFmtId="0" fontId="25" fillId="2" borderId="1" xfId="14" applyFont="1" applyFill="1" applyBorder="1"/>
    <xf numFmtId="0" fontId="25" fillId="3" borderId="20" xfId="14" applyFont="1" applyFill="1" applyBorder="1" applyAlignment="1">
      <alignment wrapText="1"/>
    </xf>
    <xf numFmtId="41" fontId="25" fillId="3" borderId="1" xfId="14" applyNumberFormat="1" applyFont="1" applyFill="1" applyBorder="1"/>
    <xf numFmtId="0" fontId="25" fillId="3" borderId="21" xfId="14" applyFont="1" applyFill="1" applyBorder="1" applyAlignment="1">
      <alignment wrapText="1"/>
    </xf>
    <xf numFmtId="0" fontId="25" fillId="0" borderId="22" xfId="14" applyFont="1" applyBorder="1"/>
    <xf numFmtId="165" fontId="25" fillId="0" borderId="1" xfId="1" applyNumberFormat="1" applyFont="1" applyBorder="1"/>
    <xf numFmtId="37" fontId="25" fillId="0" borderId="21" xfId="14" applyNumberFormat="1" applyFont="1" applyBorder="1" applyAlignment="1">
      <alignment wrapText="1"/>
    </xf>
    <xf numFmtId="0" fontId="25" fillId="0" borderId="23" xfId="14" applyFont="1" applyBorder="1"/>
    <xf numFmtId="165" fontId="25" fillId="2" borderId="1" xfId="1" applyNumberFormat="1" applyFont="1" applyFill="1" applyBorder="1"/>
    <xf numFmtId="165" fontId="25" fillId="2" borderId="1" xfId="1" applyNumberFormat="1" applyFont="1" applyFill="1" applyBorder="1" applyAlignment="1">
      <alignment horizontal="right"/>
    </xf>
    <xf numFmtId="165" fontId="25" fillId="2" borderId="1" xfId="1" applyNumberFormat="1" applyFont="1" applyFill="1" applyBorder="1" applyAlignment="1">
      <alignment horizontal="center"/>
    </xf>
    <xf numFmtId="0" fontId="25" fillId="0" borderId="24" xfId="14" applyFont="1" applyBorder="1"/>
    <xf numFmtId="165" fontId="25" fillId="2" borderId="2" xfId="1" applyNumberFormat="1" applyFont="1" applyFill="1" applyBorder="1"/>
    <xf numFmtId="0" fontId="25" fillId="2" borderId="25" xfId="14" applyFont="1" applyFill="1" applyBorder="1" applyAlignment="1">
      <alignment wrapText="1"/>
    </xf>
    <xf numFmtId="0" fontId="25" fillId="0" borderId="26" xfId="14" applyFont="1" applyBorder="1"/>
    <xf numFmtId="165" fontId="25" fillId="0" borderId="27" xfId="1" applyNumberFormat="1" applyFont="1" applyBorder="1"/>
    <xf numFmtId="0" fontId="25" fillId="0" borderId="28" xfId="14" applyFont="1" applyBorder="1" applyAlignment="1">
      <alignment wrapText="1"/>
    </xf>
    <xf numFmtId="37" fontId="25" fillId="0" borderId="0" xfId="14" applyNumberFormat="1" applyFont="1" applyAlignment="1">
      <alignment horizontal="center"/>
    </xf>
    <xf numFmtId="37" fontId="25" fillId="0" borderId="0" xfId="14" applyNumberFormat="1" applyFont="1" applyAlignment="1">
      <alignment wrapText="1"/>
    </xf>
    <xf numFmtId="0" fontId="25" fillId="0" borderId="0" xfId="14" applyFont="1" applyAlignment="1">
      <alignment wrapText="1"/>
    </xf>
    <xf numFmtId="37" fontId="25" fillId="2" borderId="22" xfId="14" applyNumberFormat="1" applyFont="1" applyFill="1" applyBorder="1" applyAlignment="1">
      <alignment horizontal="center"/>
    </xf>
    <xf numFmtId="37" fontId="25" fillId="2" borderId="1" xfId="14" applyNumberFormat="1" applyFont="1" applyFill="1" applyBorder="1"/>
    <xf numFmtId="0" fontId="25" fillId="2" borderId="22" xfId="14" applyFont="1" applyFill="1" applyBorder="1" applyAlignment="1">
      <alignment horizontal="center"/>
    </xf>
    <xf numFmtId="41" fontId="25" fillId="3" borderId="1" xfId="30" applyFont="1" applyFill="1" applyBorder="1"/>
    <xf numFmtId="0" fontId="25" fillId="0" borderId="20" xfId="14" applyFont="1" applyBorder="1"/>
    <xf numFmtId="0" fontId="25" fillId="0" borderId="29" xfId="14" applyFont="1" applyBorder="1"/>
    <xf numFmtId="0" fontId="25" fillId="2" borderId="20" xfId="31" applyFont="1" applyFill="1" applyBorder="1"/>
    <xf numFmtId="41" fontId="25" fillId="0" borderId="0" xfId="30" applyFont="1"/>
    <xf numFmtId="0" fontId="25" fillId="0" borderId="30" xfId="14" applyFont="1" applyBorder="1"/>
    <xf numFmtId="165" fontId="25" fillId="2" borderId="2" xfId="1" applyNumberFormat="1" applyFont="1" applyFill="1" applyBorder="1" applyAlignment="1">
      <alignment horizontal="right"/>
    </xf>
    <xf numFmtId="165" fontId="25" fillId="0" borderId="27" xfId="1" applyNumberFormat="1" applyFont="1" applyBorder="1" applyAlignment="1">
      <alignment horizontal="right"/>
    </xf>
    <xf numFmtId="165" fontId="25" fillId="0" borderId="0" xfId="14" applyNumberFormat="1" applyFont="1" applyAlignment="1">
      <alignment wrapText="1"/>
    </xf>
    <xf numFmtId="0" fontId="25" fillId="0" borderId="0" xfId="14" applyFont="1" applyAlignment="1">
      <alignment horizontal="centerContinuous"/>
    </xf>
    <xf numFmtId="0" fontId="26" fillId="0" borderId="8" xfId="14" applyFont="1" applyBorder="1" applyAlignment="1">
      <alignment horizontal="center" wrapText="1"/>
    </xf>
    <xf numFmtId="43" fontId="25" fillId="0" borderId="0" xfId="1" applyFont="1" applyAlignment="1">
      <alignment horizontal="center"/>
    </xf>
    <xf numFmtId="0" fontId="19" fillId="0" borderId="0" xfId="14" applyFont="1"/>
    <xf numFmtId="0" fontId="19" fillId="0" borderId="0" xfId="14" applyFont="1" applyAlignment="1">
      <alignment horizontal="right"/>
    </xf>
    <xf numFmtId="0" fontId="19" fillId="0" borderId="0" xfId="14" applyFont="1" applyAlignment="1">
      <alignment horizontal="left"/>
    </xf>
    <xf numFmtId="0" fontId="19" fillId="0" borderId="0" xfId="14" applyFont="1" applyAlignment="1">
      <alignment horizontal="center"/>
    </xf>
    <xf numFmtId="0" fontId="19" fillId="0" borderId="34" xfId="14" applyFont="1" applyBorder="1" applyAlignment="1">
      <alignment horizontal="center"/>
    </xf>
    <xf numFmtId="0" fontId="19" fillId="0" borderId="35" xfId="14" applyFont="1" applyBorder="1" applyAlignment="1">
      <alignment horizontal="center"/>
    </xf>
    <xf numFmtId="0" fontId="19" fillId="0" borderId="8" xfId="14" applyFont="1" applyBorder="1" applyAlignment="1">
      <alignment horizontal="right" vertical="top"/>
    </xf>
    <xf numFmtId="0" fontId="19" fillId="0" borderId="8" xfId="14" applyFont="1" applyBorder="1" applyAlignment="1">
      <alignment horizontal="center" vertical="top" wrapText="1"/>
    </xf>
    <xf numFmtId="0" fontId="19" fillId="0" borderId="36" xfId="14" applyFont="1" applyBorder="1" applyAlignment="1">
      <alignment horizontal="center" vertical="top" wrapText="1"/>
    </xf>
    <xf numFmtId="0" fontId="19" fillId="0" borderId="37" xfId="14" applyFont="1" applyBorder="1" applyAlignment="1">
      <alignment horizontal="center" vertical="top" wrapText="1"/>
    </xf>
    <xf numFmtId="0" fontId="19" fillId="0" borderId="34" xfId="14" applyFont="1" applyBorder="1"/>
    <xf numFmtId="0" fontId="19" fillId="0" borderId="35" xfId="14" applyFont="1" applyBorder="1"/>
    <xf numFmtId="0" fontId="19" fillId="4" borderId="0" xfId="1" applyNumberFormat="1" applyFont="1" applyFill="1" applyAlignment="1">
      <alignment horizontal="center"/>
    </xf>
    <xf numFmtId="10" fontId="19" fillId="0" borderId="0" xfId="3" applyNumberFormat="1" applyFont="1"/>
    <xf numFmtId="165" fontId="19" fillId="0" borderId="34" xfId="1" applyNumberFormat="1" applyFont="1" applyBorder="1"/>
    <xf numFmtId="165" fontId="19" fillId="0" borderId="35" xfId="1" applyNumberFormat="1" applyFont="1" applyBorder="1"/>
    <xf numFmtId="165" fontId="19" fillId="4" borderId="0" xfId="1" applyNumberFormat="1" applyFont="1" applyFill="1"/>
    <xf numFmtId="165" fontId="19" fillId="0" borderId="36" xfId="1" applyNumberFormat="1" applyFont="1" applyBorder="1"/>
    <xf numFmtId="165" fontId="19" fillId="0" borderId="8" xfId="1" applyNumberFormat="1" applyFont="1" applyBorder="1"/>
    <xf numFmtId="165" fontId="19" fillId="4" borderId="8" xfId="1" applyNumberFormat="1" applyFont="1" applyFill="1" applyBorder="1"/>
    <xf numFmtId="165" fontId="19" fillId="0" borderId="37" xfId="1" applyNumberFormat="1" applyFont="1" applyBorder="1"/>
    <xf numFmtId="165" fontId="19" fillId="0" borderId="10" xfId="1" applyNumberFormat="1" applyFont="1" applyBorder="1"/>
    <xf numFmtId="165" fontId="19" fillId="0" borderId="38" xfId="1" applyNumberFormat="1" applyFont="1" applyBorder="1"/>
    <xf numFmtId="165" fontId="19" fillId="0" borderId="3" xfId="1" applyNumberFormat="1" applyFont="1" applyBorder="1"/>
    <xf numFmtId="165" fontId="19" fillId="0" borderId="39" xfId="1" applyNumberFormat="1" applyFont="1" applyBorder="1"/>
    <xf numFmtId="0" fontId="31" fillId="0" borderId="0" xfId="14" applyFont="1"/>
    <xf numFmtId="41" fontId="19" fillId="0" borderId="0" xfId="14" applyNumberFormat="1" applyFont="1" applyAlignment="1">
      <alignment horizontal="center"/>
    </xf>
    <xf numFmtId="0" fontId="31" fillId="0" borderId="0" xfId="14" applyFont="1" applyAlignment="1">
      <alignment horizontal="right"/>
    </xf>
    <xf numFmtId="10" fontId="34" fillId="9" borderId="0" xfId="19" applyNumberFormat="1" applyFont="1" applyFill="1" applyAlignment="1">
      <alignment horizontal="center"/>
    </xf>
    <xf numFmtId="10" fontId="34" fillId="9" borderId="8" xfId="3" applyNumberFormat="1" applyFont="1" applyFill="1" applyBorder="1" applyAlignment="1">
      <alignment horizontal="center"/>
    </xf>
    <xf numFmtId="0" fontId="33" fillId="4" borderId="0" xfId="15" applyNumberFormat="1" applyFont="1" applyFill="1" applyAlignment="1">
      <alignment horizontal="center"/>
    </xf>
    <xf numFmtId="10" fontId="34" fillId="9" borderId="0" xfId="3" applyNumberFormat="1" applyFont="1" applyFill="1" applyAlignment="1">
      <alignment horizontal="center"/>
    </xf>
    <xf numFmtId="10" fontId="33" fillId="4" borderId="0" xfId="15" applyNumberFormat="1" applyFont="1" applyFill="1" applyAlignment="1">
      <alignment horizontal="center"/>
    </xf>
    <xf numFmtId="10" fontId="34" fillId="9" borderId="10" xfId="3" applyNumberFormat="1" applyFont="1" applyFill="1" applyBorder="1" applyAlignment="1">
      <alignment horizontal="center"/>
    </xf>
    <xf numFmtId="10" fontId="34" fillId="4" borderId="8" xfId="15" applyNumberFormat="1" applyFont="1" applyFill="1" applyBorder="1" applyAlignment="1">
      <alignment horizontal="center"/>
    </xf>
    <xf numFmtId="0" fontId="34" fillId="9" borderId="0" xfId="14" applyFont="1" applyFill="1"/>
    <xf numFmtId="0" fontId="34" fillId="9" borderId="8" xfId="14" applyFont="1" applyFill="1" applyBorder="1"/>
    <xf numFmtId="10" fontId="34" fillId="9" borderId="8" xfId="19" applyNumberFormat="1" applyFont="1" applyFill="1" applyBorder="1" applyAlignment="1">
      <alignment horizontal="center"/>
    </xf>
    <xf numFmtId="168" fontId="4" fillId="0" borderId="3" xfId="3" applyNumberFormat="1" applyFont="1" applyFill="1" applyBorder="1" applyAlignment="1">
      <alignment horizontal="center"/>
    </xf>
    <xf numFmtId="164" fontId="4" fillId="0" borderId="15" xfId="9" applyFont="1" applyFill="1" applyBorder="1"/>
    <xf numFmtId="165" fontId="25" fillId="0" borderId="0" xfId="1" applyNumberFormat="1" applyFont="1" applyFill="1"/>
    <xf numFmtId="165" fontId="25" fillId="0" borderId="0" xfId="14" applyNumberFormat="1" applyFont="1" applyFill="1"/>
    <xf numFmtId="165" fontId="30" fillId="0" borderId="0" xfId="1" applyNumberFormat="1" applyFont="1" applyFill="1" applyAlignment="1">
      <alignment horizontal="center"/>
    </xf>
    <xf numFmtId="0" fontId="4" fillId="4" borderId="0" xfId="7" applyNumberFormat="1" applyFont="1" applyFill="1" applyAlignment="1">
      <alignment horizontal="right"/>
    </xf>
    <xf numFmtId="49" fontId="4" fillId="4" borderId="0" xfId="1" applyNumberFormat="1" applyFont="1" applyFill="1" applyAlignment="1">
      <alignment horizontal="center"/>
    </xf>
    <xf numFmtId="173" fontId="4" fillId="2" borderId="0" xfId="1" applyNumberFormat="1" applyFont="1" applyFill="1"/>
    <xf numFmtId="3" fontId="4" fillId="0" borderId="0" xfId="6" applyNumberFormat="1" applyFont="1"/>
    <xf numFmtId="165" fontId="4" fillId="0" borderId="0" xfId="1" applyNumberFormat="1" applyFont="1" applyFill="1"/>
    <xf numFmtId="165" fontId="4" fillId="4" borderId="0" xfId="1" applyNumberFormat="1" applyFont="1" applyFill="1"/>
    <xf numFmtId="165" fontId="4" fillId="2" borderId="0" xfId="1" applyNumberFormat="1" applyFont="1" applyFill="1"/>
    <xf numFmtId="10" fontId="4" fillId="4" borderId="0" xfId="3" applyNumberFormat="1" applyFont="1" applyFill="1" applyAlignment="1">
      <alignment horizontal="center"/>
    </xf>
    <xf numFmtId="41" fontId="4" fillId="4" borderId="0" xfId="10" applyNumberFormat="1" applyFont="1" applyFill="1"/>
    <xf numFmtId="0" fontId="12" fillId="0" borderId="0" xfId="10" applyFont="1" applyFill="1" applyAlignment="1">
      <alignment horizontal="center" wrapText="1"/>
    </xf>
    <xf numFmtId="0" fontId="4" fillId="0" borderId="0" xfId="0" applyNumberFormat="1" applyFont="1" applyFill="1" applyAlignment="1">
      <alignment horizontal="center" vertical="center" wrapText="1"/>
    </xf>
    <xf numFmtId="171" fontId="4" fillId="0" borderId="0" xfId="3" applyNumberFormat="1" applyFont="1"/>
    <xf numFmtId="171" fontId="4" fillId="4" borderId="0" xfId="3" quotePrefix="1" applyNumberFormat="1" applyFont="1" applyFill="1" applyAlignment="1">
      <alignment horizontal="right"/>
    </xf>
    <xf numFmtId="165" fontId="4" fillId="0" borderId="0" xfId="7" applyNumberFormat="1" applyFont="1"/>
    <xf numFmtId="43" fontId="4" fillId="0" borderId="0" xfId="7" applyNumberFormat="1" applyFont="1"/>
    <xf numFmtId="175" fontId="4" fillId="0" borderId="0" xfId="1" applyNumberFormat="1" applyFont="1" applyAlignment="1">
      <alignment horizontal="right"/>
    </xf>
    <xf numFmtId="43" fontId="4" fillId="0" borderId="0" xfId="1" applyNumberFormat="1" applyFont="1" applyAlignment="1">
      <alignment horizontal="right"/>
    </xf>
    <xf numFmtId="10" fontId="33" fillId="0" borderId="0" xfId="15" applyNumberFormat="1" applyFont="1" applyFill="1" applyAlignment="1">
      <alignment horizontal="center"/>
    </xf>
    <xf numFmtId="0" fontId="4" fillId="0" borderId="0" xfId="6" applyNumberFormat="1" applyFont="1" applyBorder="1"/>
    <xf numFmtId="0" fontId="4" fillId="0" borderId="0" xfId="6" applyNumberFormat="1" applyFont="1" applyAlignment="1" applyProtection="1">
      <alignment horizontal="left" vertical="top" wrapText="1"/>
      <protection locked="0"/>
    </xf>
    <xf numFmtId="0" fontId="4" fillId="0" borderId="0" xfId="0" applyNumberFormat="1" applyFont="1" applyAlignment="1" applyProtection="1">
      <alignment horizontal="left" vertical="top" wrapText="1"/>
      <protection locked="0"/>
    </xf>
    <xf numFmtId="164" fontId="4" fillId="0" borderId="0" xfId="6" applyFont="1" applyAlignment="1">
      <alignment horizontal="center"/>
    </xf>
    <xf numFmtId="49" fontId="4" fillId="0" borderId="0" xfId="6" applyNumberFormat="1" applyFont="1" applyAlignment="1" applyProtection="1">
      <alignment horizontal="center"/>
      <protection locked="0"/>
    </xf>
    <xf numFmtId="0" fontId="15" fillId="0" borderId="0" xfId="6" applyNumberFormat="1" applyFont="1" applyAlignment="1" applyProtection="1">
      <alignment vertical="top" wrapText="1"/>
      <protection locked="0"/>
    </xf>
    <xf numFmtId="0" fontId="4" fillId="0" borderId="0" xfId="6" applyNumberFormat="1" applyFont="1" applyAlignment="1" applyProtection="1">
      <alignment vertical="top" wrapText="1"/>
      <protection locked="0"/>
    </xf>
    <xf numFmtId="0" fontId="4" fillId="0" borderId="0" xfId="0" applyNumberFormat="1" applyFont="1" applyAlignment="1">
      <alignment horizontal="left" vertical="top"/>
    </xf>
    <xf numFmtId="0" fontId="4" fillId="0" borderId="0" xfId="6" quotePrefix="1" applyNumberFormat="1" applyFont="1" applyAlignment="1">
      <alignment horizontal="left" vertical="top" wrapText="1"/>
    </xf>
    <xf numFmtId="0" fontId="4" fillId="0" borderId="0" xfId="4" quotePrefix="1" applyFont="1" applyAlignment="1">
      <alignment horizontal="left" vertical="top" wrapText="1"/>
    </xf>
    <xf numFmtId="0" fontId="4" fillId="0" borderId="0" xfId="0" applyNumberFormat="1" applyFont="1" applyAlignment="1">
      <alignment horizontal="left" vertical="top" wrapText="1"/>
    </xf>
    <xf numFmtId="164" fontId="4" fillId="0" borderId="0" xfId="0" applyFont="1" applyAlignment="1">
      <alignment horizontal="left" vertical="top" wrapText="1"/>
    </xf>
    <xf numFmtId="164" fontId="4" fillId="0" borderId="0" xfId="0" applyFont="1" applyAlignment="1">
      <alignment vertical="top" wrapText="1"/>
    </xf>
    <xf numFmtId="0" fontId="4" fillId="0" borderId="0" xfId="5" applyFont="1" applyAlignment="1">
      <alignment vertical="top" wrapText="1"/>
    </xf>
    <xf numFmtId="0" fontId="4" fillId="0" borderId="0" xfId="4" applyFont="1" applyAlignment="1">
      <alignment horizontal="left" vertical="top" wrapText="1"/>
    </xf>
    <xf numFmtId="164" fontId="4" fillId="0" borderId="0" xfId="6" applyFont="1" applyAlignment="1">
      <alignment horizontal="left" vertical="top" wrapText="1"/>
    </xf>
    <xf numFmtId="164" fontId="4" fillId="0" borderId="0" xfId="7" applyFont="1" applyAlignment="1">
      <alignment horizontal="left" vertical="top" wrapText="1"/>
    </xf>
    <xf numFmtId="164" fontId="4" fillId="0" borderId="0" xfId="7" applyFont="1" applyAlignment="1">
      <alignment horizontal="left" vertical="center" wrapText="1"/>
    </xf>
    <xf numFmtId="164" fontId="4" fillId="0" borderId="0" xfId="7" applyFont="1" applyAlignment="1">
      <alignment horizontal="left" wrapText="1"/>
    </xf>
    <xf numFmtId="164" fontId="5" fillId="0" borderId="0" xfId="0" applyFont="1" applyAlignment="1">
      <alignment horizontal="left" wrapText="1"/>
    </xf>
    <xf numFmtId="164" fontId="4" fillId="0" borderId="0" xfId="9" applyFont="1" applyAlignment="1">
      <alignment wrapText="1"/>
    </xf>
    <xf numFmtId="3" fontId="4" fillId="0" borderId="0" xfId="6" applyNumberFormat="1" applyFont="1" applyAlignment="1">
      <alignment horizontal="center"/>
    </xf>
    <xf numFmtId="164" fontId="4" fillId="0" borderId="0" xfId="0" applyFont="1" applyAlignment="1">
      <alignment horizontal="center"/>
    </xf>
    <xf numFmtId="164" fontId="0" fillId="0" borderId="0" xfId="0" applyAlignment="1">
      <alignment vertical="top" wrapText="1"/>
    </xf>
    <xf numFmtId="3" fontId="4" fillId="0" borderId="0" xfId="7" applyNumberFormat="1" applyFont="1" applyAlignment="1">
      <alignment horizontal="center"/>
    </xf>
    <xf numFmtId="0" fontId="4" fillId="0" borderId="0" xfId="7" applyNumberFormat="1" applyFont="1" applyAlignment="1">
      <alignment horizontal="center"/>
    </xf>
    <xf numFmtId="0" fontId="4" fillId="0" borderId="0" xfId="6" applyNumberFormat="1" applyFont="1" applyAlignment="1">
      <alignment horizontal="center"/>
    </xf>
    <xf numFmtId="164" fontId="4" fillId="0" borderId="0" xfId="0" applyFont="1" applyAlignment="1">
      <alignment horizontal="left" wrapText="1"/>
    </xf>
    <xf numFmtId="0" fontId="11" fillId="0" borderId="0" xfId="4" applyFont="1" applyAlignment="1">
      <alignment horizontal="left" vertical="top" wrapText="1"/>
    </xf>
    <xf numFmtId="0" fontId="12" fillId="0" borderId="13" xfId="10" applyFont="1" applyBorder="1" applyAlignment="1">
      <alignment horizontal="center"/>
    </xf>
    <xf numFmtId="0" fontId="12" fillId="0" borderId="12" xfId="10" applyFont="1" applyBorder="1" applyAlignment="1">
      <alignment horizontal="center"/>
    </xf>
    <xf numFmtId="0" fontId="12" fillId="0" borderId="14" xfId="10" applyFont="1" applyBorder="1" applyAlignment="1">
      <alignment horizontal="center"/>
    </xf>
    <xf numFmtId="164" fontId="12" fillId="0" borderId="13" xfId="0" applyFont="1" applyBorder="1" applyAlignment="1">
      <alignment horizontal="center"/>
    </xf>
    <xf numFmtId="164" fontId="12" fillId="0" borderId="12" xfId="0" applyFont="1" applyBorder="1" applyAlignment="1">
      <alignment horizontal="center"/>
    </xf>
    <xf numFmtId="164" fontId="12" fillId="0" borderId="14" xfId="0" applyFont="1" applyBorder="1" applyAlignment="1">
      <alignment horizontal="center"/>
    </xf>
    <xf numFmtId="164" fontId="4" fillId="0" borderId="0" xfId="0" applyFont="1" applyAlignment="1">
      <alignment horizontal="left" vertical="center" wrapText="1"/>
    </xf>
    <xf numFmtId="0" fontId="4" fillId="0" borderId="0" xfId="7" applyNumberFormat="1" applyFont="1" applyAlignment="1" applyProtection="1">
      <alignment horizontal="center"/>
      <protection locked="0"/>
    </xf>
    <xf numFmtId="0" fontId="4" fillId="0" borderId="0" xfId="0" applyNumberFormat="1" applyFont="1" applyAlignment="1">
      <alignment horizontal="center"/>
    </xf>
    <xf numFmtId="10" fontId="4" fillId="0" borderId="0" xfId="3" applyNumberFormat="1" applyFont="1" applyAlignment="1">
      <alignment horizontal="center"/>
    </xf>
    <xf numFmtId="2" fontId="42" fillId="0" borderId="0" xfId="0" applyNumberFormat="1" applyFont="1" applyAlignment="1">
      <alignment horizontal="left" wrapText="1"/>
    </xf>
    <xf numFmtId="164" fontId="42" fillId="0" borderId="0" xfId="0" applyFont="1" applyAlignment="1">
      <alignment horizontal="left"/>
    </xf>
    <xf numFmtId="164" fontId="4" fillId="0" borderId="0" xfId="7" applyFont="1" applyAlignment="1">
      <alignment horizontal="center"/>
    </xf>
    <xf numFmtId="0" fontId="25" fillId="0" borderId="0" xfId="14" applyFont="1" applyAlignment="1">
      <alignment horizontal="center"/>
    </xf>
    <xf numFmtId="0" fontId="27" fillId="0" borderId="0" xfId="14" applyFont="1" applyAlignment="1">
      <alignment horizontal="center"/>
    </xf>
    <xf numFmtId="0" fontId="25" fillId="7" borderId="0" xfId="14" applyFont="1" applyFill="1" applyAlignment="1">
      <alignment horizontal="center"/>
    </xf>
    <xf numFmtId="0" fontId="25" fillId="0" borderId="0" xfId="14" applyFont="1" applyAlignment="1">
      <alignment horizontal="right"/>
    </xf>
    <xf numFmtId="164" fontId="0" fillId="0" borderId="0" xfId="0" applyAlignment="1">
      <alignment horizontal="right"/>
    </xf>
    <xf numFmtId="0" fontId="25" fillId="0" borderId="0" xfId="14" applyFont="1" applyFill="1" applyAlignment="1">
      <alignment horizontal="center"/>
    </xf>
    <xf numFmtId="0" fontId="25" fillId="0" borderId="0" xfId="14" applyFont="1" applyAlignment="1">
      <alignment horizontal="left" wrapText="1"/>
    </xf>
    <xf numFmtId="0" fontId="25" fillId="0" borderId="0" xfId="14" applyFont="1" applyAlignment="1">
      <alignment wrapText="1"/>
    </xf>
    <xf numFmtId="164" fontId="5" fillId="0" borderId="0" xfId="0" applyFont="1" applyAlignment="1">
      <alignment horizontal="center"/>
    </xf>
    <xf numFmtId="0" fontId="25" fillId="0" borderId="0" xfId="14" applyFont="1"/>
    <xf numFmtId="164" fontId="0" fillId="0" borderId="0" xfId="0"/>
    <xf numFmtId="0" fontId="19" fillId="0" borderId="0" xfId="14" applyFont="1" applyAlignment="1">
      <alignment horizontal="right"/>
    </xf>
    <xf numFmtId="164" fontId="5" fillId="0" borderId="0" xfId="0" applyFont="1" applyAlignment="1">
      <alignment horizontal="right"/>
    </xf>
    <xf numFmtId="164" fontId="5" fillId="0" borderId="0" xfId="0" applyFont="1"/>
    <xf numFmtId="0" fontId="19" fillId="0" borderId="0" xfId="14" applyFont="1" applyAlignment="1">
      <alignment horizontal="center"/>
    </xf>
    <xf numFmtId="0" fontId="19" fillId="0" borderId="31" xfId="14" applyFont="1" applyBorder="1" applyAlignment="1">
      <alignment horizontal="center"/>
    </xf>
    <xf numFmtId="0" fontId="19" fillId="0" borderId="32" xfId="14" applyFont="1" applyBorder="1" applyAlignment="1">
      <alignment horizontal="center"/>
    </xf>
    <xf numFmtId="0" fontId="19" fillId="0" borderId="33" xfId="14" applyFont="1" applyBorder="1" applyAlignment="1">
      <alignment horizontal="center"/>
    </xf>
    <xf numFmtId="10" fontId="33" fillId="0" borderId="8" xfId="15" applyNumberFormat="1" applyFont="1" applyBorder="1" applyAlignment="1">
      <alignment horizontal="center"/>
    </xf>
    <xf numFmtId="164" fontId="0" fillId="0" borderId="0" xfId="0" applyAlignment="1">
      <alignment horizontal="left" wrapText="1"/>
    </xf>
    <xf numFmtId="0" fontId="25" fillId="10" borderId="0" xfId="14" applyFont="1" applyFill="1"/>
    <xf numFmtId="0" fontId="3" fillId="0" borderId="0" xfId="14" applyFont="1"/>
    <xf numFmtId="0" fontId="22" fillId="4" borderId="0" xfId="0" applyNumberFormat="1" applyFont="1" applyFill="1"/>
  </cellXfs>
  <cellStyles count="44">
    <cellStyle name="Comma" xfId="1" builtinId="3"/>
    <cellStyle name="Comma [0] 2" xfId="30" xr:uid="{77918AE4-6889-4AED-9766-CE27A54D5B0C}"/>
    <cellStyle name="Comma 10" xfId="37" xr:uid="{7F219B2D-73D3-4726-A4F1-ADD5463296D2}"/>
    <cellStyle name="Comma 2" xfId="32" xr:uid="{3E2BE14A-F3BF-4175-A6C8-9BFEC1523764}"/>
    <cellStyle name="Comma 2 2" xfId="20" xr:uid="{425B6839-2640-4B13-93BB-7B5AFA466F40}"/>
    <cellStyle name="Comma 3" xfId="33" xr:uid="{958333D7-F130-473A-A3E5-1397126EF9CC}"/>
    <cellStyle name="Comma 4" xfId="34" xr:uid="{CE6C370E-5064-4BDE-897E-ED96E7BDF5CF}"/>
    <cellStyle name="Comma 8" xfId="28" xr:uid="{4066D2C1-86F9-4227-842C-93DEB6B96BEC}"/>
    <cellStyle name="Comma 8 2" xfId="42" xr:uid="{B795EF30-1896-497B-8660-7C9496FF7ACE}"/>
    <cellStyle name="Currency" xfId="2" builtinId="4"/>
    <cellStyle name="Normal" xfId="0" builtinId="0"/>
    <cellStyle name="Normal 10" xfId="23" xr:uid="{E2A805CD-DFA9-485F-86A9-F9F0EBE90857}"/>
    <cellStyle name="Normal 10 2" xfId="40" xr:uid="{5255AE05-9A75-4D65-9F6B-46CEF12638B9}"/>
    <cellStyle name="Normal 11" xfId="24" xr:uid="{DEF46251-8742-4C06-AA18-A270C7BF522C}"/>
    <cellStyle name="Normal 2" xfId="14" xr:uid="{D4E733FB-9F54-4E89-B415-0D16B0AB698D}"/>
    <cellStyle name="Normal 2 2" xfId="26" xr:uid="{FDB81410-8A0F-4865-87CC-588F37D2DF79}"/>
    <cellStyle name="Normal 3" xfId="15" xr:uid="{AF04DA29-C871-467E-A143-EAA4BCACEAF4}"/>
    <cellStyle name="Normal 3 2" xfId="12" xr:uid="{74E5DDDF-2ED9-41D7-ADD2-89294CA10A32}"/>
    <cellStyle name="Normal 3 8" xfId="35" xr:uid="{2B91B397-3C39-41FF-A17C-D9F662A7E363}"/>
    <cellStyle name="Normal 3_Attach O, GG, Support -New Method 2-14-11" xfId="4" xr:uid="{A9196D8E-37D4-4516-AD3B-9C04D80C817C}"/>
    <cellStyle name="Normal 5" xfId="13" xr:uid="{61639EA2-0EAF-4669-8657-16D87BFD2375}"/>
    <cellStyle name="Normal 7" xfId="7" xr:uid="{342D0A8D-AA0C-41CE-8AE2-7E2776B8E7B5}"/>
    <cellStyle name="Normal 7 2" xfId="16" xr:uid="{1B81FFB0-EFB3-4094-87B8-48CBA83AD530}"/>
    <cellStyle name="Normal 7 2 2" xfId="36" xr:uid="{407947DB-4604-4835-89F4-5587680A99AD}"/>
    <cellStyle name="Normal 9" xfId="27" xr:uid="{5644DD15-6C2C-457C-9CC7-56F1B749D4E4}"/>
    <cellStyle name="Normal 9 2" xfId="29" xr:uid="{7E00BA8C-4BFE-403F-AD90-B0BE7A93E2C9}"/>
    <cellStyle name="Normal 9 2 2" xfId="43" xr:uid="{28876FFB-CC69-4B35-ACAE-8FD337EE88B9}"/>
    <cellStyle name="Normal 9 3" xfId="41" xr:uid="{EB4A2741-E6AA-4797-B88A-D9D5471762F0}"/>
    <cellStyle name="Normal_21 Exh B" xfId="5" xr:uid="{1BD30A1F-361E-4492-A751-F9B666E78B3F}"/>
    <cellStyle name="Normal_AR workpaper --2002 Def Tax Exp by Account 8-14-02" xfId="31" xr:uid="{8F27921E-F7C8-4521-BA1D-AF02346EA185}"/>
    <cellStyle name="Normal_ATC Projected 2008 Monthly Plant Balances for Attachment O 2 (2)" xfId="11" xr:uid="{EF91BA1F-B8E4-4A26-9A5F-96D5ED8756AB}"/>
    <cellStyle name="Normal_Attachment GG Example 8 26 09" xfId="21" xr:uid="{6504D891-3587-4E92-8D34-D8C5054156AB}"/>
    <cellStyle name="Normal_Attachment GG Example 8 26 09 2" xfId="17" xr:uid="{6A36DA3B-286D-4BA9-83E6-9ECCC6A3BB7A}"/>
    <cellStyle name="Normal_Attachment GG Template ER11-28 11-18-10" xfId="9" xr:uid="{83151303-DFC3-466E-9217-DA8A733148A7}"/>
    <cellStyle name="Normal_Attachment O &amp; GG Final 11_11_09" xfId="8" xr:uid="{C180C497-8787-49A8-BCEA-580967D40749}"/>
    <cellStyle name="Normal_Attachment O Support - 2004 True-up" xfId="22" xr:uid="{EA20F392-7F38-4328-B6E5-DE0D41C686B6}"/>
    <cellStyle name="Normal_Attachment Os for 2002 True-up" xfId="6" xr:uid="{621D847A-C880-4058-B4EB-34F7C06CE52F}"/>
    <cellStyle name="Normal_Attachment Os for 2002 True-up 2" xfId="18" xr:uid="{AFCBD6E5-C535-44BF-A0B0-DC0FAAC9032A}"/>
    <cellStyle name="Normal_Schedule O Info for Mike" xfId="10" xr:uid="{990648DC-6A99-4AFC-88A5-930DC78920FD}"/>
    <cellStyle name="Percent" xfId="3" builtinId="5"/>
    <cellStyle name="Percent 10" xfId="38" xr:uid="{F65154F1-2442-41CA-A965-2BC3D074F92D}"/>
    <cellStyle name="Percent 2" xfId="39" xr:uid="{9DBE9F4C-F5F4-4DAE-B0E7-B88ED7F8F58B}"/>
    <cellStyle name="Percent 2 2" xfId="19" xr:uid="{393535A2-AD58-48C8-9CE0-AA23DAE10293}"/>
    <cellStyle name="Percent 7 2" xfId="25" xr:uid="{12F1EBBB-BCB4-44C5-B2D2-FD35DA6980C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alcChain" Target="calcChain.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s>
</file>

<file path=xl/drawings/drawing1.xml><?xml version="1.0" encoding="utf-8"?>
<xdr:wsDr xmlns:xdr="http://schemas.openxmlformats.org/drawingml/2006/spreadsheetDrawing" xmlns:a="http://schemas.openxmlformats.org/drawingml/2006/main">
  <xdr:twoCellAnchor>
    <xdr:from>
      <xdr:col>7</xdr:col>
      <xdr:colOff>9525</xdr:colOff>
      <xdr:row>52</xdr:row>
      <xdr:rowOff>9525</xdr:rowOff>
    </xdr:from>
    <xdr:to>
      <xdr:col>13</xdr:col>
      <xdr:colOff>9526</xdr:colOff>
      <xdr:row>63</xdr:row>
      <xdr:rowOff>0</xdr:rowOff>
    </xdr:to>
    <xdr:cxnSp macro="">
      <xdr:nvCxnSpPr>
        <xdr:cNvPr id="2" name="Straight Arrow Connector 1">
          <a:extLst>
            <a:ext uri="{FF2B5EF4-FFF2-40B4-BE49-F238E27FC236}">
              <a16:creationId xmlns:a16="http://schemas.microsoft.com/office/drawing/2014/main" id="{D7CD454F-8BC1-4183-8ACC-6A2837260147}"/>
            </a:ext>
          </a:extLst>
        </xdr:cNvPr>
        <xdr:cNvCxnSpPr/>
      </xdr:nvCxnSpPr>
      <xdr:spPr>
        <a:xfrm flipH="1">
          <a:off x="9248775" y="10534650"/>
          <a:ext cx="5372101" cy="2543175"/>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52</xdr:row>
      <xdr:rowOff>0</xdr:rowOff>
    </xdr:from>
    <xdr:to>
      <xdr:col>13</xdr:col>
      <xdr:colOff>19051</xdr:colOff>
      <xdr:row>63</xdr:row>
      <xdr:rowOff>0</xdr:rowOff>
    </xdr:to>
    <xdr:cxnSp macro="">
      <xdr:nvCxnSpPr>
        <xdr:cNvPr id="2" name="Straight Arrow Connector 1">
          <a:extLst>
            <a:ext uri="{FF2B5EF4-FFF2-40B4-BE49-F238E27FC236}">
              <a16:creationId xmlns:a16="http://schemas.microsoft.com/office/drawing/2014/main" id="{54745767-B70A-42BA-B1F1-788C46334F8C}"/>
            </a:ext>
          </a:extLst>
        </xdr:cNvPr>
        <xdr:cNvCxnSpPr/>
      </xdr:nvCxnSpPr>
      <xdr:spPr>
        <a:xfrm flipH="1">
          <a:off x="9239250" y="10525125"/>
          <a:ext cx="5391151" cy="2552700"/>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jbailey\Local%20Settings\Temporary%20Internet%20Files\OLKA\JE%20130111%20August%202003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ATE%20STUDY_1\Worthington%20-%202013%20Electric\Excel\Wgton_Study_Approved%20Rates%202013-12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Financing%20Plan\2009\Capital%20Financing%20Model%20Slower%20Pace03-03-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oatioasis.com/TEMP/FERCFA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Kraft\Special%20Projects\OATT\2001\2001%20OATT%20Rates%20TD%20OMadj.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RATE%20STUDY_1\Plato%20Billing6_205%20Dec%201%202014.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REGSUPP\FERC\MISO\MISO%20OATT%20Tariff\OpCos%20Attmnt%20O%2010-25-2012%2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chiang\AppData\Local\Microsoft\Windows\INetCache\Content.Outlook\4NH7RGKG\CWIP%20in%20Rate%20Base%20for%20Mgmt%20Rptg%20201803%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ElecRate\Info%20from%20Previous%20Cases\COS\W&amp;S%20Ad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l33-fs1\Shared\ING%20Finance\SHARED\MIMS_TAX\99%20fed%20tax\PCS\99%20MSPG%20Unica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dryjanski\OneDrive%20-%20Gridliance\FERC%20Form%201%20-%202017\GWT\GWT%20P%20216%20Construction%20Work%20in%20Progress%20-%20201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tariffs\2000\formula%20rates\NSP%20xcelcoss%20mis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F11379\2004%20Plan\Plan%20Pass%201\Presentation\TW%202003%20Q4%20Fcst_Sep%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L27COM11\Common\2010\2010%20Ops%20Reviews\21%20JUL%2010%20CEO%20Ops%20Review\21%20JUL%2010%20EMS%20Ops%20Review%20Financials%20v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ATE%20STUDY_1\dande%202_5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EGSUPP\FERC\FERC%20-%20OATT\RS1081%20Rate%20Filings\2013%20(2012%20TY)%20ER13-1623\Model%20&amp;%20Filing\Model%20RevReq%202013%20OATT%20-%20Final%20As%20Fil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ATE%20STUDY_1\Worthington%20-%202013%20Electric\Wgton%20File\Brewster\Brewster%202013%2006_includes%202012%20wapa%20mres%20split%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ata%20(D)\1-Projects\1-%20Projects-Pending\PacifiCorp\Post%20settlement%20Formula%20runs\Issued%20Copy%20of%202013_Projection__Variance_Analysi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heathas6-xp\cos0699%20case%203137\EXCEL\TGSgas\WP%20A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ata"/>
      <sheetName val="Data Entry"/>
      <sheetName val="Temp Data"/>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 Rates aug 2013"/>
      <sheetName val="Power Cost Detail"/>
      <sheetName val="Proposed PCA 2014"/>
      <sheetName val="PCA 2015"/>
      <sheetName val="PCA 2016"/>
      <sheetName val="PCA 2017"/>
      <sheetName val="2013 PCA Proj &amp; Brewster"/>
      <sheetName val="Load forecast towngate"/>
      <sheetName val="Power rates"/>
      <sheetName val="DCP"/>
      <sheetName val="Financials"/>
      <sheetName val="reserves rec (2)"/>
      <sheetName val="Op_Results"/>
      <sheetName val="Op_Results Proposed"/>
      <sheetName val="Requirements"/>
      <sheetName val="kWhs_Losses"/>
      <sheetName val="Rev_Proj"/>
      <sheetName val="Rates for Report"/>
      <sheetName val="Dave's rates"/>
      <sheetName val="Brewster Purchases"/>
      <sheetName val="Monthly Transfer"/>
      <sheetName val="2011 Transfers"/>
      <sheetName val="Transfers"/>
      <sheetName val="Reserves comp"/>
      <sheetName val="Industrial"/>
      <sheetName val="Residential"/>
      <sheetName val="Seasonal"/>
      <sheetName val="Loss comp"/>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4">
          <cell r="Q44">
            <v>3234</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Electric Fund Historical"/>
      <sheetName val="Electric Fund"/>
      <sheetName val="Water Fund Historical"/>
      <sheetName val="Water Fund"/>
      <sheetName val="Combined Utility"/>
      <sheetName val="Investments-Electric"/>
      <sheetName val="Investments-Water"/>
      <sheetName val="New Electric CIP Debt"/>
      <sheetName val="New Water CIP Debt"/>
      <sheetName val="Reserve Fund Estimate"/>
      <sheetName val="Existing Debt Service Schedule"/>
      <sheetName val="CIP Link"/>
      <sheetName val="CIPInput"/>
      <sheetName val="Year 1"/>
      <sheetName val="Year 2"/>
      <sheetName val="Year 3"/>
      <sheetName val="Year 4"/>
      <sheetName val="Year 5"/>
      <sheetName val="Year 6"/>
      <sheetName val="Year 7"/>
      <sheetName val="Year 8"/>
      <sheetName val="Year 9"/>
      <sheetName val="Year 10"/>
      <sheetName val="Year 11"/>
      <sheetName val="Year 12"/>
      <sheetName val="Year 13"/>
      <sheetName val="Year 14"/>
      <sheetName val="Year 15"/>
      <sheetName val="Electric Depreciation"/>
      <sheetName val="Water Depreciation"/>
      <sheetName val="Elec Exp"/>
      <sheetName val="Elec Rev"/>
      <sheetName val="Water Exp"/>
      <sheetName val="Water Rev"/>
    </sheetNames>
    <sheetDataSet>
      <sheetData sheetId="0"/>
      <sheetData sheetId="1"/>
      <sheetData sheetId="2">
        <row r="1">
          <cell r="D1">
            <v>2009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FACT"/>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1"/>
      <sheetName val="A.1.1"/>
      <sheetName val="TST"/>
      <sheetName val="B.1"/>
      <sheetName val="B.1.1"/>
      <sheetName val="B.3.1 "/>
      <sheetName val="B.3.2  "/>
      <sheetName val="NITS "/>
      <sheetName val="Input"/>
      <sheetName val="Cost of Capital"/>
      <sheetName val="Compare"/>
      <sheetName val="Macro1"/>
      <sheetName val="PrintModule"/>
    </sheetNames>
    <sheetDataSet>
      <sheetData sheetId="0"/>
      <sheetData sheetId="1"/>
      <sheetData sheetId="2"/>
      <sheetData sheetId="3"/>
      <sheetData sheetId="4"/>
      <sheetData sheetId="5"/>
      <sheetData sheetId="6"/>
      <sheetData sheetId="7"/>
      <sheetData sheetId="8"/>
      <sheetData sheetId="9">
        <row r="33">
          <cell r="F33">
            <v>7.9500000000000001E-2</v>
          </cell>
        </row>
      </sheetData>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250TotCost_001"/>
      <sheetName val="000250Billing_001"/>
      <sheetName val="000256TotCost_001"/>
      <sheetName val="000256Billing_001"/>
      <sheetName val="000257TotCost_001"/>
      <sheetName val="000257TotCost_002"/>
      <sheetName val="000258TotCost_001"/>
      <sheetName val="000258Billing_001"/>
      <sheetName val="000257TotCost_003"/>
      <sheetName val="000257Billing_001"/>
      <sheetName val="000258TotCost_002"/>
      <sheetName val="000257TotCost_004"/>
      <sheetName val="000257Billing_002"/>
      <sheetName val="000258TotCost_003"/>
      <sheetName val="000258Billing_002"/>
      <sheetName val="000260TotCost_001"/>
      <sheetName val="000260Billing_001"/>
      <sheetName val="000261EM_001"/>
      <sheetName val="RateEdit"/>
      <sheetName val="000261TotCost_001"/>
      <sheetName val="000261Billing_001"/>
      <sheetName val="000261TotCost_002"/>
      <sheetName val="000261Billing_002"/>
      <sheetName val="Billing"/>
      <sheetName val="FibroQueries"/>
      <sheetName val="RelNotes"/>
      <sheetName val="Bill Tbls"/>
      <sheetName val="Pl Tbls"/>
      <sheetName val="Sheet25"/>
      <sheetName val="Sheet1"/>
      <sheetName val="Plato Billing6_205 Dec 1 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O"/>
      <sheetName val="Nonlevelized-IOU"/>
      <sheetName val="Opco Data"/>
    </sheetNames>
    <sheetDataSet>
      <sheetData sheetId="0">
        <row r="19">
          <cell r="I19">
            <v>0</v>
          </cell>
        </row>
        <row r="24">
          <cell r="I24">
            <v>5986141</v>
          </cell>
        </row>
        <row r="82">
          <cell r="D82">
            <v>3542234396</v>
          </cell>
        </row>
        <row r="83">
          <cell r="D83">
            <v>1257390851</v>
          </cell>
        </row>
        <row r="84">
          <cell r="D84">
            <v>2496368743</v>
          </cell>
        </row>
        <row r="85">
          <cell r="D85">
            <v>523791201</v>
          </cell>
        </row>
        <row r="90">
          <cell r="D90">
            <v>2049032467.4730768</v>
          </cell>
        </row>
        <row r="91">
          <cell r="D91">
            <v>423353722.911538</v>
          </cell>
        </row>
        <row r="92">
          <cell r="D92">
            <v>910926053.31692314</v>
          </cell>
        </row>
        <row r="93">
          <cell r="D93">
            <v>343716216.37538451</v>
          </cell>
        </row>
        <row r="106">
          <cell r="D106">
            <v>0</v>
          </cell>
        </row>
        <row r="107">
          <cell r="D107">
            <v>-1312115276.4549999</v>
          </cell>
        </row>
        <row r="108">
          <cell r="D108">
            <v>-920695444.44499993</v>
          </cell>
        </row>
        <row r="109">
          <cell r="D109">
            <v>357815973.53500003</v>
          </cell>
        </row>
        <row r="116">
          <cell r="D116">
            <v>283961</v>
          </cell>
        </row>
        <row r="120">
          <cell r="D120">
            <v>36190544</v>
          </cell>
        </row>
        <row r="121">
          <cell r="D121">
            <v>6500333</v>
          </cell>
        </row>
        <row r="139">
          <cell r="D139">
            <v>33026835</v>
          </cell>
        </row>
        <row r="140">
          <cell r="D140">
            <v>472243</v>
          </cell>
        </row>
        <row r="141">
          <cell r="D141">
            <v>162043289</v>
          </cell>
        </row>
        <row r="143">
          <cell r="D143">
            <v>219769</v>
          </cell>
        </row>
        <row r="150">
          <cell r="D150">
            <v>24535167</v>
          </cell>
        </row>
        <row r="151">
          <cell r="D151">
            <v>37948565</v>
          </cell>
        </row>
        <row r="159">
          <cell r="D159">
            <v>12392143</v>
          </cell>
        </row>
        <row r="162">
          <cell r="D162">
            <v>28132670</v>
          </cell>
        </row>
        <row r="174">
          <cell r="D174">
            <v>-30145</v>
          </cell>
        </row>
        <row r="188">
          <cell r="I188">
            <v>21520139</v>
          </cell>
        </row>
        <row r="192">
          <cell r="I192">
            <v>3862922</v>
          </cell>
        </row>
        <row r="207">
          <cell r="I207">
            <v>2607891.64</v>
          </cell>
        </row>
        <row r="208">
          <cell r="I208">
            <v>25275812</v>
          </cell>
        </row>
        <row r="214">
          <cell r="D214">
            <v>10932793</v>
          </cell>
        </row>
        <row r="215">
          <cell r="D215">
            <v>6195466</v>
          </cell>
        </row>
        <row r="216">
          <cell r="D216">
            <v>18788693</v>
          </cell>
        </row>
        <row r="217">
          <cell r="D217">
            <v>11294180</v>
          </cell>
        </row>
        <row r="221">
          <cell r="D221">
            <v>7830558761</v>
          </cell>
        </row>
        <row r="222">
          <cell r="D222">
            <v>0</v>
          </cell>
        </row>
        <row r="223">
          <cell r="D223">
            <v>0</v>
          </cell>
        </row>
        <row r="227">
          <cell r="I227">
            <v>77199891</v>
          </cell>
        </row>
        <row r="229">
          <cell r="I229">
            <v>6873220</v>
          </cell>
        </row>
        <row r="232">
          <cell r="I232">
            <v>1540365055.5</v>
          </cell>
        </row>
        <row r="238">
          <cell r="D238">
            <v>1606738802</v>
          </cell>
        </row>
        <row r="239">
          <cell r="D239">
            <v>116350000</v>
          </cell>
        </row>
        <row r="243">
          <cell r="I243">
            <v>7469801</v>
          </cell>
        </row>
        <row r="246">
          <cell r="I246">
            <v>31588965.315012161</v>
          </cell>
        </row>
        <row r="247">
          <cell r="I247">
            <v>0</v>
          </cell>
        </row>
        <row r="248">
          <cell r="I248">
            <v>0</v>
          </cell>
        </row>
        <row r="249">
          <cell r="I249">
            <v>0</v>
          </cell>
        </row>
        <row r="280">
          <cell r="D280">
            <v>0.35</v>
          </cell>
        </row>
        <row r="281">
          <cell r="D281">
            <v>6.5000000000000002E-2</v>
          </cell>
        </row>
        <row r="282">
          <cell r="D282">
            <v>0</v>
          </cell>
        </row>
      </sheetData>
      <sheetData sheetId="1">
        <row r="7">
          <cell r="K7" t="str">
            <v>For the 12 months ended 12/31/11</v>
          </cell>
        </row>
        <row r="10">
          <cell r="D10" t="str">
            <v>Entergy Texas, Inc.</v>
          </cell>
        </row>
        <row r="26">
          <cell r="I26">
            <v>3521595.8333333335</v>
          </cell>
        </row>
        <row r="89">
          <cell r="D89">
            <v>898951627.17692256</v>
          </cell>
        </row>
        <row r="90">
          <cell r="D90">
            <v>852370423.91461504</v>
          </cell>
        </row>
        <row r="91">
          <cell r="D91">
            <v>1258228537.0323081</v>
          </cell>
        </row>
        <row r="92">
          <cell r="D92">
            <v>243683842.00384599</v>
          </cell>
        </row>
        <row r="97">
          <cell r="D97">
            <v>581864765.9799999</v>
          </cell>
        </row>
        <row r="98">
          <cell r="D98">
            <v>253404466.33000001</v>
          </cell>
        </row>
        <row r="99">
          <cell r="D99">
            <v>276874742.80999994</v>
          </cell>
        </row>
        <row r="100">
          <cell r="D100">
            <v>127362573.13</v>
          </cell>
        </row>
        <row r="113">
          <cell r="D113">
            <v>-12048.04</v>
          </cell>
        </row>
        <row r="114">
          <cell r="D114">
            <v>-613908920.53499997</v>
          </cell>
        </row>
        <row r="115">
          <cell r="D115">
            <v>-469513464.80500001</v>
          </cell>
        </row>
        <row r="116">
          <cell r="D116">
            <v>237510767.49000001</v>
          </cell>
        </row>
        <row r="124">
          <cell r="D124">
            <v>6143480</v>
          </cell>
        </row>
        <row r="125">
          <cell r="D125">
            <v>8487803</v>
          </cell>
        </row>
        <row r="162">
          <cell r="D162">
            <v>26546580</v>
          </cell>
        </row>
        <row r="164">
          <cell r="D164">
            <v>8929644</v>
          </cell>
        </row>
        <row r="165">
          <cell r="D165">
            <v>74796014</v>
          </cell>
        </row>
        <row r="167">
          <cell r="D167">
            <v>86451</v>
          </cell>
        </row>
        <row r="174">
          <cell r="D174">
            <v>13949104</v>
          </cell>
        </row>
        <row r="175">
          <cell r="D175">
            <v>14584432</v>
          </cell>
        </row>
        <row r="181">
          <cell r="D181">
            <v>3920746</v>
          </cell>
        </row>
        <row r="184">
          <cell r="D184">
            <v>13395.297853599999</v>
          </cell>
        </row>
        <row r="233">
          <cell r="I233">
            <v>1858303.8907692311</v>
          </cell>
        </row>
        <row r="234">
          <cell r="I234">
            <v>13036121.748461541</v>
          </cell>
        </row>
        <row r="250">
          <cell r="D250">
            <v>12559256</v>
          </cell>
        </row>
        <row r="251">
          <cell r="D251">
            <v>2229546</v>
          </cell>
        </row>
        <row r="252">
          <cell r="D252">
            <v>10697124</v>
          </cell>
        </row>
        <row r="253">
          <cell r="D253">
            <v>8068168</v>
          </cell>
        </row>
        <row r="257">
          <cell r="D257">
            <v>3254184720</v>
          </cell>
        </row>
        <row r="258">
          <cell r="D258">
            <v>0</v>
          </cell>
        </row>
        <row r="259">
          <cell r="D259">
            <v>0</v>
          </cell>
        </row>
        <row r="263">
          <cell r="I263">
            <v>59077540</v>
          </cell>
        </row>
        <row r="265">
          <cell r="I265">
            <v>0</v>
          </cell>
        </row>
        <row r="268">
          <cell r="I268">
            <v>861823074</v>
          </cell>
        </row>
        <row r="274">
          <cell r="D274">
            <v>892830756</v>
          </cell>
        </row>
        <row r="275">
          <cell r="D275">
            <v>0</v>
          </cell>
        </row>
        <row r="289">
          <cell r="I289">
            <v>24331244.917123936</v>
          </cell>
        </row>
        <row r="325">
          <cell r="D325">
            <v>0.35</v>
          </cell>
        </row>
        <row r="326">
          <cell r="D326">
            <v>0</v>
          </cell>
        </row>
        <row r="327">
          <cell r="D327">
            <v>0</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WIP in RB"/>
      <sheetName val="March 2018"/>
      <sheetName val="Feb 2018"/>
    </sheetNames>
    <sheetDataSet>
      <sheetData sheetId="0"/>
      <sheetData sheetId="1">
        <row r="3">
          <cell r="A3" t="str">
            <v>WO #</v>
          </cell>
          <cell r="B3" t="str">
            <v>WO Title</v>
          </cell>
          <cell r="C3">
            <v>43190</v>
          </cell>
          <cell r="D3" t="str">
            <v>March 2018 Top Side Entries</v>
          </cell>
          <cell r="E3" t="str">
            <v>Total Cumulative CWIP - March 2018</v>
          </cell>
        </row>
        <row r="4">
          <cell r="A4" t="str">
            <v>100062</v>
          </cell>
          <cell r="B4" t="str">
            <v>Bob 230 kV TLines-SW - PM-Plng-Eng</v>
          </cell>
          <cell r="C4">
            <v>1338592.17</v>
          </cell>
          <cell r="D4">
            <v>41401.89</v>
          </cell>
          <cell r="E4">
            <v>1379994.0599999998</v>
          </cell>
        </row>
        <row r="5">
          <cell r="A5" t="str">
            <v>100064</v>
          </cell>
          <cell r="B5" t="str">
            <v>Construct Bob 230 kV Switchyard</v>
          </cell>
          <cell r="C5">
            <v>616687.24</v>
          </cell>
          <cell r="E5">
            <v>616687.24</v>
          </cell>
        </row>
        <row r="6">
          <cell r="A6" t="str">
            <v>100065</v>
          </cell>
          <cell r="B6" t="str">
            <v>Bob 230-Eldorado Interconnect</v>
          </cell>
          <cell r="C6">
            <v>60233.85</v>
          </cell>
          <cell r="E6">
            <v>60233.85</v>
          </cell>
        </row>
        <row r="7">
          <cell r="A7" t="str">
            <v>100066</v>
          </cell>
          <cell r="B7" t="str">
            <v>Bob 230 SW to Eldorado Sub T-Line</v>
          </cell>
          <cell r="C7">
            <v>263953.57</v>
          </cell>
          <cell r="D7">
            <v>12833.91</v>
          </cell>
          <cell r="E7">
            <v>276787.48</v>
          </cell>
        </row>
        <row r="8">
          <cell r="A8" t="str">
            <v>100067</v>
          </cell>
          <cell r="B8" t="str">
            <v>Bob 230 Switchyard Access Road</v>
          </cell>
          <cell r="C8">
            <v>656.18000000000006</v>
          </cell>
          <cell r="E8">
            <v>656.18000000000006</v>
          </cell>
        </row>
        <row r="9">
          <cell r="A9" t="str">
            <v>100069</v>
          </cell>
          <cell r="B9" t="str">
            <v>Bob 230 - OPGW OH Addition</v>
          </cell>
          <cell r="C9">
            <v>3246.51</v>
          </cell>
          <cell r="E9">
            <v>3246.51</v>
          </cell>
        </row>
        <row r="10">
          <cell r="A10" t="str">
            <v>100077</v>
          </cell>
          <cell r="B10" t="str">
            <v>Bob 230 - UG Fiber Addition</v>
          </cell>
          <cell r="C10">
            <v>0</v>
          </cell>
          <cell r="E10">
            <v>0</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amp;S Adj"/>
      <sheetName val="W&amp;S Nonsj"/>
      <sheetName val="W&amp;S sj"/>
      <sheetName val="W&amp;S by group"/>
      <sheetName val="RengOu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_By Entity"/>
      <sheetName val="fullab_entity"/>
      <sheetName val="Lead_Total"/>
      <sheetName val="99-SCHV10DH"/>
      <sheetName val="99 FM - NFM"/>
      <sheetName val="99othmat"/>
      <sheetName val="99dl&amp;frg"/>
      <sheetName val="99dies"/>
      <sheetName val="99sroe"/>
      <sheetName val="99fbs"/>
      <sheetName val="99facind"/>
      <sheetName val="MM99"/>
      <sheetName val="TD99"/>
      <sheetName val="MIMS Committed B"/>
      <sheetName val="Comm-B for 290"/>
      <sheetName val="mmg comm cost sum"/>
      <sheetName val="mspg comm cost sum"/>
      <sheetName val="99 OE"/>
      <sheetName val="99pm"/>
      <sheetName val="fin99"/>
      <sheetName val="99pers"/>
      <sheetName val="99edp"/>
      <sheetName val="98pset"/>
      <sheetName val="99opsadm"/>
      <sheetName val="99othdep"/>
      <sheetName val="98 Fin Anly"/>
      <sheetName val="98 EDP Anly"/>
      <sheetName val="Fact Bldg Svc Anly"/>
      <sheetName val="98 Per Anly"/>
      <sheetName val="UNICAP Inventory Bal-99"/>
      <sheetName val="Sheet2"/>
      <sheetName val="Sheet3"/>
      <sheetName val="SVC Warranty forecast"/>
      <sheetName val="XXXXXX-XXX-XXXXXX Acc Rec"/>
      <sheetName val="Inputs"/>
      <sheetName val="99-107-2"/>
      <sheetName val="99-109-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216"/>
      <sheetName val="Consolidated CWIP"/>
      <sheetName val="G2.1-4 Proj 2225 CWIP 201712"/>
      <sheetName val="G2.1-5 CWIP TS"/>
      <sheetName val="WOTable"/>
    </sheetNames>
    <sheetDataSet>
      <sheetData sheetId="0"/>
      <sheetData sheetId="1"/>
      <sheetData sheetId="2"/>
      <sheetData sheetId="3"/>
      <sheetData sheetId="4">
        <row r="2">
          <cell r="A2" t="str">
            <v>WO #</v>
          </cell>
          <cell r="B2" t="str">
            <v>Project</v>
          </cell>
          <cell r="C2" t="str">
            <v>WO Title</v>
          </cell>
          <cell r="D2" t="str">
            <v>FP Nbr</v>
          </cell>
          <cell r="E2" t="str">
            <v>Comments</v>
          </cell>
        </row>
        <row r="3">
          <cell r="A3" t="str">
            <v>100</v>
          </cell>
          <cell r="B3" t="str">
            <v>Financial Systems</v>
          </cell>
          <cell r="C3" t="str">
            <v>PeopleSoft Financial SW Ph I</v>
          </cell>
          <cell r="D3">
            <v>2016000001</v>
          </cell>
        </row>
        <row r="4">
          <cell r="A4" t="str">
            <v>200</v>
          </cell>
          <cell r="B4" t="str">
            <v>Financial Systems</v>
          </cell>
          <cell r="C4" t="str">
            <v>PowerPlan Financial SW Ph I</v>
          </cell>
          <cell r="D4">
            <v>2016000001</v>
          </cell>
        </row>
        <row r="5">
          <cell r="A5" t="str">
            <v>300</v>
          </cell>
          <cell r="B5" t="str">
            <v>Network Equip</v>
          </cell>
          <cell r="C5" t="str">
            <v>Network Equipment Purch 2Q16</v>
          </cell>
          <cell r="D5">
            <v>2016000002</v>
          </cell>
        </row>
        <row r="6">
          <cell r="A6" t="str">
            <v>400</v>
          </cell>
          <cell r="B6" t="str">
            <v>Tri-County Expansion - Phase I</v>
          </cell>
          <cell r="C6" t="str">
            <v>Tri-County 115KV Trans Fclty Eng</v>
          </cell>
          <cell r="D6">
            <v>2016000006</v>
          </cell>
        </row>
        <row r="7">
          <cell r="A7" t="str">
            <v>500</v>
          </cell>
          <cell r="B7" t="str">
            <v>Chicago Office Buildout</v>
          </cell>
          <cell r="C7" t="str">
            <v>Chgo Office - Leasehold Improvement</v>
          </cell>
          <cell r="D7">
            <v>2016000003</v>
          </cell>
        </row>
        <row r="8">
          <cell r="A8" t="str">
            <v>100010</v>
          </cell>
          <cell r="B8" t="str">
            <v>Tri-County Expansion - Phase I</v>
          </cell>
          <cell r="C8" t="str">
            <v>Rcndctr Powell Corner to Hovey Line 69 kV to 115 kV</v>
          </cell>
          <cell r="D8">
            <v>2016000006</v>
          </cell>
        </row>
        <row r="9">
          <cell r="A9" t="str">
            <v>100011</v>
          </cell>
          <cell r="B9" t="str">
            <v>Tri-County Expansion - Phase I</v>
          </cell>
          <cell r="C9" t="str">
            <v>Powell Corner Substation Expansion</v>
          </cell>
          <cell r="D9">
            <v>2016000006</v>
          </cell>
        </row>
        <row r="10">
          <cell r="A10" t="str">
            <v>100012</v>
          </cell>
          <cell r="B10" t="str">
            <v>Tri-County Expansion - Phase I</v>
          </cell>
          <cell r="C10" t="str">
            <v>Hovey Substation  Expansion</v>
          </cell>
          <cell r="D10">
            <v>2016000006</v>
          </cell>
        </row>
        <row r="11">
          <cell r="A11" t="str">
            <v>100027</v>
          </cell>
          <cell r="B11" t="str">
            <v>Tri-County Expansion - Phase I</v>
          </cell>
          <cell r="C11" t="str">
            <v>Hooker-Jefferson Sub - Brkr Add</v>
          </cell>
          <cell r="D11">
            <v>2016000006</v>
          </cell>
        </row>
        <row r="12">
          <cell r="A12">
            <v>100033</v>
          </cell>
          <cell r="B12" t="str">
            <v>Network Equip</v>
          </cell>
          <cell r="C12" t="str">
            <v>Purchase Polycom Phone System</v>
          </cell>
          <cell r="D12">
            <v>2016000002</v>
          </cell>
        </row>
        <row r="13">
          <cell r="A13" t="str">
            <v>100001</v>
          </cell>
          <cell r="B13" t="str">
            <v>KC Office Buildout</v>
          </cell>
          <cell r="C13" t="str">
            <v>Kansas City, MO Office Buildout</v>
          </cell>
          <cell r="D13">
            <v>2016000004</v>
          </cell>
        </row>
        <row r="14">
          <cell r="A14" t="str">
            <v>100002</v>
          </cell>
          <cell r="B14" t="str">
            <v>TCEC Misc WOs</v>
          </cell>
          <cell r="C14" t="str">
            <v>GridLiance Storm Work Order fr</v>
          </cell>
          <cell r="D14">
            <v>2016000005</v>
          </cell>
        </row>
        <row r="15">
          <cell r="A15" t="str">
            <v>100003</v>
          </cell>
          <cell r="B15" t="str">
            <v>TCEC Misc WOs</v>
          </cell>
          <cell r="C15" t="str">
            <v>GridLiance Pole 925211-Burnt XArm</v>
          </cell>
          <cell r="D15">
            <v>2016000005</v>
          </cell>
        </row>
        <row r="16">
          <cell r="A16" t="str">
            <v>100004</v>
          </cell>
          <cell r="B16" t="str">
            <v>TCEC Misc WOs</v>
          </cell>
          <cell r="C16" t="str">
            <v>Rpl XArms wPost Type Insulator</v>
          </cell>
          <cell r="D16">
            <v>2016000005</v>
          </cell>
        </row>
        <row r="17">
          <cell r="A17" t="str">
            <v>100005</v>
          </cell>
          <cell r="B17" t="str">
            <v>TCEC Misc WOs</v>
          </cell>
          <cell r="C17" t="str">
            <v>Chnge Out XArm Pole 113359</v>
          </cell>
          <cell r="D17">
            <v>2016000005</v>
          </cell>
        </row>
        <row r="18">
          <cell r="A18" t="str">
            <v>100006</v>
          </cell>
          <cell r="B18" t="str">
            <v>TCEC Misc WOs</v>
          </cell>
          <cell r="C18" t="str">
            <v>Chnge Out 26' Timber on T-Pole</v>
          </cell>
          <cell r="D18">
            <v>2016000005</v>
          </cell>
        </row>
        <row r="19">
          <cell r="A19" t="str">
            <v>100007</v>
          </cell>
          <cell r="B19" t="str">
            <v>Network Equip</v>
          </cell>
          <cell r="C19" t="str">
            <v>75" Monitor &amp; Equip - Board Room</v>
          </cell>
          <cell r="D19">
            <v>2016000003</v>
          </cell>
        </row>
        <row r="20">
          <cell r="A20" t="str">
            <v>100008</v>
          </cell>
          <cell r="B20" t="str">
            <v>TCEC Misc WOs</v>
          </cell>
          <cell r="C20" t="str">
            <v>Rpl Burnt Up Switch Jmpr-Elkhart</v>
          </cell>
          <cell r="D20">
            <v>2016000005</v>
          </cell>
        </row>
        <row r="21">
          <cell r="A21" t="str">
            <v>100009</v>
          </cell>
          <cell r="B21" t="str">
            <v>Tri-County Lobo Line</v>
          </cell>
          <cell r="C21" t="str">
            <v>115 kV Line Tap to TCEC Lobo Sub</v>
          </cell>
          <cell r="D21">
            <v>2016000007</v>
          </cell>
        </row>
        <row r="22">
          <cell r="A22" t="str">
            <v>100013</v>
          </cell>
          <cell r="B22" t="str">
            <v>Network Equip</v>
          </cell>
          <cell r="C22" t="str">
            <v>Network Equipment Purchases 3Q16</v>
          </cell>
          <cell r="D22">
            <v>2016000002</v>
          </cell>
        </row>
        <row r="23">
          <cell r="A23" t="str">
            <v>100014</v>
          </cell>
          <cell r="B23" t="str">
            <v>Network Equip</v>
          </cell>
          <cell r="C23" t="str">
            <v>Network Equipment Purchases 4Q16</v>
          </cell>
          <cell r="D23">
            <v>2016000002</v>
          </cell>
        </row>
        <row r="24">
          <cell r="A24" t="str">
            <v>100016</v>
          </cell>
          <cell r="B24" t="str">
            <v>Operations Software</v>
          </cell>
          <cell r="C24" t="str">
            <v>PSS®E Software Purchase</v>
          </cell>
          <cell r="D24">
            <v>2016000008</v>
          </cell>
        </row>
        <row r="25">
          <cell r="A25" t="str">
            <v>100017</v>
          </cell>
          <cell r="B25" t="str">
            <v>Financial Systems</v>
          </cell>
          <cell r="C25" t="str">
            <v>PeopleSoft - Phase II</v>
          </cell>
          <cell r="D25">
            <v>2016000009</v>
          </cell>
        </row>
        <row r="26">
          <cell r="A26" t="str">
            <v>100018</v>
          </cell>
          <cell r="B26" t="str">
            <v>TCEC Misc WOs</v>
          </cell>
          <cell r="C26" t="str">
            <v>POLE CHANGEOUT - ACCIDENT</v>
          </cell>
          <cell r="D26">
            <v>2016000005</v>
          </cell>
        </row>
        <row r="27">
          <cell r="A27" t="str">
            <v>100019</v>
          </cell>
          <cell r="B27" t="str">
            <v>Other Software</v>
          </cell>
          <cell r="C27" t="str">
            <v>GridLiance Website</v>
          </cell>
          <cell r="D27">
            <v>2016000010</v>
          </cell>
        </row>
        <row r="28">
          <cell r="A28" t="str">
            <v>100021</v>
          </cell>
          <cell r="B28" t="str">
            <v>Austin Office Buildout</v>
          </cell>
          <cell r="C28" t="str">
            <v>Austin, TX Office Build Out</v>
          </cell>
          <cell r="D28">
            <v>2016000011</v>
          </cell>
        </row>
        <row r="29">
          <cell r="A29" t="str">
            <v>100022</v>
          </cell>
          <cell r="B29" t="str">
            <v>TCEC Misc WOs</v>
          </cell>
          <cell r="C29" t="str">
            <v>Crossarm changeout Line ID Y2.7</v>
          </cell>
          <cell r="D29">
            <v>2016000005</v>
          </cell>
        </row>
        <row r="30">
          <cell r="A30" t="str">
            <v>100024</v>
          </cell>
          <cell r="B30" t="str">
            <v>TCEC Misc WOs</v>
          </cell>
          <cell r="C30" t="str">
            <v>Y5-Y5.1 Change framing on T-Pole</v>
          </cell>
          <cell r="D30">
            <v>2016000005</v>
          </cell>
        </row>
        <row r="31">
          <cell r="A31" t="str">
            <v>100025</v>
          </cell>
          <cell r="B31" t="str">
            <v>TCEC Misc WOs</v>
          </cell>
          <cell r="C31" t="str">
            <v>Y5-Y5-Change out x-arm on pole</v>
          </cell>
          <cell r="D31">
            <v>2016000005</v>
          </cell>
        </row>
        <row r="32">
          <cell r="A32" t="str">
            <v>100026</v>
          </cell>
          <cell r="B32" t="str">
            <v>TCEC Misc WOs</v>
          </cell>
          <cell r="C32" t="str">
            <v>Y3.2  - C/O Poletop on 5 Trans Pole</v>
          </cell>
          <cell r="D32">
            <v>2016000005</v>
          </cell>
        </row>
        <row r="33">
          <cell r="A33" t="str">
            <v>100028</v>
          </cell>
          <cell r="B33" t="str">
            <v>TCEC Misc WOs</v>
          </cell>
          <cell r="C33" t="str">
            <v>RPL Insulator on GOAB</v>
          </cell>
          <cell r="D33">
            <v>2016000012</v>
          </cell>
        </row>
        <row r="34">
          <cell r="A34" t="str">
            <v>100029</v>
          </cell>
          <cell r="B34" t="str">
            <v>TCEC Misc WOs</v>
          </cell>
          <cell r="C34" t="str">
            <v>RPL A/C Unit Cole Sub</v>
          </cell>
          <cell r="D34">
            <v>2016000005</v>
          </cell>
        </row>
        <row r="35">
          <cell r="A35" t="str">
            <v>100030</v>
          </cell>
          <cell r="B35" t="str">
            <v>TCEC Misc WOs</v>
          </cell>
          <cell r="C35" t="str">
            <v>C/O 5 Arms and 2 full structur</v>
          </cell>
          <cell r="D35">
            <v>2016000005</v>
          </cell>
        </row>
        <row r="36">
          <cell r="A36" t="str">
            <v>100031</v>
          </cell>
          <cell r="B36" t="str">
            <v>TCEC Misc WOs</v>
          </cell>
          <cell r="C36" t="str">
            <v>C/O 1 3-Pole &amp; 2 1-Pole Struct</v>
          </cell>
          <cell r="D36">
            <v>2016000005</v>
          </cell>
        </row>
        <row r="37">
          <cell r="A37" t="str">
            <v>100032</v>
          </cell>
          <cell r="B37" t="str">
            <v>Tri-County Texas Cnty</v>
          </cell>
          <cell r="C37" t="str">
            <v>2-OCB C/O w/2-SF6 Brks -Texas Cnty</v>
          </cell>
          <cell r="D37">
            <v>2016000005</v>
          </cell>
        </row>
        <row r="38">
          <cell r="A38" t="str">
            <v>100033</v>
          </cell>
          <cell r="B38" t="str">
            <v xml:space="preserve"> Network Equip 2016</v>
          </cell>
          <cell r="C38" t="str">
            <v>Purchase Polycom Phone System</v>
          </cell>
          <cell r="D38">
            <v>2016000002</v>
          </cell>
        </row>
        <row r="39">
          <cell r="A39" t="str">
            <v>100034</v>
          </cell>
          <cell r="B39" t="str">
            <v>Bob Tap Line Project</v>
          </cell>
          <cell r="C39" t="str">
            <v xml:space="preserve">VEA Bob Tap Line Project </v>
          </cell>
          <cell r="D39" t="str">
            <v>Not Active</v>
          </cell>
          <cell r="E39" t="str">
            <v>Not Active</v>
          </cell>
        </row>
        <row r="40">
          <cell r="A40" t="str">
            <v>100035</v>
          </cell>
          <cell r="B40" t="str">
            <v xml:space="preserve"> Network Equip 2017</v>
          </cell>
          <cell r="C40" t="str">
            <v>Network Equipment 1Q17</v>
          </cell>
          <cell r="D40">
            <v>2017000002</v>
          </cell>
        </row>
        <row r="41">
          <cell r="A41" t="str">
            <v>100036</v>
          </cell>
          <cell r="B41" t="str">
            <v>Tri-County T-Line Misc TCEC WOs</v>
          </cell>
          <cell r="C41" t="str">
            <v>Rpl 2 Ductile Poles TCEC WO16413</v>
          </cell>
          <cell r="D41">
            <v>2016000005</v>
          </cell>
        </row>
        <row r="42">
          <cell r="A42" t="str">
            <v>100037</v>
          </cell>
          <cell r="B42" t="str">
            <v>Nevada West Connect Project</v>
          </cell>
          <cell r="C42" t="str">
            <v>VEA Nevada West Connect Project</v>
          </cell>
          <cell r="D42" t="str">
            <v>Not Active</v>
          </cell>
          <cell r="E42" t="str">
            <v>Not Active</v>
          </cell>
        </row>
        <row r="43">
          <cell r="A43" t="str">
            <v>100038</v>
          </cell>
          <cell r="B43" t="str">
            <v xml:space="preserve"> PSS®E Software Purchase</v>
          </cell>
          <cell r="C43" t="str">
            <v>PSS®E Software Purchase - Add-On</v>
          </cell>
          <cell r="D43">
            <v>2016000008</v>
          </cell>
        </row>
        <row r="44">
          <cell r="A44" t="str">
            <v>100039</v>
          </cell>
          <cell r="B44" t="str">
            <v>Tri-County Expansion Phase II</v>
          </cell>
          <cell r="C44" t="str">
            <v>Tri-County Exp Ph II - PM &amp; Plng</v>
          </cell>
          <cell r="D44">
            <v>2017000001</v>
          </cell>
        </row>
        <row r="45">
          <cell r="A45" t="str">
            <v>100040</v>
          </cell>
          <cell r="B45" t="str">
            <v>Tri-County T-Line Misc TCEC WOs</v>
          </cell>
          <cell r="C45" t="str">
            <v>Pole Change Out TCEC WO 16413</v>
          </cell>
          <cell r="D45">
            <v>2016000005</v>
          </cell>
        </row>
        <row r="46">
          <cell r="A46" t="str">
            <v>100041</v>
          </cell>
          <cell r="B46" t="str">
            <v>Tri-County Substations Misc TCEC WO</v>
          </cell>
          <cell r="C46" t="str">
            <v>Install AIRPORT LIGHTS - Hooker Sub</v>
          </cell>
          <cell r="D46">
            <v>2016000012</v>
          </cell>
        </row>
        <row r="47">
          <cell r="A47" t="str">
            <v>100042</v>
          </cell>
          <cell r="B47" t="str">
            <v>Tri-County T-Line Misc TCEC WOs</v>
          </cell>
          <cell r="C47" t="str">
            <v>Rpl CrssArm&amp;Insltr wPostType Insltr</v>
          </cell>
          <cell r="D47">
            <v>2016000005</v>
          </cell>
        </row>
        <row r="48">
          <cell r="A48" t="str">
            <v>100043</v>
          </cell>
          <cell r="B48" t="str">
            <v>Miscellaneous Off Furn &amp; Equip</v>
          </cell>
          <cell r="C48" t="str">
            <v>Purch Refrigerator for Chgo Office</v>
          </cell>
          <cell r="D48">
            <v>2017000003</v>
          </cell>
        </row>
        <row r="49">
          <cell r="A49" t="str">
            <v>100044</v>
          </cell>
          <cell r="B49" t="str">
            <v>Tri-County T-Line Misc TCEC WOs</v>
          </cell>
          <cell r="C49" t="str">
            <v>Rpl Timbers 110831 TCEC WO 16404</v>
          </cell>
          <cell r="D49">
            <v>2016000005</v>
          </cell>
        </row>
        <row r="50">
          <cell r="A50" t="str">
            <v>100045</v>
          </cell>
          <cell r="B50" t="str">
            <v>Tri-County T-Line Misc TCEC WOs</v>
          </cell>
          <cell r="C50" t="str">
            <v>Rpl Crssarm/Insltrs TCEC WO 170013</v>
          </cell>
          <cell r="D50">
            <v>2016000005</v>
          </cell>
        </row>
        <row r="51">
          <cell r="A51" t="str">
            <v>100046</v>
          </cell>
          <cell r="B51" t="str">
            <v>Ice Storm Jupiter TLine Rpl</v>
          </cell>
          <cell r="C51" t="str">
            <v>Rpl Crssarm/Insltrs TCEC WO 170055</v>
          </cell>
          <cell r="D51">
            <v>2017000004</v>
          </cell>
        </row>
        <row r="52">
          <cell r="A52" t="str">
            <v>100047</v>
          </cell>
          <cell r="B52" t="str">
            <v>Tri-County T-Line Misc TCEC WOs</v>
          </cell>
          <cell r="C52" t="str">
            <v>Misc Rpl CrossArms TCEC WO 16415</v>
          </cell>
          <cell r="D52">
            <v>2016000005</v>
          </cell>
        </row>
        <row r="53">
          <cell r="A53" t="str">
            <v>100048</v>
          </cell>
          <cell r="B53" t="str">
            <v>Network Equip 2017</v>
          </cell>
          <cell r="C53" t="str">
            <v>Network Equipment 2Q17 - Cancelled</v>
          </cell>
          <cell r="D53" t="str">
            <v>Cancelled</v>
          </cell>
          <cell r="E53" t="str">
            <v>Cancelled</v>
          </cell>
        </row>
        <row r="54">
          <cell r="A54" t="str">
            <v>100049</v>
          </cell>
          <cell r="B54" t="str">
            <v>Network Equip 2017</v>
          </cell>
          <cell r="C54" t="str">
            <v>Network Equipment 2Q17</v>
          </cell>
          <cell r="D54">
            <v>2017000002</v>
          </cell>
        </row>
        <row r="55">
          <cell r="A55" t="str">
            <v>100050</v>
          </cell>
          <cell r="B55" t="str">
            <v>Miscellaneous Off Furn &amp; Equip</v>
          </cell>
          <cell r="C55" t="str">
            <v>Misc Office Equipment</v>
          </cell>
          <cell r="D55">
            <v>2017000003</v>
          </cell>
        </row>
        <row r="56">
          <cell r="A56" t="str">
            <v>100051</v>
          </cell>
          <cell r="B56" t="str">
            <v>Purch &amp; Install 2-110 MVA XFRMs</v>
          </cell>
          <cell r="C56" t="str">
            <v>Hovey Substation Transformer</v>
          </cell>
          <cell r="D56">
            <v>2017000006</v>
          </cell>
        </row>
        <row r="57">
          <cell r="A57" t="str">
            <v>100052</v>
          </cell>
          <cell r="B57" t="str">
            <v>Purch &amp; Install 2-110 MVA XFRMs</v>
          </cell>
          <cell r="C57" t="str">
            <v>Cole Substation Transformer</v>
          </cell>
          <cell r="D57">
            <v>2017000006</v>
          </cell>
        </row>
        <row r="58">
          <cell r="A58" t="str">
            <v>100053</v>
          </cell>
          <cell r="B58" t="str">
            <v>Tri-County Expansion Phase II</v>
          </cell>
          <cell r="C58" t="str">
            <v>Y Road 115 kV Switching Station</v>
          </cell>
          <cell r="D58">
            <v>2017000001</v>
          </cell>
        </row>
        <row r="59">
          <cell r="A59" t="str">
            <v>100054</v>
          </cell>
          <cell r="B59" t="str">
            <v>Tri-County Expansion Phase II</v>
          </cell>
          <cell r="C59" t="str">
            <v>Enel Goodwell Wind-Red Dvl 115 kV L</v>
          </cell>
          <cell r="D59">
            <v>2017000001</v>
          </cell>
        </row>
        <row r="60">
          <cell r="A60" t="str">
            <v>100055</v>
          </cell>
          <cell r="B60" t="str">
            <v>Tri-County Expansion Phase II</v>
          </cell>
          <cell r="C60" t="str">
            <v>Enel Goodwell Wind 115 kV SW Sta.</v>
          </cell>
          <cell r="D60">
            <v>2017000001</v>
          </cell>
        </row>
        <row r="61">
          <cell r="A61" t="str">
            <v>100056</v>
          </cell>
          <cell r="B61" t="str">
            <v>Tri-County Expansion Phase II</v>
          </cell>
          <cell r="C61" t="str">
            <v>Red Devil 115 kV Station Expansion</v>
          </cell>
          <cell r="D61">
            <v>2017000001</v>
          </cell>
        </row>
        <row r="62">
          <cell r="A62" t="str">
            <v>100057</v>
          </cell>
          <cell r="B62" t="str">
            <v>Tri-County Expansion Phase II</v>
          </cell>
          <cell r="C62" t="str">
            <v>Y Road - Goodwell 115 kV Line</v>
          </cell>
          <cell r="D62">
            <v>2017000001</v>
          </cell>
        </row>
        <row r="63">
          <cell r="A63" t="str">
            <v>100058</v>
          </cell>
          <cell r="B63" t="str">
            <v>Tri-County Expansion Phase II</v>
          </cell>
          <cell r="C63" t="str">
            <v xml:space="preserve">Goodwell-Red Devil 115 kV Line </v>
          </cell>
          <cell r="D63">
            <v>2017000001</v>
          </cell>
        </row>
        <row r="64">
          <cell r="A64" t="str">
            <v>100059</v>
          </cell>
          <cell r="B64" t="str">
            <v>Tri-County Expansion Phase II</v>
          </cell>
          <cell r="C64" t="str">
            <v>Texas County - Y Road  115 kV Line</v>
          </cell>
          <cell r="D64">
            <v>2017000001</v>
          </cell>
        </row>
        <row r="65">
          <cell r="A65" t="str">
            <v>100060</v>
          </cell>
          <cell r="B65" t="str">
            <v>Tri-County Substations Misc TCEC WO</v>
          </cell>
          <cell r="C65" t="str">
            <v>Snake Protect-Doolin TCEC WO 16071</v>
          </cell>
          <cell r="D65">
            <v>2016000012</v>
          </cell>
        </row>
        <row r="66">
          <cell r="A66" t="str">
            <v>100061</v>
          </cell>
          <cell r="B66" t="str">
            <v>Tri-County T-Line Misc TCEC WOs</v>
          </cell>
          <cell r="C66" t="str">
            <v>Rpl 4 Pole Tops TCEC WO 16425</v>
          </cell>
          <cell r="D66">
            <v>2016000005</v>
          </cell>
        </row>
        <row r="67">
          <cell r="A67" t="str">
            <v>100062</v>
          </cell>
          <cell r="B67" t="str">
            <v>Bob 230 kV TLines - SW Project</v>
          </cell>
          <cell r="C67" t="str">
            <v xml:space="preserve">Bob 230 kV TLines-SW - PM-Plng-Eng </v>
          </cell>
          <cell r="D67">
            <v>2017000007</v>
          </cell>
        </row>
        <row r="68">
          <cell r="A68" t="str">
            <v>100063</v>
          </cell>
          <cell r="B68" t="str">
            <v>Tri-County Substations Misc TCEC WO</v>
          </cell>
          <cell r="C68" t="str">
            <v>C/O 3-69KV ARRESTORS-TCEC WO 170473</v>
          </cell>
          <cell r="D68">
            <v>2016000012</v>
          </cell>
        </row>
        <row r="69">
          <cell r="A69" t="str">
            <v>100064</v>
          </cell>
          <cell r="B69" t="str">
            <v>Bob 230 kV TLines - SW Project</v>
          </cell>
          <cell r="C69" t="str">
            <v>Bob 230 Construct Switchyard</v>
          </cell>
          <cell r="D69">
            <v>2017000007</v>
          </cell>
        </row>
        <row r="70">
          <cell r="A70" t="str">
            <v>100065</v>
          </cell>
          <cell r="B70" t="str">
            <v>Bob 230 kV TLines - SW Project</v>
          </cell>
          <cell r="C70" t="str">
            <v>Bob 230-Eldorado Interconnect Fees</v>
          </cell>
          <cell r="D70">
            <v>2017000007</v>
          </cell>
        </row>
        <row r="71">
          <cell r="A71" t="str">
            <v>100066</v>
          </cell>
          <cell r="B71" t="str">
            <v>Bob 230 kV TLines - SW Project</v>
          </cell>
          <cell r="C71" t="str">
            <v xml:space="preserve">Bob 230 SW to Eldorado Sub T-Line </v>
          </cell>
          <cell r="D71">
            <v>2017000007</v>
          </cell>
        </row>
        <row r="72">
          <cell r="A72" t="str">
            <v>100067</v>
          </cell>
          <cell r="B72" t="str">
            <v>Bob 230 kV TLines - SW Project</v>
          </cell>
          <cell r="C72" t="str">
            <v>Bob 230 Switchyard Access Road</v>
          </cell>
          <cell r="D72">
            <v>2017000007</v>
          </cell>
        </row>
        <row r="73">
          <cell r="A73" t="str">
            <v>100068</v>
          </cell>
          <cell r="B73" t="str">
            <v>Bob 230 kV TLines - SW Project</v>
          </cell>
          <cell r="C73" t="str">
            <v>Bob 230 1 1/2 Mile 10" Water Line</v>
          </cell>
          <cell r="D73">
            <v>2017000007</v>
          </cell>
        </row>
        <row r="74">
          <cell r="A74" t="str">
            <v>100069</v>
          </cell>
          <cell r="B74" t="str">
            <v>Bob 230 kV TLines - SW Project</v>
          </cell>
          <cell r="C74" t="str">
            <v>Bob 230 - OPGW OH Addition</v>
          </cell>
          <cell r="D74">
            <v>2017000007</v>
          </cell>
        </row>
        <row r="75">
          <cell r="A75" t="str">
            <v>100070</v>
          </cell>
          <cell r="B75" t="str">
            <v>April 2017 Wind Storm</v>
          </cell>
          <cell r="C75" t="str">
            <v>MAY 27 STORM Rplmnts-TCEC WO 170573</v>
          </cell>
          <cell r="D75">
            <v>2017000005</v>
          </cell>
        </row>
        <row r="76">
          <cell r="A76" t="str">
            <v>100071</v>
          </cell>
          <cell r="B76" t="str">
            <v>Dallas Office Build-Out</v>
          </cell>
          <cell r="C76" t="str">
            <v>Dallas Office Build-Out</v>
          </cell>
          <cell r="D76">
            <v>2017000008</v>
          </cell>
        </row>
        <row r="77">
          <cell r="A77" t="str">
            <v>100072</v>
          </cell>
          <cell r="B77" t="str">
            <v>SCMCN - Misc Transmission Line Proj</v>
          </cell>
          <cell r="C77" t="str">
            <v>Install Anti Galloping Devices</v>
          </cell>
          <cell r="D77">
            <v>2017000009</v>
          </cell>
        </row>
        <row r="78">
          <cell r="A78" t="str">
            <v>100073</v>
          </cell>
          <cell r="B78" t="str">
            <v>Tri-County T-Line Misc TCEC WOs</v>
          </cell>
          <cell r="C78" t="str">
            <v>Rpl 331' 2/0 ACSR-TCEC WO 170711</v>
          </cell>
          <cell r="D78">
            <v>2016000005</v>
          </cell>
        </row>
        <row r="79">
          <cell r="A79" t="str">
            <v>100074</v>
          </cell>
          <cell r="B79" t="str">
            <v>April 2017 Wind Storm</v>
          </cell>
          <cell r="C79" t="str">
            <v>STORM-Thompson-Keyes-TCEC WO 170494</v>
          </cell>
          <cell r="D79">
            <v>2017000005</v>
          </cell>
        </row>
        <row r="80">
          <cell r="A80" t="str">
            <v>100075</v>
          </cell>
          <cell r="B80" t="str">
            <v>April 2017 Wind Storm</v>
          </cell>
          <cell r="C80" t="str">
            <v>STORM-Thompson-Thrash-TCEC WO170495</v>
          </cell>
          <cell r="D80">
            <v>2017000005</v>
          </cell>
        </row>
        <row r="81">
          <cell r="A81" t="str">
            <v>100076</v>
          </cell>
          <cell r="B81" t="str">
            <v>Tri-County T-Line Misc TCEC WOs</v>
          </cell>
          <cell r="C81" t="str">
            <v>C/O Timbers - TCEC WO 170648</v>
          </cell>
          <cell r="D81">
            <v>2016000005</v>
          </cell>
        </row>
        <row r="82">
          <cell r="A82" t="str">
            <v>100077</v>
          </cell>
          <cell r="B82" t="str">
            <v>Bob 230 kV TLines - SW Project</v>
          </cell>
          <cell r="C82" t="str">
            <v>Bob 230 - UG Fiber Addition</v>
          </cell>
          <cell r="D82">
            <v>2017000007</v>
          </cell>
        </row>
        <row r="83">
          <cell r="A83" t="str">
            <v>100078</v>
          </cell>
          <cell r="B83" t="str">
            <v>VEA - Acquisition CWIP - Transmissi</v>
          </cell>
          <cell r="C83" t="str">
            <v>230- MEAD-PAH STRCTR-VEA WO 2014121</v>
          </cell>
          <cell r="D83">
            <v>2017000011</v>
          </cell>
        </row>
        <row r="84">
          <cell r="A84" t="str">
            <v>100079</v>
          </cell>
          <cell r="B84" t="str">
            <v>VEA - Acquisition CWIP - Substation</v>
          </cell>
          <cell r="C84" t="str">
            <v>PahSub TapChngrXFRM#3-VEA WO2016410</v>
          </cell>
          <cell r="D84">
            <v>2017000012</v>
          </cell>
        </row>
        <row r="85">
          <cell r="A85" t="str">
            <v>100080</v>
          </cell>
          <cell r="B85" t="str">
            <v>VEA - Acquisition CWIP - Transmissi</v>
          </cell>
          <cell r="C85" t="str">
            <v>VEA PAH-VISTA T-LINE LANDS/EASEMENT</v>
          </cell>
          <cell r="D85">
            <v>2017000011</v>
          </cell>
        </row>
        <row r="86">
          <cell r="A86" t="str">
            <v>100081</v>
          </cell>
          <cell r="B86" t="str">
            <v>SCMCN GIA w/ States Edge Wind I</v>
          </cell>
          <cell r="C86" t="str">
            <v>GIA - Bld 115 kV line Powell Crnr</v>
          </cell>
          <cell r="D86">
            <v>2017000010</v>
          </cell>
        </row>
        <row r="87">
          <cell r="A87" t="str">
            <v>100082</v>
          </cell>
          <cell r="B87" t="str">
            <v>Tri-County T-Line Misc TCEC WOs</v>
          </cell>
          <cell r="C87" t="str">
            <v>Tmbr Rpl W/Stndff's TCEC WO 170801</v>
          </cell>
          <cell r="D87">
            <v>2016000005</v>
          </cell>
        </row>
        <row r="88">
          <cell r="A88" t="str">
            <v>100083</v>
          </cell>
          <cell r="B88" t="str">
            <v>Tri-County T-Line Misc TCEC WOs</v>
          </cell>
          <cell r="C88" t="str">
            <v>CO Braces&amp;CrossArms TCEC WO 170823</v>
          </cell>
          <cell r="D88">
            <v>2016000005</v>
          </cell>
        </row>
        <row r="89">
          <cell r="A89" t="str">
            <v>100084</v>
          </cell>
          <cell r="B89" t="str">
            <v>Tri-County T-Line Misc TCEC WOs</v>
          </cell>
          <cell r="C89" t="str">
            <v>Pole C/O 3 Poles TCEC WO 170771</v>
          </cell>
          <cell r="D89">
            <v>2016000005</v>
          </cell>
        </row>
        <row r="90">
          <cell r="A90" t="str">
            <v>100085</v>
          </cell>
          <cell r="B90" t="str">
            <v>Tri-County T-Line Misc TCEC WOs</v>
          </cell>
          <cell r="C90" t="str">
            <v>PCO Cole E Circuit TCEC WO 170475</v>
          </cell>
          <cell r="D90">
            <v>2016000005</v>
          </cell>
        </row>
        <row r="91">
          <cell r="A91" t="str">
            <v>100086</v>
          </cell>
          <cell r="B91" t="str">
            <v>Network Equip 2017</v>
          </cell>
          <cell r="C91" t="str">
            <v>Network Equipment 4Q17</v>
          </cell>
          <cell r="D91">
            <v>2017000002</v>
          </cell>
        </row>
        <row r="92">
          <cell r="A92" t="str">
            <v>100087</v>
          </cell>
          <cell r="B92" t="str">
            <v>Tri-County T-Line Misc TCEC WOs</v>
          </cell>
          <cell r="C92" t="str">
            <v>C/O Pole# 38732 TCEC WO 170383</v>
          </cell>
          <cell r="D92">
            <v>2016000005</v>
          </cell>
        </row>
        <row r="93">
          <cell r="A93" t="str">
            <v>100088</v>
          </cell>
          <cell r="B93" t="str">
            <v>Tri-County Expansion - Phase I</v>
          </cell>
          <cell r="C93" t="str">
            <v>Add'l Hovey Sub Station Foundations</v>
          </cell>
          <cell r="D93">
            <v>2016000006</v>
          </cell>
        </row>
        <row r="94">
          <cell r="A94" t="str">
            <v>100089</v>
          </cell>
          <cell r="B94" t="str">
            <v>Tri-County T-Line Misc TCEC WOs</v>
          </cell>
          <cell r="C94" t="str">
            <v>X-Arm C/O  Crct 4360 TCEC WO 170883</v>
          </cell>
          <cell r="D94">
            <v>2016000005</v>
          </cell>
        </row>
        <row r="95">
          <cell r="A95" t="str">
            <v>100090</v>
          </cell>
          <cell r="B95" t="str">
            <v>Tri-County Substations Misc TCEC WO</v>
          </cell>
          <cell r="C95" t="str">
            <v>Rpl A/C BOURK CntlHS TCEC WO 170780</v>
          </cell>
          <cell r="D95">
            <v>2016000012</v>
          </cell>
        </row>
        <row r="96">
          <cell r="A96" t="str">
            <v>100091</v>
          </cell>
          <cell r="B96" t="str">
            <v>PSS®E Software Purchase</v>
          </cell>
          <cell r="C96" t="str">
            <v>PSS®E Software - 6th &amp; 7th License</v>
          </cell>
          <cell r="D96">
            <v>2016000008</v>
          </cell>
        </row>
        <row r="97">
          <cell r="A97" t="str">
            <v>100092</v>
          </cell>
          <cell r="B97" t="str">
            <v>Tri-County Expansion - Phase I</v>
          </cell>
          <cell r="C97" t="str">
            <v>Hovey Sub-Removal of Box Structure</v>
          </cell>
          <cell r="D97">
            <v>2016000006</v>
          </cell>
        </row>
        <row r="98">
          <cell r="A98" t="str">
            <v>100093</v>
          </cell>
          <cell r="B98" t="str">
            <v>Purch &amp; Install 2-110 MVA XFRMs</v>
          </cell>
          <cell r="C98" t="str">
            <v>Cole XFMR</v>
          </cell>
          <cell r="D98">
            <v>2017000006</v>
          </cell>
        </row>
        <row r="99">
          <cell r="A99" t="str">
            <v>100094</v>
          </cell>
          <cell r="B99" t="str">
            <v>GWT - CAISO ARES Nevada Project</v>
          </cell>
          <cell r="C99" t="str">
            <v>GWT- CAISO ARES SW &amp; TLine- PM-Plng</v>
          </cell>
          <cell r="D99">
            <v>2018000001</v>
          </cell>
        </row>
        <row r="100">
          <cell r="A100" t="str">
            <v>100095</v>
          </cell>
          <cell r="B100" t="str">
            <v>Tri-County T-Line Misc TCEC WOs</v>
          </cell>
          <cell r="C100" t="str">
            <v>C/O 3-Pole Struct Outside Hovey Tap</v>
          </cell>
          <cell r="D100">
            <v>2016000005</v>
          </cell>
        </row>
        <row r="101">
          <cell r="A101" t="str">
            <v>100096</v>
          </cell>
          <cell r="B101" t="str">
            <v>Tri-County T-Line Misc TCEC WOs</v>
          </cell>
          <cell r="C101" t="str">
            <v xml:space="preserve">Pole Change Out </v>
          </cell>
          <cell r="D101">
            <v>2016000005</v>
          </cell>
        </row>
        <row r="102">
          <cell r="A102" t="str">
            <v>100097</v>
          </cell>
          <cell r="B102" t="str">
            <v>Tri-County T-Line Misc TCEC WOs</v>
          </cell>
          <cell r="C102" t="str">
            <v>OPTIMA 69kV MAINT -RPL 6 Insulators</v>
          </cell>
          <cell r="D102">
            <v>2016000005</v>
          </cell>
        </row>
        <row r="103">
          <cell r="A103" t="str">
            <v>100098</v>
          </cell>
          <cell r="B103" t="str">
            <v>Ice Storm Jupiter TLine Rpl</v>
          </cell>
          <cell r="C103" t="str">
            <v>SNOW STORM-Turpin to Beard Pole Rpl</v>
          </cell>
          <cell r="D103">
            <v>2017000004</v>
          </cell>
        </row>
        <row r="104">
          <cell r="A104" t="str">
            <v>100099</v>
          </cell>
          <cell r="B104" t="str">
            <v>Network Equipment 2018</v>
          </cell>
          <cell r="C104" t="str">
            <v>Network Equipment 1Q18</v>
          </cell>
        </row>
        <row r="105">
          <cell r="A105" t="str">
            <v>100100</v>
          </cell>
          <cell r="C105" t="str">
            <v>Pole RPL Hovey-Jefferson 69kV line</v>
          </cell>
        </row>
        <row r="106">
          <cell r="A106" t="str">
            <v>100101</v>
          </cell>
          <cell r="B106" t="str">
            <v>SCMCN Inventory Equipment</v>
          </cell>
          <cell r="C106" t="str">
            <v>Purch Conex Box - Inventory Storage</v>
          </cell>
        </row>
        <row r="107">
          <cell r="A107" t="str">
            <v>100102</v>
          </cell>
          <cell r="B107" t="str">
            <v>TCEC WACS Loop #2 Project</v>
          </cell>
          <cell r="C107" t="str">
            <v>TCEC WACS Loop #2 Project</v>
          </cell>
        </row>
        <row r="109">
          <cell r="A109" t="str">
            <v>End of File</v>
          </cell>
          <cell r="B109" t="str">
            <v>Insert New Items Above</v>
          </cell>
          <cell r="C109" t="str">
            <v>Insert New Items Above</v>
          </cell>
          <cell r="D109" t="str">
            <v>EndofFile</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Bridge fm Q3 Fcst"/>
      <sheetName val="Q4 Bridge fm prelim pass"/>
      <sheetName val="Q4 Risk &amp; Opp"/>
      <sheetName val="2003 Annual Risk &amp; Opp"/>
      <sheetName val="p.anticipados "/>
      <sheetName val="GSM Cabin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QTD P&amp;Ls --&gt;"/>
      <sheetName val="May'10 Comparative (QTD)"/>
      <sheetName val="May'10 by Region (QTD)"/>
      <sheetName val="by Region DATA - ALLMOT"/>
      <sheetName val="Q1'10 Comparative"/>
      <sheetName val="Q1'10 by Region"/>
      <sheetName val="Q1'10 by Region CORP"/>
      <sheetName val="Q1'10 by Tech"/>
      <sheetName val="Q2'10 P&amp;Ls --&gt;"/>
      <sheetName val="GPS vs Emb"/>
      <sheetName val="GPS vs Emb GM"/>
      <sheetName val="G&amp;PS Indirect Channel"/>
      <sheetName val="Q2'10 Comparative"/>
      <sheetName val="Q2'10 by Region"/>
      <sheetName val="Q2'10 by Region CEO"/>
      <sheetName val="by Tech DATA - ALLMOT"/>
      <sheetName val="by Tech DATA - ALLFIN"/>
      <sheetName val="Q3'10 P&amp;Ls --&gt;"/>
      <sheetName val="Q3'10 Comparative "/>
      <sheetName val="Q3'10 Comparative  (NO MIRS)"/>
      <sheetName val="Q3'10 Comparative  (2)"/>
      <sheetName val="Q3'10 by Region"/>
      <sheetName val="Q3'10 by Region CEO"/>
      <sheetName val="Q3'10  by Tech"/>
      <sheetName val="2010 P&amp;Ls --&gt;"/>
      <sheetName val="2010 Comparative"/>
      <sheetName val="2010 Comparative (NO MIRS)"/>
      <sheetName val="2010 Comparative (NO MIRS) (2)"/>
      <sheetName val="2010 by Region"/>
      <sheetName val="2010 by Region CEO"/>
      <sheetName val="2010 by Tech"/>
      <sheetName val="8 Quarter Trends --&gt;"/>
      <sheetName val="EMS 8 Quarter P&amp;L, 09-10"/>
      <sheetName val="EMS 8 Quarter P&amp;L, 09-10 FULL"/>
      <sheetName val="BGM Details --&gt;"/>
      <sheetName val="EMS 8 Quarter BGM, 09-10"/>
      <sheetName val="EMS 8 Quarter Key Ratios, 09-10"/>
      <sheetName val="5 Year P&amp;Ls --&gt;"/>
      <sheetName val="EMS 5 Year P&amp;L Adj"/>
      <sheetName val="Backlog--&gt;"/>
      <sheetName val="April OSB comparative"/>
      <sheetName val="May OSB comparative"/>
      <sheetName val="Backlog Graphs and Data"/>
      <sheetName val="G&amp;PS Backlog by Month ($M)"/>
      <sheetName val="G&amp;PS Backlog by Month ($M) NEW"/>
      <sheetName val="Astro Systems backlog"/>
      <sheetName val="Backlog fcst"/>
      <sheetName val="Q2 Orders"/>
      <sheetName val="Subs Back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ian TG Nov"/>
      <sheetName val="M002_001"/>
      <sheetName val="DANDE"/>
      <sheetName val="M002_006 (2)"/>
      <sheetName val="M002_011"/>
      <sheetName val="M002_002"/>
      <sheetName val="M002_003"/>
      <sheetName val="M002_004"/>
      <sheetName val="M002_005"/>
      <sheetName val="M002_006"/>
      <sheetName val="M002_007"/>
      <sheetName val="M002_008"/>
      <sheetName val="M002_00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1"/>
      <sheetName val="A.1.1"/>
      <sheetName val="A.2 PTP"/>
      <sheetName val="B.1"/>
      <sheetName val="B.1.1"/>
      <sheetName val="B.2 NITS "/>
      <sheetName val="B.3.1 "/>
      <sheetName val="B.3.2  "/>
      <sheetName val="C. Input"/>
      <sheetName val="D.1 Cost of Capital"/>
      <sheetName val="D.12.1 TREV"/>
      <sheetName val="D.15 Demands"/>
      <sheetName val="D.16.1 Table B SUM"/>
      <sheetName val="D.16.1.1 Table B 2003"/>
      <sheetName val="D.16.1.2 Table B 2004"/>
      <sheetName val="D.16.1.3 Table B 2005"/>
      <sheetName val="D.16.1.4 Table B 2006"/>
      <sheetName val="D.16.1.5 Table B 2007"/>
      <sheetName val="D.16.1.6 Table B 2008"/>
      <sheetName val="D.16.1.7 Table B 2009"/>
      <sheetName val="D.16.1.8 Table B 2010"/>
      <sheetName val="D.16.1.9 Table B 2011"/>
      <sheetName val="D.16.1.10 Table B 2012"/>
      <sheetName val="D.16.2.1"/>
      <sheetName val="D.16.2.2"/>
      <sheetName val="D.16.2.3"/>
      <sheetName val="D.16.2.4"/>
      <sheetName val="D.16.3.1"/>
      <sheetName val="D.16.3.2"/>
      <sheetName val="D.16.3.3"/>
      <sheetName val="D.16.3.4"/>
      <sheetName val="D.16.3.5"/>
      <sheetName val="D.16.3.6"/>
      <sheetName val="D.16.3.7"/>
      <sheetName val="D.16.3.8"/>
      <sheetName val="D.16.3.9"/>
      <sheetName val="D.16.3.10"/>
      <sheetName val="D.16.3.11"/>
      <sheetName val="D.16.3.12"/>
      <sheetName val="D.17.1"/>
      <sheetName val="D.17.2"/>
      <sheetName val="D.17.3"/>
      <sheetName val="PrintModule"/>
    </sheetNames>
    <sheetDataSet>
      <sheetData sheetId="0" refreshError="1"/>
      <sheetData sheetId="1" refreshError="1"/>
      <sheetData sheetId="2" refreshError="1"/>
      <sheetData sheetId="3">
        <row r="31">
          <cell r="P31">
            <v>0.62</v>
          </cell>
        </row>
        <row r="33">
          <cell r="P33">
            <v>0.11559999999999999</v>
          </cell>
        </row>
        <row r="55">
          <cell r="P55">
            <v>4594652900</v>
          </cell>
        </row>
        <row r="75">
          <cell r="P75">
            <v>0.17199999999999999</v>
          </cell>
        </row>
        <row r="91">
          <cell r="P91">
            <v>8.9499999999999996E-2</v>
          </cell>
        </row>
        <row r="111">
          <cell r="P111">
            <v>618198437</v>
          </cell>
        </row>
        <row r="129">
          <cell r="P129">
            <v>7.3000000000000001E-3</v>
          </cell>
        </row>
        <row r="165">
          <cell r="P165">
            <v>2534608822</v>
          </cell>
        </row>
        <row r="212">
          <cell r="P212">
            <v>310773442</v>
          </cell>
        </row>
        <row r="230">
          <cell r="P230">
            <v>1.642979</v>
          </cell>
        </row>
        <row r="276">
          <cell r="P276">
            <v>1.7050134952130698</v>
          </cell>
        </row>
        <row r="282">
          <cell r="P282">
            <v>0.39346465274147763</v>
          </cell>
        </row>
        <row r="288">
          <cell r="P288">
            <v>7.8692930548295528E-2</v>
          </cell>
        </row>
        <row r="294">
          <cell r="P294">
            <v>5.6055238198785856E-2</v>
          </cell>
        </row>
        <row r="332">
          <cell r="P332">
            <v>4.9183081592684705E-3</v>
          </cell>
        </row>
        <row r="333">
          <cell r="P333">
            <v>2.3356349249494105E-3</v>
          </cell>
        </row>
      </sheetData>
      <sheetData sheetId="4" refreshError="1"/>
      <sheetData sheetId="5" refreshError="1"/>
      <sheetData sheetId="6">
        <row r="220">
          <cell r="P220">
            <v>607090822.76530898</v>
          </cell>
        </row>
      </sheetData>
      <sheetData sheetId="7" refreshError="1"/>
      <sheetData sheetId="8" refreshError="1"/>
      <sheetData sheetId="9">
        <row r="23">
          <cell r="F23">
            <v>0.49540000000000001</v>
          </cell>
        </row>
        <row r="25">
          <cell r="F25">
            <v>1.7399999999999999E-2</v>
          </cell>
        </row>
        <row r="27">
          <cell r="F27">
            <v>0.48719999999999997</v>
          </cell>
        </row>
        <row r="33">
          <cell r="F33">
            <v>5.5300000000000002E-2</v>
          </cell>
          <cell r="I33">
            <v>4.9599999999999998E-2</v>
          </cell>
          <cell r="L33">
            <v>5.74E-2</v>
          </cell>
          <cell r="R33">
            <v>5.3600000000000002E-2</v>
          </cell>
          <cell r="X33">
            <v>6.7100000000000007E-2</v>
          </cell>
        </row>
        <row r="35">
          <cell r="F35">
            <v>6.3899999999999998E-2</v>
          </cell>
          <cell r="I35">
            <v>5.9900000000000002E-2</v>
          </cell>
          <cell r="L35">
            <v>8.7099999999999997E-2</v>
          </cell>
          <cell r="O35">
            <v>7.4899999999999994E-2</v>
          </cell>
          <cell r="R35">
            <v>5.6899999999999999E-2</v>
          </cell>
          <cell r="X35">
            <v>0</v>
          </cell>
        </row>
        <row r="37">
          <cell r="F37">
            <v>0.11</v>
          </cell>
          <cell r="I37">
            <v>0.11</v>
          </cell>
          <cell r="L37">
            <v>0.11</v>
          </cell>
          <cell r="O37">
            <v>0.11</v>
          </cell>
          <cell r="R37">
            <v>0.11</v>
          </cell>
          <cell r="X37">
            <v>0.11</v>
          </cell>
        </row>
        <row r="72">
          <cell r="F72">
            <v>0.35</v>
          </cell>
        </row>
        <row r="144">
          <cell r="F144">
            <v>4594652900</v>
          </cell>
        </row>
        <row r="152">
          <cell r="F152">
            <v>14660147037</v>
          </cell>
        </row>
        <row r="161">
          <cell r="F161">
            <v>5119727758</v>
          </cell>
        </row>
        <row r="164">
          <cell r="F164">
            <v>5021648755</v>
          </cell>
        </row>
        <row r="166">
          <cell r="F166">
            <v>9181026660</v>
          </cell>
        </row>
        <row r="168">
          <cell r="F168">
            <v>802043191</v>
          </cell>
        </row>
        <row r="178">
          <cell r="F178">
            <v>43270862</v>
          </cell>
        </row>
        <row r="185">
          <cell r="F185">
            <v>483240817</v>
          </cell>
        </row>
        <row r="201">
          <cell r="F201">
            <v>634673266</v>
          </cell>
        </row>
        <row r="203">
          <cell r="F203">
            <v>442905</v>
          </cell>
        </row>
        <row r="205">
          <cell r="F205">
            <v>1451423</v>
          </cell>
        </row>
        <row r="207">
          <cell r="F207">
            <v>14580501</v>
          </cell>
        </row>
        <row r="215">
          <cell r="F215">
            <v>400332158</v>
          </cell>
        </row>
        <row r="220">
          <cell r="F220">
            <v>41406988</v>
          </cell>
        </row>
        <row r="222">
          <cell r="F222">
            <v>143057846</v>
          </cell>
        </row>
        <row r="234">
          <cell r="F234">
            <v>1870733615</v>
          </cell>
        </row>
        <row r="237">
          <cell r="F237">
            <v>161697644</v>
          </cell>
        </row>
        <row r="242">
          <cell r="F242">
            <v>459137456</v>
          </cell>
        </row>
        <row r="244">
          <cell r="F244">
            <v>34364287</v>
          </cell>
        </row>
        <row r="270">
          <cell r="F270">
            <v>108721514</v>
          </cell>
        </row>
        <row r="277">
          <cell r="F277">
            <v>18874886</v>
          </cell>
        </row>
        <row r="287">
          <cell r="F287">
            <v>23369818</v>
          </cell>
        </row>
        <row r="295">
          <cell r="F295">
            <v>0</v>
          </cell>
        </row>
        <row r="304">
          <cell r="F304">
            <v>115061400</v>
          </cell>
        </row>
        <row r="309">
          <cell r="F309">
            <v>60611928</v>
          </cell>
        </row>
        <row r="325">
          <cell r="F325">
            <v>8869408</v>
          </cell>
        </row>
        <row r="330">
          <cell r="F330">
            <v>30792170</v>
          </cell>
        </row>
        <row r="337">
          <cell r="F337">
            <v>19365303</v>
          </cell>
        </row>
        <row r="343">
          <cell r="F343">
            <v>4031948</v>
          </cell>
        </row>
        <row r="349">
          <cell r="F349">
            <v>20369012</v>
          </cell>
        </row>
        <row r="353">
          <cell r="F353">
            <v>11719743</v>
          </cell>
        </row>
        <row r="357">
          <cell r="F357">
            <v>2516885</v>
          </cell>
        </row>
      </sheetData>
      <sheetData sheetId="10" refreshError="1"/>
      <sheetData sheetId="11" refreshError="1"/>
      <sheetData sheetId="12" refreshError="1"/>
      <sheetData sheetId="13" refreshError="1"/>
      <sheetData sheetId="14" refreshError="1"/>
      <sheetData sheetId="15">
        <row r="24">
          <cell r="A24">
            <v>37986</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C25">
            <v>118568.8</v>
          </cell>
          <cell r="D25">
            <v>0</v>
          </cell>
          <cell r="E25">
            <v>0</v>
          </cell>
          <cell r="F25">
            <v>19420.7</v>
          </cell>
          <cell r="G25">
            <v>0</v>
          </cell>
          <cell r="H25">
            <v>0</v>
          </cell>
          <cell r="I25">
            <v>64529</v>
          </cell>
          <cell r="J25">
            <v>0</v>
          </cell>
          <cell r="K25">
            <v>0</v>
          </cell>
          <cell r="L25">
            <v>0</v>
          </cell>
          <cell r="M25">
            <v>0</v>
          </cell>
          <cell r="N25">
            <v>0</v>
          </cell>
          <cell r="O25">
            <v>25885.3</v>
          </cell>
          <cell r="P25">
            <v>0</v>
          </cell>
          <cell r="Q25">
            <v>0</v>
          </cell>
          <cell r="R25">
            <v>0</v>
          </cell>
          <cell r="S25">
            <v>0</v>
          </cell>
          <cell r="T25">
            <v>0</v>
          </cell>
          <cell r="U25">
            <v>8733.7999999999993</v>
          </cell>
        </row>
        <row r="26">
          <cell r="A26">
            <v>38717</v>
          </cell>
          <cell r="C26">
            <v>118568.8</v>
          </cell>
          <cell r="D26">
            <v>0</v>
          </cell>
          <cell r="E26">
            <v>0</v>
          </cell>
          <cell r="F26">
            <v>19420.7</v>
          </cell>
          <cell r="G26">
            <v>0</v>
          </cell>
          <cell r="H26">
            <v>0</v>
          </cell>
          <cell r="I26">
            <v>64529</v>
          </cell>
          <cell r="J26">
            <v>0</v>
          </cell>
          <cell r="K26">
            <v>0</v>
          </cell>
          <cell r="L26">
            <v>0</v>
          </cell>
          <cell r="M26">
            <v>0</v>
          </cell>
          <cell r="N26">
            <v>0</v>
          </cell>
          <cell r="O26">
            <v>25885.3</v>
          </cell>
          <cell r="P26">
            <v>0</v>
          </cell>
          <cell r="Q26">
            <v>0</v>
          </cell>
          <cell r="R26">
            <v>0</v>
          </cell>
          <cell r="S26">
            <v>0</v>
          </cell>
          <cell r="T26">
            <v>0</v>
          </cell>
          <cell r="U26">
            <v>8733.7999999999993</v>
          </cell>
        </row>
        <row r="27">
          <cell r="A27">
            <v>39082</v>
          </cell>
          <cell r="C27">
            <v>118568.8</v>
          </cell>
          <cell r="D27">
            <v>0</v>
          </cell>
          <cell r="E27">
            <v>0</v>
          </cell>
          <cell r="F27">
            <v>19420.7</v>
          </cell>
          <cell r="G27">
            <v>0</v>
          </cell>
          <cell r="H27">
            <v>0</v>
          </cell>
          <cell r="I27">
            <v>64529</v>
          </cell>
          <cell r="J27">
            <v>0</v>
          </cell>
          <cell r="K27">
            <v>0</v>
          </cell>
          <cell r="L27">
            <v>0</v>
          </cell>
          <cell r="M27">
            <v>0</v>
          </cell>
          <cell r="N27">
            <v>0</v>
          </cell>
          <cell r="O27">
            <v>25885.3</v>
          </cell>
          <cell r="P27">
            <v>0</v>
          </cell>
          <cell r="Q27">
            <v>0</v>
          </cell>
          <cell r="R27">
            <v>0</v>
          </cell>
          <cell r="S27">
            <v>0</v>
          </cell>
          <cell r="T27">
            <v>0</v>
          </cell>
          <cell r="U27">
            <v>8733.7999999999993</v>
          </cell>
        </row>
        <row r="28">
          <cell r="A28">
            <v>39447</v>
          </cell>
          <cell r="C28">
            <v>118568.8</v>
          </cell>
          <cell r="D28">
            <v>0</v>
          </cell>
          <cell r="E28">
            <v>0</v>
          </cell>
          <cell r="F28">
            <v>19420.7</v>
          </cell>
          <cell r="G28">
            <v>0</v>
          </cell>
          <cell r="H28">
            <v>0</v>
          </cell>
          <cell r="I28">
            <v>64529</v>
          </cell>
          <cell r="J28">
            <v>0</v>
          </cell>
          <cell r="K28">
            <v>0</v>
          </cell>
          <cell r="L28">
            <v>0</v>
          </cell>
          <cell r="M28">
            <v>0</v>
          </cell>
          <cell r="N28">
            <v>0</v>
          </cell>
          <cell r="O28">
            <v>25885.3</v>
          </cell>
          <cell r="P28">
            <v>0</v>
          </cell>
          <cell r="Q28">
            <v>0</v>
          </cell>
          <cell r="R28">
            <v>0</v>
          </cell>
          <cell r="S28">
            <v>0</v>
          </cell>
          <cell r="T28">
            <v>0</v>
          </cell>
          <cell r="U28">
            <v>8733.7999999999993</v>
          </cell>
        </row>
        <row r="29">
          <cell r="A29">
            <v>39813</v>
          </cell>
          <cell r="C29">
            <v>118568.8</v>
          </cell>
          <cell r="D29">
            <v>0</v>
          </cell>
          <cell r="E29">
            <v>0</v>
          </cell>
          <cell r="F29">
            <v>19420.7</v>
          </cell>
          <cell r="G29">
            <v>0</v>
          </cell>
          <cell r="H29">
            <v>0</v>
          </cell>
          <cell r="I29">
            <v>64529</v>
          </cell>
          <cell r="J29">
            <v>0</v>
          </cell>
          <cell r="K29">
            <v>0</v>
          </cell>
          <cell r="L29">
            <v>0</v>
          </cell>
          <cell r="M29">
            <v>0</v>
          </cell>
          <cell r="N29">
            <v>0</v>
          </cell>
          <cell r="O29">
            <v>25885.3</v>
          </cell>
          <cell r="P29">
            <v>0</v>
          </cell>
          <cell r="Q29">
            <v>0</v>
          </cell>
          <cell r="R29">
            <v>0</v>
          </cell>
          <cell r="S29">
            <v>0</v>
          </cell>
          <cell r="T29">
            <v>0</v>
          </cell>
          <cell r="U29">
            <v>8733.7999999999993</v>
          </cell>
        </row>
        <row r="30">
          <cell r="A30">
            <v>40178</v>
          </cell>
          <cell r="C30">
            <v>118568.8</v>
          </cell>
          <cell r="D30">
            <v>0</v>
          </cell>
          <cell r="E30">
            <v>0</v>
          </cell>
          <cell r="F30">
            <v>19420.7</v>
          </cell>
          <cell r="G30">
            <v>0</v>
          </cell>
          <cell r="H30">
            <v>0</v>
          </cell>
          <cell r="I30">
            <v>64529</v>
          </cell>
          <cell r="J30">
            <v>0</v>
          </cell>
          <cell r="K30">
            <v>0</v>
          </cell>
          <cell r="L30">
            <v>0</v>
          </cell>
          <cell r="M30">
            <v>0</v>
          </cell>
          <cell r="N30">
            <v>0</v>
          </cell>
          <cell r="O30">
            <v>25885.3</v>
          </cell>
          <cell r="P30">
            <v>0</v>
          </cell>
          <cell r="Q30">
            <v>0</v>
          </cell>
          <cell r="R30">
            <v>0</v>
          </cell>
          <cell r="S30">
            <v>0</v>
          </cell>
          <cell r="T30">
            <v>0</v>
          </cell>
          <cell r="U30">
            <v>8733.7999999999993</v>
          </cell>
        </row>
        <row r="31">
          <cell r="A31">
            <v>40543</v>
          </cell>
          <cell r="C31">
            <v>118568.8</v>
          </cell>
          <cell r="D31">
            <v>0</v>
          </cell>
          <cell r="E31">
            <v>0</v>
          </cell>
          <cell r="F31">
            <v>19420.7</v>
          </cell>
          <cell r="G31">
            <v>0</v>
          </cell>
          <cell r="H31">
            <v>0</v>
          </cell>
          <cell r="I31">
            <v>64529</v>
          </cell>
          <cell r="J31">
            <v>0</v>
          </cell>
          <cell r="K31">
            <v>0</v>
          </cell>
          <cell r="L31">
            <v>0</v>
          </cell>
          <cell r="M31">
            <v>0</v>
          </cell>
          <cell r="N31">
            <v>0</v>
          </cell>
          <cell r="O31">
            <v>25885.3</v>
          </cell>
          <cell r="P31">
            <v>0</v>
          </cell>
          <cell r="Q31">
            <v>0</v>
          </cell>
          <cell r="R31">
            <v>0</v>
          </cell>
          <cell r="S31">
            <v>0</v>
          </cell>
          <cell r="T31">
            <v>0</v>
          </cell>
          <cell r="U31">
            <v>8733.7999999999993</v>
          </cell>
        </row>
        <row r="32">
          <cell r="A32">
            <v>40908</v>
          </cell>
          <cell r="C32">
            <v>118568.8</v>
          </cell>
          <cell r="D32">
            <v>0</v>
          </cell>
          <cell r="E32">
            <v>0</v>
          </cell>
          <cell r="F32">
            <v>19420.7</v>
          </cell>
          <cell r="G32">
            <v>0</v>
          </cell>
          <cell r="H32">
            <v>0</v>
          </cell>
          <cell r="I32">
            <v>64529</v>
          </cell>
          <cell r="J32">
            <v>0</v>
          </cell>
          <cell r="K32">
            <v>0</v>
          </cell>
          <cell r="L32">
            <v>0</v>
          </cell>
          <cell r="M32">
            <v>0</v>
          </cell>
          <cell r="N32">
            <v>0</v>
          </cell>
          <cell r="O32">
            <v>25885.3</v>
          </cell>
          <cell r="P32">
            <v>0</v>
          </cell>
          <cell r="Q32">
            <v>0</v>
          </cell>
          <cell r="R32">
            <v>0</v>
          </cell>
          <cell r="S32">
            <v>0</v>
          </cell>
          <cell r="T32">
            <v>0</v>
          </cell>
          <cell r="U32">
            <v>8733.7999999999993</v>
          </cell>
        </row>
        <row r="33">
          <cell r="A33">
            <v>41274</v>
          </cell>
          <cell r="C33">
            <v>118568.8</v>
          </cell>
          <cell r="D33">
            <v>0</v>
          </cell>
          <cell r="E33">
            <v>0</v>
          </cell>
          <cell r="F33">
            <v>19420.7</v>
          </cell>
          <cell r="G33">
            <v>0</v>
          </cell>
          <cell r="H33">
            <v>0</v>
          </cell>
          <cell r="I33">
            <v>64529</v>
          </cell>
          <cell r="J33">
            <v>0</v>
          </cell>
          <cell r="K33">
            <v>0</v>
          </cell>
          <cell r="L33">
            <v>0</v>
          </cell>
          <cell r="M33">
            <v>0</v>
          </cell>
          <cell r="N33">
            <v>0</v>
          </cell>
          <cell r="O33">
            <v>25885.3</v>
          </cell>
          <cell r="P33">
            <v>0</v>
          </cell>
          <cell r="Q33">
            <v>0</v>
          </cell>
          <cell r="R33">
            <v>0</v>
          </cell>
          <cell r="S33">
            <v>0</v>
          </cell>
          <cell r="T33">
            <v>0</v>
          </cell>
          <cell r="U33">
            <v>8733.7999999999993</v>
          </cell>
        </row>
        <row r="34">
          <cell r="A34">
            <v>41639</v>
          </cell>
          <cell r="C34">
            <v>118568.8</v>
          </cell>
          <cell r="D34">
            <v>0</v>
          </cell>
          <cell r="E34">
            <v>0</v>
          </cell>
          <cell r="F34">
            <v>19420.7</v>
          </cell>
          <cell r="G34">
            <v>0</v>
          </cell>
          <cell r="H34">
            <v>0</v>
          </cell>
          <cell r="I34">
            <v>64529</v>
          </cell>
          <cell r="J34">
            <v>0</v>
          </cell>
          <cell r="K34">
            <v>0</v>
          </cell>
          <cell r="L34">
            <v>0</v>
          </cell>
          <cell r="M34">
            <v>0</v>
          </cell>
          <cell r="N34">
            <v>0</v>
          </cell>
          <cell r="O34">
            <v>25885.3</v>
          </cell>
          <cell r="P34">
            <v>0</v>
          </cell>
          <cell r="Q34">
            <v>0</v>
          </cell>
          <cell r="R34">
            <v>0</v>
          </cell>
          <cell r="S34">
            <v>0</v>
          </cell>
          <cell r="T34">
            <v>0</v>
          </cell>
          <cell r="U34">
            <v>8733.7999999999993</v>
          </cell>
        </row>
        <row r="35">
          <cell r="A35">
            <v>42004</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9">
          <cell r="A39">
            <v>37986</v>
          </cell>
          <cell r="C39">
            <v>0</v>
          </cell>
        </row>
        <row r="40">
          <cell r="A40">
            <v>38352</v>
          </cell>
          <cell r="C40">
            <v>1126403.6000000001</v>
          </cell>
          <cell r="F40">
            <v>184496.65</v>
          </cell>
          <cell r="I40">
            <v>613025.5</v>
          </cell>
          <cell r="L40">
            <v>0</v>
          </cell>
          <cell r="O40">
            <v>245910.35</v>
          </cell>
          <cell r="R40">
            <v>0</v>
          </cell>
          <cell r="U40">
            <v>82971.100000000006</v>
          </cell>
        </row>
        <row r="41">
          <cell r="A41">
            <v>38717</v>
          </cell>
          <cell r="C41">
            <v>1007834.8</v>
          </cell>
          <cell r="F41">
            <v>165075.94999999998</v>
          </cell>
          <cell r="I41">
            <v>548496.5</v>
          </cell>
          <cell r="L41">
            <v>0</v>
          </cell>
          <cell r="O41">
            <v>220025.05000000002</v>
          </cell>
          <cell r="R41">
            <v>0</v>
          </cell>
          <cell r="U41">
            <v>74237.3</v>
          </cell>
        </row>
        <row r="42">
          <cell r="A42">
            <v>39082</v>
          </cell>
          <cell r="C42">
            <v>889266</v>
          </cell>
          <cell r="F42">
            <v>145655.24999999997</v>
          </cell>
          <cell r="I42">
            <v>483967.5</v>
          </cell>
          <cell r="L42">
            <v>0</v>
          </cell>
          <cell r="O42">
            <v>194139.75000000003</v>
          </cell>
          <cell r="R42">
            <v>0</v>
          </cell>
          <cell r="U42">
            <v>65503.5</v>
          </cell>
        </row>
        <row r="43">
          <cell r="A43">
            <v>39447</v>
          </cell>
          <cell r="C43">
            <v>770697.2</v>
          </cell>
          <cell r="F43">
            <v>126234.54999999997</v>
          </cell>
          <cell r="I43">
            <v>419438.5</v>
          </cell>
          <cell r="L43">
            <v>0</v>
          </cell>
          <cell r="O43">
            <v>168254.45000000004</v>
          </cell>
          <cell r="R43">
            <v>0</v>
          </cell>
          <cell r="U43">
            <v>56769.7</v>
          </cell>
        </row>
        <row r="44">
          <cell r="A44">
            <v>39813</v>
          </cell>
          <cell r="C44">
            <v>652128.4</v>
          </cell>
          <cell r="F44">
            <v>106813.84999999998</v>
          </cell>
          <cell r="I44">
            <v>354909.5</v>
          </cell>
          <cell r="L44">
            <v>0</v>
          </cell>
          <cell r="O44">
            <v>142369.15000000005</v>
          </cell>
          <cell r="R44">
            <v>0</v>
          </cell>
          <cell r="U44">
            <v>48035.899999999994</v>
          </cell>
        </row>
        <row r="45">
          <cell r="A45">
            <v>40178</v>
          </cell>
          <cell r="C45">
            <v>533559.6</v>
          </cell>
          <cell r="F45">
            <v>87393.14999999998</v>
          </cell>
          <cell r="I45">
            <v>290380.5</v>
          </cell>
          <cell r="L45">
            <v>0</v>
          </cell>
          <cell r="O45">
            <v>116483.85000000005</v>
          </cell>
          <cell r="R45">
            <v>0</v>
          </cell>
          <cell r="U45">
            <v>39302.099999999991</v>
          </cell>
        </row>
        <row r="46">
          <cell r="A46">
            <v>40543</v>
          </cell>
          <cell r="C46">
            <v>414990.8</v>
          </cell>
          <cell r="F46">
            <v>67972.449999999983</v>
          </cell>
          <cell r="I46">
            <v>225851.5</v>
          </cell>
          <cell r="L46">
            <v>0</v>
          </cell>
          <cell r="O46">
            <v>90598.550000000047</v>
          </cell>
          <cell r="R46">
            <v>0</v>
          </cell>
          <cell r="U46">
            <v>30568.299999999992</v>
          </cell>
        </row>
        <row r="47">
          <cell r="A47">
            <v>40908</v>
          </cell>
          <cell r="C47">
            <v>296422.00000000006</v>
          </cell>
          <cell r="F47">
            <v>48551.749999999985</v>
          </cell>
          <cell r="I47">
            <v>161322.5</v>
          </cell>
          <cell r="L47">
            <v>0</v>
          </cell>
          <cell r="O47">
            <v>64713.250000000044</v>
          </cell>
          <cell r="R47">
            <v>0</v>
          </cell>
          <cell r="U47">
            <v>21834.499999999993</v>
          </cell>
        </row>
        <row r="48">
          <cell r="A48">
            <v>41274</v>
          </cell>
          <cell r="C48">
            <v>177853.2</v>
          </cell>
          <cell r="F48">
            <v>29131.049999999985</v>
          </cell>
          <cell r="I48">
            <v>96793.5</v>
          </cell>
          <cell r="L48">
            <v>0</v>
          </cell>
          <cell r="O48">
            <v>38827.950000000041</v>
          </cell>
          <cell r="R48">
            <v>0</v>
          </cell>
          <cell r="U48">
            <v>13100.699999999993</v>
          </cell>
        </row>
        <row r="49">
          <cell r="A49">
            <v>41639</v>
          </cell>
          <cell r="C49">
            <v>59284.400000000023</v>
          </cell>
          <cell r="F49">
            <v>9710.349999999984</v>
          </cell>
          <cell r="I49">
            <v>32264.5</v>
          </cell>
          <cell r="L49">
            <v>0</v>
          </cell>
          <cell r="O49">
            <v>12942.650000000041</v>
          </cell>
          <cell r="R49">
            <v>0</v>
          </cell>
          <cell r="U49">
            <v>4366.8999999999942</v>
          </cell>
        </row>
        <row r="50">
          <cell r="A50">
            <v>42004</v>
          </cell>
          <cell r="C50">
            <v>0</v>
          </cell>
          <cell r="F50">
            <v>0</v>
          </cell>
          <cell r="I50">
            <v>0</v>
          </cell>
          <cell r="L50">
            <v>0</v>
          </cell>
          <cell r="O50">
            <v>0</v>
          </cell>
          <cell r="R50">
            <v>0</v>
          </cell>
          <cell r="U50">
            <v>0</v>
          </cell>
        </row>
      </sheetData>
      <sheetData sheetId="16">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493058</v>
          </cell>
          <cell r="D26">
            <v>0</v>
          </cell>
          <cell r="E26">
            <v>0</v>
          </cell>
          <cell r="F26">
            <v>105651</v>
          </cell>
          <cell r="G26">
            <v>0</v>
          </cell>
          <cell r="H26">
            <v>0</v>
          </cell>
          <cell r="I26">
            <v>132275.9</v>
          </cell>
          <cell r="J26">
            <v>0</v>
          </cell>
          <cell r="K26">
            <v>0</v>
          </cell>
          <cell r="L26">
            <v>172663.2</v>
          </cell>
          <cell r="M26">
            <v>0</v>
          </cell>
          <cell r="N26">
            <v>0</v>
          </cell>
          <cell r="O26">
            <v>18353</v>
          </cell>
          <cell r="P26">
            <v>0</v>
          </cell>
          <cell r="Q26">
            <v>0</v>
          </cell>
          <cell r="R26">
            <v>0</v>
          </cell>
          <cell r="S26">
            <v>0</v>
          </cell>
          <cell r="T26">
            <v>0</v>
          </cell>
          <cell r="U26">
            <v>64114.9</v>
          </cell>
        </row>
        <row r="27">
          <cell r="A27">
            <v>39082</v>
          </cell>
          <cell r="B27">
            <v>0</v>
          </cell>
          <cell r="C27">
            <v>493058</v>
          </cell>
          <cell r="D27">
            <v>0</v>
          </cell>
          <cell r="E27">
            <v>0</v>
          </cell>
          <cell r="F27">
            <v>105651</v>
          </cell>
          <cell r="G27">
            <v>0</v>
          </cell>
          <cell r="H27">
            <v>0</v>
          </cell>
          <cell r="I27">
            <v>132275.9</v>
          </cell>
          <cell r="J27">
            <v>0</v>
          </cell>
          <cell r="K27">
            <v>0</v>
          </cell>
          <cell r="L27">
            <v>172663.2</v>
          </cell>
          <cell r="M27">
            <v>0</v>
          </cell>
          <cell r="N27">
            <v>0</v>
          </cell>
          <cell r="O27">
            <v>18353</v>
          </cell>
          <cell r="P27">
            <v>0</v>
          </cell>
          <cell r="Q27">
            <v>0</v>
          </cell>
          <cell r="R27">
            <v>0</v>
          </cell>
          <cell r="S27">
            <v>0</v>
          </cell>
          <cell r="T27">
            <v>0</v>
          </cell>
          <cell r="U27">
            <v>64114.9</v>
          </cell>
        </row>
        <row r="28">
          <cell r="A28">
            <v>39447</v>
          </cell>
          <cell r="B28">
            <v>0</v>
          </cell>
          <cell r="C28">
            <v>493058</v>
          </cell>
          <cell r="D28">
            <v>0</v>
          </cell>
          <cell r="E28">
            <v>0</v>
          </cell>
          <cell r="F28">
            <v>105651</v>
          </cell>
          <cell r="G28">
            <v>0</v>
          </cell>
          <cell r="H28">
            <v>0</v>
          </cell>
          <cell r="I28">
            <v>132275.9</v>
          </cell>
          <cell r="J28">
            <v>0</v>
          </cell>
          <cell r="K28">
            <v>0</v>
          </cell>
          <cell r="L28">
            <v>172663.2</v>
          </cell>
          <cell r="M28">
            <v>0</v>
          </cell>
          <cell r="N28">
            <v>0</v>
          </cell>
          <cell r="O28">
            <v>18353</v>
          </cell>
          <cell r="P28">
            <v>0</v>
          </cell>
          <cell r="Q28">
            <v>0</v>
          </cell>
          <cell r="R28">
            <v>0</v>
          </cell>
          <cell r="S28">
            <v>0</v>
          </cell>
          <cell r="T28">
            <v>0</v>
          </cell>
          <cell r="U28">
            <v>64114.9</v>
          </cell>
        </row>
        <row r="29">
          <cell r="A29">
            <v>39813</v>
          </cell>
          <cell r="B29">
            <v>0</v>
          </cell>
          <cell r="C29">
            <v>493058</v>
          </cell>
          <cell r="D29">
            <v>0</v>
          </cell>
          <cell r="E29">
            <v>0</v>
          </cell>
          <cell r="F29">
            <v>105651</v>
          </cell>
          <cell r="G29">
            <v>0</v>
          </cell>
          <cell r="H29">
            <v>0</v>
          </cell>
          <cell r="I29">
            <v>132275.9</v>
          </cell>
          <cell r="J29">
            <v>0</v>
          </cell>
          <cell r="K29">
            <v>0</v>
          </cell>
          <cell r="L29">
            <v>172663.2</v>
          </cell>
          <cell r="M29">
            <v>0</v>
          </cell>
          <cell r="N29">
            <v>0</v>
          </cell>
          <cell r="O29">
            <v>18353</v>
          </cell>
          <cell r="P29">
            <v>0</v>
          </cell>
          <cell r="Q29">
            <v>0</v>
          </cell>
          <cell r="R29">
            <v>0</v>
          </cell>
          <cell r="S29">
            <v>0</v>
          </cell>
          <cell r="T29">
            <v>0</v>
          </cell>
          <cell r="U29">
            <v>64114.9</v>
          </cell>
        </row>
        <row r="30">
          <cell r="A30">
            <v>40178</v>
          </cell>
          <cell r="B30">
            <v>0</v>
          </cell>
          <cell r="C30">
            <v>493058</v>
          </cell>
          <cell r="D30">
            <v>0</v>
          </cell>
          <cell r="E30">
            <v>0</v>
          </cell>
          <cell r="F30">
            <v>105651</v>
          </cell>
          <cell r="G30">
            <v>0</v>
          </cell>
          <cell r="H30">
            <v>0</v>
          </cell>
          <cell r="I30">
            <v>132275.9</v>
          </cell>
          <cell r="J30">
            <v>0</v>
          </cell>
          <cell r="K30">
            <v>0</v>
          </cell>
          <cell r="L30">
            <v>172663.2</v>
          </cell>
          <cell r="M30">
            <v>0</v>
          </cell>
          <cell r="N30">
            <v>0</v>
          </cell>
          <cell r="O30">
            <v>18353</v>
          </cell>
          <cell r="P30">
            <v>0</v>
          </cell>
          <cell r="Q30">
            <v>0</v>
          </cell>
          <cell r="R30">
            <v>0</v>
          </cell>
          <cell r="S30">
            <v>0</v>
          </cell>
          <cell r="T30">
            <v>0</v>
          </cell>
          <cell r="U30">
            <v>64114.9</v>
          </cell>
        </row>
        <row r="31">
          <cell r="A31">
            <v>40543</v>
          </cell>
          <cell r="B31">
            <v>0</v>
          </cell>
          <cell r="C31">
            <v>493058</v>
          </cell>
          <cell r="D31">
            <v>0</v>
          </cell>
          <cell r="E31">
            <v>0</v>
          </cell>
          <cell r="F31">
            <v>105651</v>
          </cell>
          <cell r="G31">
            <v>0</v>
          </cell>
          <cell r="H31">
            <v>0</v>
          </cell>
          <cell r="I31">
            <v>132275.9</v>
          </cell>
          <cell r="J31">
            <v>0</v>
          </cell>
          <cell r="K31">
            <v>0</v>
          </cell>
          <cell r="L31">
            <v>172663.2</v>
          </cell>
          <cell r="M31">
            <v>0</v>
          </cell>
          <cell r="N31">
            <v>0</v>
          </cell>
          <cell r="O31">
            <v>18353</v>
          </cell>
          <cell r="P31">
            <v>0</v>
          </cell>
          <cell r="Q31">
            <v>0</v>
          </cell>
          <cell r="R31">
            <v>0</v>
          </cell>
          <cell r="S31">
            <v>0</v>
          </cell>
          <cell r="T31">
            <v>0</v>
          </cell>
          <cell r="U31">
            <v>64114.9</v>
          </cell>
        </row>
        <row r="32">
          <cell r="A32">
            <v>40908</v>
          </cell>
          <cell r="B32">
            <v>0</v>
          </cell>
          <cell r="C32">
            <v>493058</v>
          </cell>
          <cell r="D32">
            <v>0</v>
          </cell>
          <cell r="E32">
            <v>0</v>
          </cell>
          <cell r="F32">
            <v>105651</v>
          </cell>
          <cell r="G32">
            <v>0</v>
          </cell>
          <cell r="H32">
            <v>0</v>
          </cell>
          <cell r="I32">
            <v>132275.9</v>
          </cell>
          <cell r="J32">
            <v>0</v>
          </cell>
          <cell r="K32">
            <v>0</v>
          </cell>
          <cell r="L32">
            <v>172663.2</v>
          </cell>
          <cell r="M32">
            <v>0</v>
          </cell>
          <cell r="N32">
            <v>0</v>
          </cell>
          <cell r="O32">
            <v>18353</v>
          </cell>
          <cell r="P32">
            <v>0</v>
          </cell>
          <cell r="Q32">
            <v>0</v>
          </cell>
          <cell r="R32">
            <v>0</v>
          </cell>
          <cell r="S32">
            <v>0</v>
          </cell>
          <cell r="T32">
            <v>0</v>
          </cell>
          <cell r="U32">
            <v>64114.9</v>
          </cell>
        </row>
        <row r="33">
          <cell r="A33">
            <v>41274</v>
          </cell>
          <cell r="B33">
            <v>0</v>
          </cell>
          <cell r="C33">
            <v>493058</v>
          </cell>
          <cell r="D33">
            <v>0</v>
          </cell>
          <cell r="E33">
            <v>0</v>
          </cell>
          <cell r="F33">
            <v>105651</v>
          </cell>
          <cell r="G33">
            <v>0</v>
          </cell>
          <cell r="H33">
            <v>0</v>
          </cell>
          <cell r="I33">
            <v>132275.9</v>
          </cell>
          <cell r="J33">
            <v>0</v>
          </cell>
          <cell r="K33">
            <v>0</v>
          </cell>
          <cell r="L33">
            <v>172663.2</v>
          </cell>
          <cell r="M33">
            <v>0</v>
          </cell>
          <cell r="N33">
            <v>0</v>
          </cell>
          <cell r="O33">
            <v>18353</v>
          </cell>
          <cell r="P33">
            <v>0</v>
          </cell>
          <cell r="Q33">
            <v>0</v>
          </cell>
          <cell r="R33">
            <v>0</v>
          </cell>
          <cell r="S33">
            <v>0</v>
          </cell>
          <cell r="T33">
            <v>0</v>
          </cell>
          <cell r="U33">
            <v>64114.9</v>
          </cell>
        </row>
        <row r="34">
          <cell r="A34">
            <v>41639</v>
          </cell>
          <cell r="B34">
            <v>0</v>
          </cell>
          <cell r="C34">
            <v>493058</v>
          </cell>
          <cell r="D34">
            <v>0</v>
          </cell>
          <cell r="E34">
            <v>0</v>
          </cell>
          <cell r="F34">
            <v>105651</v>
          </cell>
          <cell r="G34">
            <v>0</v>
          </cell>
          <cell r="H34">
            <v>0</v>
          </cell>
          <cell r="I34">
            <v>132275.9</v>
          </cell>
          <cell r="J34">
            <v>0</v>
          </cell>
          <cell r="K34">
            <v>0</v>
          </cell>
          <cell r="L34">
            <v>172663.2</v>
          </cell>
          <cell r="M34">
            <v>0</v>
          </cell>
          <cell r="N34">
            <v>0</v>
          </cell>
          <cell r="O34">
            <v>18353</v>
          </cell>
          <cell r="P34">
            <v>0</v>
          </cell>
          <cell r="Q34">
            <v>0</v>
          </cell>
          <cell r="R34">
            <v>0</v>
          </cell>
          <cell r="S34">
            <v>0</v>
          </cell>
          <cell r="T34">
            <v>0</v>
          </cell>
          <cell r="U34">
            <v>64114.9</v>
          </cell>
        </row>
        <row r="35">
          <cell r="A35">
            <v>42004</v>
          </cell>
          <cell r="B35">
            <v>0</v>
          </cell>
          <cell r="C35">
            <v>493058</v>
          </cell>
          <cell r="D35">
            <v>0</v>
          </cell>
          <cell r="E35">
            <v>0</v>
          </cell>
          <cell r="F35">
            <v>105651</v>
          </cell>
          <cell r="G35">
            <v>0</v>
          </cell>
          <cell r="H35">
            <v>0</v>
          </cell>
          <cell r="I35">
            <v>132275.9</v>
          </cell>
          <cell r="J35">
            <v>0</v>
          </cell>
          <cell r="K35">
            <v>0</v>
          </cell>
          <cell r="L35">
            <v>172663.2</v>
          </cell>
          <cell r="M35">
            <v>0</v>
          </cell>
          <cell r="N35">
            <v>0</v>
          </cell>
          <cell r="O35">
            <v>18353</v>
          </cell>
          <cell r="P35">
            <v>0</v>
          </cell>
          <cell r="Q35">
            <v>0</v>
          </cell>
          <cell r="R35">
            <v>0</v>
          </cell>
          <cell r="S35">
            <v>0</v>
          </cell>
          <cell r="T35">
            <v>0</v>
          </cell>
          <cell r="U35">
            <v>64114.9</v>
          </cell>
        </row>
        <row r="36">
          <cell r="A36">
            <v>42369</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40">
          <cell r="A40">
            <v>37986</v>
          </cell>
          <cell r="B40">
            <v>0</v>
          </cell>
          <cell r="C40">
            <v>0</v>
          </cell>
        </row>
        <row r="41">
          <cell r="A41">
            <v>38352</v>
          </cell>
          <cell r="B41">
            <v>0</v>
          </cell>
          <cell r="C41">
            <v>0</v>
          </cell>
        </row>
        <row r="42">
          <cell r="A42">
            <v>38717</v>
          </cell>
          <cell r="B42">
            <v>0</v>
          </cell>
          <cell r="C42">
            <v>4684051</v>
          </cell>
          <cell r="F42">
            <v>1003684.5</v>
          </cell>
          <cell r="I42">
            <v>1256621.05</v>
          </cell>
          <cell r="L42">
            <v>1640300.4</v>
          </cell>
          <cell r="O42">
            <v>174353.5</v>
          </cell>
          <cell r="R42">
            <v>0</v>
          </cell>
          <cell r="U42">
            <v>609091.55000000005</v>
          </cell>
        </row>
        <row r="43">
          <cell r="A43">
            <v>39082</v>
          </cell>
          <cell r="B43">
            <v>0</v>
          </cell>
          <cell r="C43">
            <v>4190993</v>
          </cell>
          <cell r="F43">
            <v>898033.5</v>
          </cell>
          <cell r="I43">
            <v>1124345.1500000001</v>
          </cell>
          <cell r="L43">
            <v>1467637.2</v>
          </cell>
          <cell r="O43">
            <v>156000.5</v>
          </cell>
          <cell r="R43">
            <v>0</v>
          </cell>
          <cell r="U43">
            <v>544976.65</v>
          </cell>
        </row>
        <row r="44">
          <cell r="A44">
            <v>39447</v>
          </cell>
          <cell r="B44">
            <v>0</v>
          </cell>
          <cell r="C44">
            <v>3697935</v>
          </cell>
          <cell r="F44">
            <v>792382.5</v>
          </cell>
          <cell r="I44">
            <v>992069.25000000012</v>
          </cell>
          <cell r="L44">
            <v>1294974</v>
          </cell>
          <cell r="O44">
            <v>137647.5</v>
          </cell>
          <cell r="R44">
            <v>0</v>
          </cell>
          <cell r="U44">
            <v>480861.75</v>
          </cell>
        </row>
        <row r="45">
          <cell r="A45">
            <v>39813</v>
          </cell>
          <cell r="B45">
            <v>0</v>
          </cell>
          <cell r="C45">
            <v>3204877.0000000005</v>
          </cell>
          <cell r="F45">
            <v>686731.5</v>
          </cell>
          <cell r="I45">
            <v>859793.35000000009</v>
          </cell>
          <cell r="L45">
            <v>1122310.8</v>
          </cell>
          <cell r="O45">
            <v>119294.5</v>
          </cell>
          <cell r="R45">
            <v>0</v>
          </cell>
          <cell r="U45">
            <v>416746.85</v>
          </cell>
        </row>
        <row r="46">
          <cell r="A46">
            <v>40178</v>
          </cell>
          <cell r="B46">
            <v>0</v>
          </cell>
          <cell r="C46">
            <v>2711819</v>
          </cell>
          <cell r="F46">
            <v>581080.5</v>
          </cell>
          <cell r="I46">
            <v>727517.45000000007</v>
          </cell>
          <cell r="L46">
            <v>949647.60000000009</v>
          </cell>
          <cell r="O46">
            <v>100941.5</v>
          </cell>
          <cell r="R46">
            <v>0</v>
          </cell>
          <cell r="U46">
            <v>352631.94999999995</v>
          </cell>
        </row>
        <row r="47">
          <cell r="A47">
            <v>40543</v>
          </cell>
          <cell r="B47">
            <v>0</v>
          </cell>
          <cell r="C47">
            <v>2218761</v>
          </cell>
          <cell r="F47">
            <v>475429.5</v>
          </cell>
          <cell r="I47">
            <v>595241.55000000005</v>
          </cell>
          <cell r="L47">
            <v>776984.40000000014</v>
          </cell>
          <cell r="O47">
            <v>82588.5</v>
          </cell>
          <cell r="R47">
            <v>0</v>
          </cell>
          <cell r="U47">
            <v>288517.04999999993</v>
          </cell>
        </row>
        <row r="48">
          <cell r="A48">
            <v>40908</v>
          </cell>
          <cell r="B48">
            <v>0</v>
          </cell>
          <cell r="C48">
            <v>1725703</v>
          </cell>
          <cell r="F48">
            <v>369778.5</v>
          </cell>
          <cell r="I48">
            <v>462965.65</v>
          </cell>
          <cell r="L48">
            <v>604321.20000000019</v>
          </cell>
          <cell r="O48">
            <v>64235.5</v>
          </cell>
          <cell r="R48">
            <v>0</v>
          </cell>
          <cell r="U48">
            <v>224402.14999999994</v>
          </cell>
        </row>
        <row r="49">
          <cell r="A49">
            <v>41274</v>
          </cell>
          <cell r="B49">
            <v>0</v>
          </cell>
          <cell r="C49">
            <v>1232645.0000000002</v>
          </cell>
          <cell r="F49">
            <v>264127.5</v>
          </cell>
          <cell r="I49">
            <v>330689.75</v>
          </cell>
          <cell r="L49">
            <v>431658.00000000017</v>
          </cell>
          <cell r="O49">
            <v>45882.5</v>
          </cell>
          <cell r="R49">
            <v>0</v>
          </cell>
          <cell r="U49">
            <v>160287.24999999994</v>
          </cell>
        </row>
        <row r="50">
          <cell r="A50">
            <v>41639</v>
          </cell>
          <cell r="B50">
            <v>0</v>
          </cell>
          <cell r="C50">
            <v>739587.00000000012</v>
          </cell>
          <cell r="F50">
            <v>158476.5</v>
          </cell>
          <cell r="I50">
            <v>198413.85</v>
          </cell>
          <cell r="L50">
            <v>258994.80000000016</v>
          </cell>
          <cell r="O50">
            <v>27529.5</v>
          </cell>
          <cell r="R50">
            <v>0</v>
          </cell>
          <cell r="U50">
            <v>96172.349999999948</v>
          </cell>
        </row>
        <row r="51">
          <cell r="A51">
            <v>42004</v>
          </cell>
          <cell r="B51">
            <v>0</v>
          </cell>
          <cell r="C51">
            <v>246529.00000000012</v>
          </cell>
          <cell r="F51">
            <v>52825.5</v>
          </cell>
          <cell r="I51">
            <v>66137.950000000012</v>
          </cell>
          <cell r="L51">
            <v>86331.600000000151</v>
          </cell>
          <cell r="O51">
            <v>9176.5</v>
          </cell>
          <cell r="R51">
            <v>0</v>
          </cell>
          <cell r="U51">
            <v>32057.449999999946</v>
          </cell>
        </row>
        <row r="52">
          <cell r="A52">
            <v>42369</v>
          </cell>
          <cell r="B52">
            <v>0</v>
          </cell>
          <cell r="C52">
            <v>0</v>
          </cell>
          <cell r="F52">
            <v>0</v>
          </cell>
          <cell r="I52">
            <v>0</v>
          </cell>
          <cell r="L52">
            <v>0</v>
          </cell>
          <cell r="O52">
            <v>0</v>
          </cell>
          <cell r="R52">
            <v>0</v>
          </cell>
          <cell r="U52">
            <v>0</v>
          </cell>
        </row>
      </sheetData>
      <sheetData sheetId="17">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606608.69999999995</v>
          </cell>
          <cell r="D27">
            <v>0</v>
          </cell>
          <cell r="E27">
            <v>0</v>
          </cell>
          <cell r="F27">
            <v>160173.1</v>
          </cell>
          <cell r="G27">
            <v>0</v>
          </cell>
          <cell r="H27">
            <v>0</v>
          </cell>
          <cell r="I27">
            <v>0</v>
          </cell>
          <cell r="J27">
            <v>0</v>
          </cell>
          <cell r="K27">
            <v>0</v>
          </cell>
          <cell r="L27">
            <v>175672.9</v>
          </cell>
          <cell r="M27">
            <v>0</v>
          </cell>
          <cell r="N27">
            <v>0</v>
          </cell>
          <cell r="O27">
            <v>60241.1</v>
          </cell>
          <cell r="P27">
            <v>0</v>
          </cell>
          <cell r="Q27">
            <v>0</v>
          </cell>
          <cell r="R27">
            <v>0</v>
          </cell>
          <cell r="S27">
            <v>0</v>
          </cell>
          <cell r="T27">
            <v>0</v>
          </cell>
          <cell r="U27">
            <v>210521.60000000001</v>
          </cell>
        </row>
        <row r="28">
          <cell r="A28">
            <v>39447</v>
          </cell>
          <cell r="B28">
            <v>0</v>
          </cell>
          <cell r="C28">
            <v>606608.69999999995</v>
          </cell>
          <cell r="D28">
            <v>0</v>
          </cell>
          <cell r="E28">
            <v>0</v>
          </cell>
          <cell r="F28">
            <v>160173.1</v>
          </cell>
          <cell r="G28">
            <v>0</v>
          </cell>
          <cell r="H28">
            <v>0</v>
          </cell>
          <cell r="I28">
            <v>0</v>
          </cell>
          <cell r="J28">
            <v>0</v>
          </cell>
          <cell r="K28">
            <v>0</v>
          </cell>
          <cell r="L28">
            <v>175672.9</v>
          </cell>
          <cell r="M28">
            <v>0</v>
          </cell>
          <cell r="N28">
            <v>0</v>
          </cell>
          <cell r="O28">
            <v>60241.1</v>
          </cell>
          <cell r="P28">
            <v>0</v>
          </cell>
          <cell r="Q28">
            <v>0</v>
          </cell>
          <cell r="R28">
            <v>0</v>
          </cell>
          <cell r="S28">
            <v>0</v>
          </cell>
          <cell r="T28">
            <v>0</v>
          </cell>
          <cell r="U28">
            <v>210521.60000000001</v>
          </cell>
        </row>
        <row r="29">
          <cell r="A29">
            <v>39813</v>
          </cell>
          <cell r="B29">
            <v>0</v>
          </cell>
          <cell r="C29">
            <v>606608.69999999995</v>
          </cell>
          <cell r="D29">
            <v>0</v>
          </cell>
          <cell r="E29">
            <v>0</v>
          </cell>
          <cell r="F29">
            <v>160173.1</v>
          </cell>
          <cell r="G29">
            <v>0</v>
          </cell>
          <cell r="H29">
            <v>0</v>
          </cell>
          <cell r="I29">
            <v>0</v>
          </cell>
          <cell r="J29">
            <v>0</v>
          </cell>
          <cell r="K29">
            <v>0</v>
          </cell>
          <cell r="L29">
            <v>175672.9</v>
          </cell>
          <cell r="M29">
            <v>0</v>
          </cell>
          <cell r="N29">
            <v>0</v>
          </cell>
          <cell r="O29">
            <v>60241.1</v>
          </cell>
          <cell r="P29">
            <v>0</v>
          </cell>
          <cell r="Q29">
            <v>0</v>
          </cell>
          <cell r="R29">
            <v>0</v>
          </cell>
          <cell r="S29">
            <v>0</v>
          </cell>
          <cell r="T29">
            <v>0</v>
          </cell>
          <cell r="U29">
            <v>210521.60000000001</v>
          </cell>
        </row>
        <row r="30">
          <cell r="A30">
            <v>40178</v>
          </cell>
          <cell r="B30">
            <v>0</v>
          </cell>
          <cell r="C30">
            <v>606608.69999999995</v>
          </cell>
          <cell r="D30">
            <v>0</v>
          </cell>
          <cell r="E30">
            <v>0</v>
          </cell>
          <cell r="F30">
            <v>160173.1</v>
          </cell>
          <cell r="G30">
            <v>0</v>
          </cell>
          <cell r="H30">
            <v>0</v>
          </cell>
          <cell r="I30">
            <v>0</v>
          </cell>
          <cell r="J30">
            <v>0</v>
          </cell>
          <cell r="K30">
            <v>0</v>
          </cell>
          <cell r="L30">
            <v>175672.9</v>
          </cell>
          <cell r="M30">
            <v>0</v>
          </cell>
          <cell r="N30">
            <v>0</v>
          </cell>
          <cell r="O30">
            <v>60241.1</v>
          </cell>
          <cell r="P30">
            <v>0</v>
          </cell>
          <cell r="Q30">
            <v>0</v>
          </cell>
          <cell r="R30">
            <v>0</v>
          </cell>
          <cell r="S30">
            <v>0</v>
          </cell>
          <cell r="T30">
            <v>0</v>
          </cell>
          <cell r="U30">
            <v>210521.60000000001</v>
          </cell>
        </row>
        <row r="31">
          <cell r="A31">
            <v>40543</v>
          </cell>
          <cell r="B31">
            <v>0</v>
          </cell>
          <cell r="C31">
            <v>606608.69999999995</v>
          </cell>
          <cell r="D31">
            <v>0</v>
          </cell>
          <cell r="E31">
            <v>0</v>
          </cell>
          <cell r="F31">
            <v>160173.1</v>
          </cell>
          <cell r="G31">
            <v>0</v>
          </cell>
          <cell r="H31">
            <v>0</v>
          </cell>
          <cell r="I31">
            <v>0</v>
          </cell>
          <cell r="J31">
            <v>0</v>
          </cell>
          <cell r="K31">
            <v>0</v>
          </cell>
          <cell r="L31">
            <v>175672.9</v>
          </cell>
          <cell r="M31">
            <v>0</v>
          </cell>
          <cell r="N31">
            <v>0</v>
          </cell>
          <cell r="O31">
            <v>60241.1</v>
          </cell>
          <cell r="P31">
            <v>0</v>
          </cell>
          <cell r="Q31">
            <v>0</v>
          </cell>
          <cell r="R31">
            <v>0</v>
          </cell>
          <cell r="S31">
            <v>0</v>
          </cell>
          <cell r="T31">
            <v>0</v>
          </cell>
          <cell r="U31">
            <v>210521.60000000001</v>
          </cell>
        </row>
        <row r="32">
          <cell r="A32">
            <v>40908</v>
          </cell>
          <cell r="B32">
            <v>0</v>
          </cell>
          <cell r="C32">
            <v>606608.69999999995</v>
          </cell>
          <cell r="D32">
            <v>0</v>
          </cell>
          <cell r="E32">
            <v>0</v>
          </cell>
          <cell r="F32">
            <v>160173.1</v>
          </cell>
          <cell r="G32">
            <v>0</v>
          </cell>
          <cell r="H32">
            <v>0</v>
          </cell>
          <cell r="I32">
            <v>0</v>
          </cell>
          <cell r="J32">
            <v>0</v>
          </cell>
          <cell r="K32">
            <v>0</v>
          </cell>
          <cell r="L32">
            <v>175672.9</v>
          </cell>
          <cell r="M32">
            <v>0</v>
          </cell>
          <cell r="N32">
            <v>0</v>
          </cell>
          <cell r="O32">
            <v>60241.1</v>
          </cell>
          <cell r="P32">
            <v>0</v>
          </cell>
          <cell r="Q32">
            <v>0</v>
          </cell>
          <cell r="R32">
            <v>0</v>
          </cell>
          <cell r="S32">
            <v>0</v>
          </cell>
          <cell r="T32">
            <v>0</v>
          </cell>
          <cell r="U32">
            <v>210521.60000000001</v>
          </cell>
        </row>
        <row r="33">
          <cell r="A33">
            <v>41274</v>
          </cell>
          <cell r="B33">
            <v>0</v>
          </cell>
          <cell r="C33">
            <v>606608.69999999995</v>
          </cell>
          <cell r="D33">
            <v>0</v>
          </cell>
          <cell r="E33">
            <v>0</v>
          </cell>
          <cell r="F33">
            <v>160173.1</v>
          </cell>
          <cell r="G33">
            <v>0</v>
          </cell>
          <cell r="H33">
            <v>0</v>
          </cell>
          <cell r="I33">
            <v>0</v>
          </cell>
          <cell r="J33">
            <v>0</v>
          </cell>
          <cell r="K33">
            <v>0</v>
          </cell>
          <cell r="L33">
            <v>175672.9</v>
          </cell>
          <cell r="M33">
            <v>0</v>
          </cell>
          <cell r="N33">
            <v>0</v>
          </cell>
          <cell r="O33">
            <v>60241.1</v>
          </cell>
          <cell r="P33">
            <v>0</v>
          </cell>
          <cell r="Q33">
            <v>0</v>
          </cell>
          <cell r="R33">
            <v>0</v>
          </cell>
          <cell r="S33">
            <v>0</v>
          </cell>
          <cell r="T33">
            <v>0</v>
          </cell>
          <cell r="U33">
            <v>210521.60000000001</v>
          </cell>
        </row>
        <row r="34">
          <cell r="A34">
            <v>41639</v>
          </cell>
          <cell r="B34">
            <v>0</v>
          </cell>
          <cell r="C34">
            <v>606608.69999999995</v>
          </cell>
          <cell r="D34">
            <v>0</v>
          </cell>
          <cell r="E34">
            <v>0</v>
          </cell>
          <cell r="F34">
            <v>160173.1</v>
          </cell>
          <cell r="G34">
            <v>0</v>
          </cell>
          <cell r="H34">
            <v>0</v>
          </cell>
          <cell r="I34">
            <v>0</v>
          </cell>
          <cell r="J34">
            <v>0</v>
          </cell>
          <cell r="K34">
            <v>0</v>
          </cell>
          <cell r="L34">
            <v>175672.9</v>
          </cell>
          <cell r="M34">
            <v>0</v>
          </cell>
          <cell r="N34">
            <v>0</v>
          </cell>
          <cell r="O34">
            <v>60241.1</v>
          </cell>
          <cell r="P34">
            <v>0</v>
          </cell>
          <cell r="Q34">
            <v>0</v>
          </cell>
          <cell r="R34">
            <v>0</v>
          </cell>
          <cell r="S34">
            <v>0</v>
          </cell>
          <cell r="T34">
            <v>0</v>
          </cell>
          <cell r="U34">
            <v>210521.60000000001</v>
          </cell>
        </row>
        <row r="35">
          <cell r="A35">
            <v>42004</v>
          </cell>
          <cell r="B35">
            <v>0</v>
          </cell>
          <cell r="C35">
            <v>606608.69999999995</v>
          </cell>
          <cell r="D35">
            <v>0</v>
          </cell>
          <cell r="E35">
            <v>0</v>
          </cell>
          <cell r="F35">
            <v>160173.1</v>
          </cell>
          <cell r="G35">
            <v>0</v>
          </cell>
          <cell r="H35">
            <v>0</v>
          </cell>
          <cell r="I35">
            <v>0</v>
          </cell>
          <cell r="J35">
            <v>0</v>
          </cell>
          <cell r="K35">
            <v>0</v>
          </cell>
          <cell r="L35">
            <v>175672.9</v>
          </cell>
          <cell r="M35">
            <v>0</v>
          </cell>
          <cell r="N35">
            <v>0</v>
          </cell>
          <cell r="O35">
            <v>60241.1</v>
          </cell>
          <cell r="P35">
            <v>0</v>
          </cell>
          <cell r="Q35">
            <v>0</v>
          </cell>
          <cell r="R35">
            <v>0</v>
          </cell>
          <cell r="S35">
            <v>0</v>
          </cell>
          <cell r="T35">
            <v>0</v>
          </cell>
          <cell r="U35">
            <v>210521.60000000001</v>
          </cell>
        </row>
        <row r="36">
          <cell r="A36">
            <v>42369</v>
          </cell>
          <cell r="B36">
            <v>0</v>
          </cell>
          <cell r="C36">
            <v>606608.69999999995</v>
          </cell>
          <cell r="D36">
            <v>0</v>
          </cell>
          <cell r="E36">
            <v>0</v>
          </cell>
          <cell r="F36">
            <v>160173.1</v>
          </cell>
          <cell r="G36">
            <v>0</v>
          </cell>
          <cell r="H36">
            <v>0</v>
          </cell>
          <cell r="I36">
            <v>0</v>
          </cell>
          <cell r="J36">
            <v>0</v>
          </cell>
          <cell r="K36">
            <v>0</v>
          </cell>
          <cell r="L36">
            <v>175672.9</v>
          </cell>
          <cell r="M36">
            <v>0</v>
          </cell>
          <cell r="N36">
            <v>0</v>
          </cell>
          <cell r="O36">
            <v>60241.1</v>
          </cell>
          <cell r="P36">
            <v>0</v>
          </cell>
          <cell r="Q36">
            <v>0</v>
          </cell>
          <cell r="R36">
            <v>0</v>
          </cell>
          <cell r="S36">
            <v>0</v>
          </cell>
          <cell r="T36">
            <v>0</v>
          </cell>
          <cell r="U36">
            <v>210521.60000000001</v>
          </cell>
        </row>
        <row r="37">
          <cell r="A37">
            <v>42735</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row>
        <row r="41">
          <cell r="A41">
            <v>37986</v>
          </cell>
          <cell r="B41">
            <v>0</v>
          </cell>
          <cell r="C41">
            <v>0</v>
          </cell>
        </row>
        <row r="42">
          <cell r="A42">
            <v>38352</v>
          </cell>
          <cell r="B42">
            <v>0</v>
          </cell>
          <cell r="C42">
            <v>0</v>
          </cell>
          <cell r="F42">
            <v>0</v>
          </cell>
        </row>
        <row r="43">
          <cell r="A43">
            <v>38717</v>
          </cell>
          <cell r="B43">
            <v>0</v>
          </cell>
          <cell r="C43">
            <v>0</v>
          </cell>
          <cell r="F43">
            <v>0</v>
          </cell>
          <cell r="I43">
            <v>0</v>
          </cell>
          <cell r="L43">
            <v>0</v>
          </cell>
          <cell r="O43">
            <v>0</v>
          </cell>
          <cell r="R43">
            <v>0</v>
          </cell>
          <cell r="U43">
            <v>0</v>
          </cell>
        </row>
        <row r="44">
          <cell r="A44">
            <v>39082</v>
          </cell>
          <cell r="B44">
            <v>0</v>
          </cell>
          <cell r="C44">
            <v>5762782.6500000004</v>
          </cell>
          <cell r="D44">
            <v>0</v>
          </cell>
          <cell r="E44">
            <v>0</v>
          </cell>
          <cell r="F44">
            <v>1521644.45</v>
          </cell>
          <cell r="G44">
            <v>0</v>
          </cell>
          <cell r="H44">
            <v>0</v>
          </cell>
          <cell r="I44">
            <v>0</v>
          </cell>
          <cell r="J44">
            <v>0</v>
          </cell>
          <cell r="K44">
            <v>0</v>
          </cell>
          <cell r="L44">
            <v>1668892.55</v>
          </cell>
          <cell r="M44">
            <v>0</v>
          </cell>
          <cell r="N44">
            <v>0</v>
          </cell>
          <cell r="O44">
            <v>572290.44999999995</v>
          </cell>
          <cell r="P44">
            <v>0</v>
          </cell>
          <cell r="Q44">
            <v>0</v>
          </cell>
          <cell r="R44">
            <v>0</v>
          </cell>
          <cell r="S44">
            <v>0</v>
          </cell>
          <cell r="T44">
            <v>0</v>
          </cell>
          <cell r="U44">
            <v>1999955.2</v>
          </cell>
        </row>
        <row r="45">
          <cell r="A45">
            <v>39447</v>
          </cell>
          <cell r="B45">
            <v>0</v>
          </cell>
          <cell r="C45">
            <v>5156173.95</v>
          </cell>
          <cell r="D45">
            <v>0</v>
          </cell>
          <cell r="E45">
            <v>0</v>
          </cell>
          <cell r="F45">
            <v>1361471.3499999999</v>
          </cell>
          <cell r="G45">
            <v>0</v>
          </cell>
          <cell r="H45">
            <v>0</v>
          </cell>
          <cell r="I45">
            <v>0</v>
          </cell>
          <cell r="J45">
            <v>0</v>
          </cell>
          <cell r="K45">
            <v>0</v>
          </cell>
          <cell r="L45">
            <v>1493219.6500000001</v>
          </cell>
          <cell r="M45">
            <v>0</v>
          </cell>
          <cell r="N45">
            <v>0</v>
          </cell>
          <cell r="O45">
            <v>512049.35</v>
          </cell>
          <cell r="P45">
            <v>0</v>
          </cell>
          <cell r="Q45">
            <v>0</v>
          </cell>
          <cell r="R45">
            <v>0</v>
          </cell>
          <cell r="S45">
            <v>0</v>
          </cell>
          <cell r="T45">
            <v>0</v>
          </cell>
          <cell r="U45">
            <v>1789433.5999999999</v>
          </cell>
        </row>
        <row r="46">
          <cell r="A46">
            <v>39813</v>
          </cell>
          <cell r="B46">
            <v>0</v>
          </cell>
          <cell r="C46">
            <v>4549565.25</v>
          </cell>
          <cell r="D46">
            <v>0</v>
          </cell>
          <cell r="E46">
            <v>0</v>
          </cell>
          <cell r="F46">
            <v>1201298.2499999998</v>
          </cell>
          <cell r="G46">
            <v>0</v>
          </cell>
          <cell r="H46">
            <v>0</v>
          </cell>
          <cell r="I46">
            <v>0</v>
          </cell>
          <cell r="J46">
            <v>0</v>
          </cell>
          <cell r="K46">
            <v>0</v>
          </cell>
          <cell r="L46">
            <v>1317546.7500000002</v>
          </cell>
          <cell r="M46">
            <v>0</v>
          </cell>
          <cell r="N46">
            <v>0</v>
          </cell>
          <cell r="O46">
            <v>451808.25</v>
          </cell>
          <cell r="P46">
            <v>0</v>
          </cell>
          <cell r="Q46">
            <v>0</v>
          </cell>
          <cell r="R46">
            <v>0</v>
          </cell>
          <cell r="S46">
            <v>0</v>
          </cell>
          <cell r="T46">
            <v>0</v>
          </cell>
          <cell r="U46">
            <v>1578911.9999999998</v>
          </cell>
        </row>
        <row r="47">
          <cell r="A47">
            <v>40178</v>
          </cell>
          <cell r="B47">
            <v>0</v>
          </cell>
          <cell r="C47">
            <v>3942956.55</v>
          </cell>
          <cell r="D47">
            <v>0</v>
          </cell>
          <cell r="E47">
            <v>0</v>
          </cell>
          <cell r="F47">
            <v>1041125.1499999998</v>
          </cell>
          <cell r="G47">
            <v>0</v>
          </cell>
          <cell r="H47">
            <v>0</v>
          </cell>
          <cell r="I47">
            <v>0</v>
          </cell>
          <cell r="J47">
            <v>0</v>
          </cell>
          <cell r="K47">
            <v>0</v>
          </cell>
          <cell r="L47">
            <v>1141873.8500000003</v>
          </cell>
          <cell r="M47">
            <v>0</v>
          </cell>
          <cell r="N47">
            <v>0</v>
          </cell>
          <cell r="O47">
            <v>391567.15</v>
          </cell>
          <cell r="P47">
            <v>0</v>
          </cell>
          <cell r="Q47">
            <v>0</v>
          </cell>
          <cell r="R47">
            <v>0</v>
          </cell>
          <cell r="S47">
            <v>0</v>
          </cell>
          <cell r="T47">
            <v>0</v>
          </cell>
          <cell r="U47">
            <v>1368390.3999999997</v>
          </cell>
        </row>
        <row r="48">
          <cell r="A48">
            <v>40543</v>
          </cell>
          <cell r="B48">
            <v>0</v>
          </cell>
          <cell r="C48">
            <v>3336347.8499999996</v>
          </cell>
          <cell r="D48">
            <v>0</v>
          </cell>
          <cell r="E48">
            <v>0</v>
          </cell>
          <cell r="F48">
            <v>880952.04999999981</v>
          </cell>
          <cell r="G48">
            <v>0</v>
          </cell>
          <cell r="H48">
            <v>0</v>
          </cell>
          <cell r="I48">
            <v>0</v>
          </cell>
          <cell r="J48">
            <v>0</v>
          </cell>
          <cell r="K48">
            <v>0</v>
          </cell>
          <cell r="L48">
            <v>966200.9500000003</v>
          </cell>
          <cell r="M48">
            <v>0</v>
          </cell>
          <cell r="N48">
            <v>0</v>
          </cell>
          <cell r="O48">
            <v>331326.05000000005</v>
          </cell>
          <cell r="P48">
            <v>0</v>
          </cell>
          <cell r="Q48">
            <v>0</v>
          </cell>
          <cell r="R48">
            <v>0</v>
          </cell>
          <cell r="S48">
            <v>0</v>
          </cell>
          <cell r="T48">
            <v>0</v>
          </cell>
          <cell r="U48">
            <v>1157868.7999999996</v>
          </cell>
        </row>
        <row r="49">
          <cell r="A49">
            <v>40908</v>
          </cell>
          <cell r="B49">
            <v>0</v>
          </cell>
          <cell r="C49">
            <v>2729739.15</v>
          </cell>
          <cell r="D49">
            <v>0</v>
          </cell>
          <cell r="E49">
            <v>0</v>
          </cell>
          <cell r="F49">
            <v>720778.94999999984</v>
          </cell>
          <cell r="G49">
            <v>0</v>
          </cell>
          <cell r="H49">
            <v>0</v>
          </cell>
          <cell r="I49">
            <v>0</v>
          </cell>
          <cell r="J49">
            <v>0</v>
          </cell>
          <cell r="K49">
            <v>0</v>
          </cell>
          <cell r="L49">
            <v>790528.05000000028</v>
          </cell>
          <cell r="M49">
            <v>0</v>
          </cell>
          <cell r="N49">
            <v>0</v>
          </cell>
          <cell r="O49">
            <v>271084.95000000007</v>
          </cell>
          <cell r="P49">
            <v>0</v>
          </cell>
          <cell r="Q49">
            <v>0</v>
          </cell>
          <cell r="R49">
            <v>0</v>
          </cell>
          <cell r="S49">
            <v>0</v>
          </cell>
          <cell r="T49">
            <v>0</v>
          </cell>
          <cell r="U49">
            <v>947347.1999999996</v>
          </cell>
        </row>
        <row r="50">
          <cell r="A50">
            <v>41274</v>
          </cell>
          <cell r="B50">
            <v>0</v>
          </cell>
          <cell r="C50">
            <v>2123130.4499999997</v>
          </cell>
          <cell r="D50">
            <v>0</v>
          </cell>
          <cell r="E50">
            <v>0</v>
          </cell>
          <cell r="F50">
            <v>560605.84999999986</v>
          </cell>
          <cell r="G50">
            <v>0</v>
          </cell>
          <cell r="H50">
            <v>0</v>
          </cell>
          <cell r="I50">
            <v>0</v>
          </cell>
          <cell r="J50">
            <v>0</v>
          </cell>
          <cell r="K50">
            <v>0</v>
          </cell>
          <cell r="L50">
            <v>614855.15000000026</v>
          </cell>
          <cell r="M50">
            <v>0</v>
          </cell>
          <cell r="N50">
            <v>0</v>
          </cell>
          <cell r="O50">
            <v>210843.85000000006</v>
          </cell>
          <cell r="P50">
            <v>0</v>
          </cell>
          <cell r="Q50">
            <v>0</v>
          </cell>
          <cell r="R50">
            <v>0</v>
          </cell>
          <cell r="S50">
            <v>0</v>
          </cell>
          <cell r="T50">
            <v>0</v>
          </cell>
          <cell r="U50">
            <v>736825.59999999963</v>
          </cell>
        </row>
        <row r="51">
          <cell r="A51">
            <v>41639</v>
          </cell>
          <cell r="B51">
            <v>0</v>
          </cell>
          <cell r="C51">
            <v>1516521.75</v>
          </cell>
          <cell r="D51">
            <v>0</v>
          </cell>
          <cell r="E51">
            <v>0</v>
          </cell>
          <cell r="F51">
            <v>400432.74999999988</v>
          </cell>
          <cell r="G51">
            <v>0</v>
          </cell>
          <cell r="H51">
            <v>0</v>
          </cell>
          <cell r="I51">
            <v>0</v>
          </cell>
          <cell r="J51">
            <v>0</v>
          </cell>
          <cell r="K51">
            <v>0</v>
          </cell>
          <cell r="L51">
            <v>439182.25000000023</v>
          </cell>
          <cell r="M51">
            <v>0</v>
          </cell>
          <cell r="N51">
            <v>0</v>
          </cell>
          <cell r="O51">
            <v>150602.75000000006</v>
          </cell>
          <cell r="P51">
            <v>0</v>
          </cell>
          <cell r="Q51">
            <v>0</v>
          </cell>
          <cell r="R51">
            <v>0</v>
          </cell>
          <cell r="S51">
            <v>0</v>
          </cell>
          <cell r="T51">
            <v>0</v>
          </cell>
          <cell r="U51">
            <v>526303.99999999965</v>
          </cell>
        </row>
        <row r="52">
          <cell r="A52">
            <v>42004</v>
          </cell>
          <cell r="B52">
            <v>0</v>
          </cell>
          <cell r="C52">
            <v>909913.04999999981</v>
          </cell>
          <cell r="D52">
            <v>0</v>
          </cell>
          <cell r="E52">
            <v>0</v>
          </cell>
          <cell r="F52">
            <v>240259.64999999988</v>
          </cell>
          <cell r="G52">
            <v>0</v>
          </cell>
          <cell r="H52">
            <v>0</v>
          </cell>
          <cell r="I52">
            <v>0</v>
          </cell>
          <cell r="J52">
            <v>0</v>
          </cell>
          <cell r="K52">
            <v>0</v>
          </cell>
          <cell r="L52">
            <v>263509.35000000021</v>
          </cell>
          <cell r="M52">
            <v>0</v>
          </cell>
          <cell r="N52">
            <v>0</v>
          </cell>
          <cell r="O52">
            <v>90361.650000000052</v>
          </cell>
          <cell r="P52">
            <v>0</v>
          </cell>
          <cell r="Q52">
            <v>0</v>
          </cell>
          <cell r="R52">
            <v>0</v>
          </cell>
          <cell r="S52">
            <v>0</v>
          </cell>
          <cell r="T52">
            <v>0</v>
          </cell>
          <cell r="U52">
            <v>315782.39999999967</v>
          </cell>
        </row>
        <row r="53">
          <cell r="A53">
            <v>42369</v>
          </cell>
          <cell r="B53">
            <v>0</v>
          </cell>
          <cell r="C53">
            <v>303304.3499999998</v>
          </cell>
          <cell r="D53">
            <v>0</v>
          </cell>
          <cell r="E53">
            <v>0</v>
          </cell>
          <cell r="F53">
            <v>80086.549999999872</v>
          </cell>
          <cell r="G53">
            <v>0</v>
          </cell>
          <cell r="H53">
            <v>0</v>
          </cell>
          <cell r="I53">
            <v>0</v>
          </cell>
          <cell r="J53">
            <v>0</v>
          </cell>
          <cell r="K53">
            <v>0</v>
          </cell>
          <cell r="L53">
            <v>87836.450000000215</v>
          </cell>
          <cell r="M53">
            <v>0</v>
          </cell>
          <cell r="N53">
            <v>0</v>
          </cell>
          <cell r="O53">
            <v>30120.550000000054</v>
          </cell>
          <cell r="P53">
            <v>0</v>
          </cell>
          <cell r="Q53">
            <v>0</v>
          </cell>
          <cell r="R53">
            <v>0</v>
          </cell>
          <cell r="S53">
            <v>0</v>
          </cell>
          <cell r="T53">
            <v>0</v>
          </cell>
          <cell r="U53">
            <v>105260.79999999967</v>
          </cell>
        </row>
        <row r="54">
          <cell r="A54">
            <v>42735</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row>
      </sheetData>
      <sheetData sheetId="18">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39447</v>
          </cell>
          <cell r="B28">
            <v>0</v>
          </cell>
          <cell r="C28">
            <v>1078545.8999999999</v>
          </cell>
          <cell r="D28">
            <v>0</v>
          </cell>
          <cell r="E28">
            <v>0</v>
          </cell>
          <cell r="F28">
            <v>372155.8</v>
          </cell>
          <cell r="G28">
            <v>0</v>
          </cell>
          <cell r="H28">
            <v>0</v>
          </cell>
          <cell r="I28">
            <v>0</v>
          </cell>
          <cell r="J28">
            <v>0</v>
          </cell>
          <cell r="K28">
            <v>0</v>
          </cell>
          <cell r="L28">
            <v>41299.9</v>
          </cell>
          <cell r="M28">
            <v>0</v>
          </cell>
          <cell r="N28">
            <v>0</v>
          </cell>
          <cell r="O28">
            <v>14941</v>
          </cell>
          <cell r="P28">
            <v>0</v>
          </cell>
          <cell r="Q28">
            <v>0</v>
          </cell>
          <cell r="R28">
            <v>0</v>
          </cell>
          <cell r="S28">
            <v>0</v>
          </cell>
          <cell r="T28">
            <v>0</v>
          </cell>
          <cell r="U28">
            <v>650149.19999999995</v>
          </cell>
        </row>
        <row r="29">
          <cell r="A29">
            <v>39813</v>
          </cell>
          <cell r="B29">
            <v>0</v>
          </cell>
          <cell r="C29">
            <v>1078545.8999999999</v>
          </cell>
          <cell r="D29">
            <v>0</v>
          </cell>
          <cell r="E29">
            <v>0</v>
          </cell>
          <cell r="F29">
            <v>372155.8</v>
          </cell>
          <cell r="G29">
            <v>0</v>
          </cell>
          <cell r="H29">
            <v>0</v>
          </cell>
          <cell r="I29">
            <v>0</v>
          </cell>
          <cell r="J29">
            <v>0</v>
          </cell>
          <cell r="K29">
            <v>0</v>
          </cell>
          <cell r="L29">
            <v>41299.9</v>
          </cell>
          <cell r="M29">
            <v>0</v>
          </cell>
          <cell r="N29">
            <v>0</v>
          </cell>
          <cell r="O29">
            <v>14941</v>
          </cell>
          <cell r="P29">
            <v>0</v>
          </cell>
          <cell r="Q29">
            <v>0</v>
          </cell>
          <cell r="R29">
            <v>0</v>
          </cell>
          <cell r="S29">
            <v>0</v>
          </cell>
          <cell r="T29">
            <v>0</v>
          </cell>
          <cell r="U29">
            <v>650149.19999999995</v>
          </cell>
        </row>
        <row r="30">
          <cell r="A30">
            <v>40178</v>
          </cell>
          <cell r="B30">
            <v>0</v>
          </cell>
          <cell r="C30">
            <v>1078545.8999999999</v>
          </cell>
          <cell r="D30">
            <v>0</v>
          </cell>
          <cell r="E30">
            <v>0</v>
          </cell>
          <cell r="F30">
            <v>372155.8</v>
          </cell>
          <cell r="G30">
            <v>0</v>
          </cell>
          <cell r="H30">
            <v>0</v>
          </cell>
          <cell r="I30">
            <v>0</v>
          </cell>
          <cell r="J30">
            <v>0</v>
          </cell>
          <cell r="K30">
            <v>0</v>
          </cell>
          <cell r="L30">
            <v>41299.9</v>
          </cell>
          <cell r="M30">
            <v>0</v>
          </cell>
          <cell r="N30">
            <v>0</v>
          </cell>
          <cell r="O30">
            <v>14941</v>
          </cell>
          <cell r="P30">
            <v>0</v>
          </cell>
          <cell r="Q30">
            <v>0</v>
          </cell>
          <cell r="R30">
            <v>0</v>
          </cell>
          <cell r="S30">
            <v>0</v>
          </cell>
          <cell r="T30">
            <v>0</v>
          </cell>
          <cell r="U30">
            <v>650149.19999999995</v>
          </cell>
        </row>
        <row r="31">
          <cell r="A31">
            <v>40543</v>
          </cell>
          <cell r="B31">
            <v>0</v>
          </cell>
          <cell r="C31">
            <v>1078545.8999999999</v>
          </cell>
          <cell r="D31">
            <v>0</v>
          </cell>
          <cell r="E31">
            <v>0</v>
          </cell>
          <cell r="F31">
            <v>372155.8</v>
          </cell>
          <cell r="G31">
            <v>0</v>
          </cell>
          <cell r="H31">
            <v>0</v>
          </cell>
          <cell r="I31">
            <v>0</v>
          </cell>
          <cell r="J31">
            <v>0</v>
          </cell>
          <cell r="K31">
            <v>0</v>
          </cell>
          <cell r="L31">
            <v>41299.9</v>
          </cell>
          <cell r="M31">
            <v>0</v>
          </cell>
          <cell r="N31">
            <v>0</v>
          </cell>
          <cell r="O31">
            <v>14941</v>
          </cell>
          <cell r="P31">
            <v>0</v>
          </cell>
          <cell r="Q31">
            <v>0</v>
          </cell>
          <cell r="R31">
            <v>0</v>
          </cell>
          <cell r="S31">
            <v>0</v>
          </cell>
          <cell r="T31">
            <v>0</v>
          </cell>
          <cell r="U31">
            <v>650149.19999999995</v>
          </cell>
        </row>
        <row r="32">
          <cell r="A32">
            <v>40908</v>
          </cell>
          <cell r="B32">
            <v>0</v>
          </cell>
          <cell r="C32">
            <v>1078545.8999999999</v>
          </cell>
          <cell r="D32">
            <v>0</v>
          </cell>
          <cell r="E32">
            <v>0</v>
          </cell>
          <cell r="F32">
            <v>372155.8</v>
          </cell>
          <cell r="G32">
            <v>0</v>
          </cell>
          <cell r="H32">
            <v>0</v>
          </cell>
          <cell r="I32">
            <v>0</v>
          </cell>
          <cell r="J32">
            <v>0</v>
          </cell>
          <cell r="K32">
            <v>0</v>
          </cell>
          <cell r="L32">
            <v>41299.9</v>
          </cell>
          <cell r="M32">
            <v>0</v>
          </cell>
          <cell r="N32">
            <v>0</v>
          </cell>
          <cell r="O32">
            <v>14941</v>
          </cell>
          <cell r="P32">
            <v>0</v>
          </cell>
          <cell r="Q32">
            <v>0</v>
          </cell>
          <cell r="R32">
            <v>0</v>
          </cell>
          <cell r="S32">
            <v>0</v>
          </cell>
          <cell r="T32">
            <v>0</v>
          </cell>
          <cell r="U32">
            <v>650149.19999999995</v>
          </cell>
        </row>
        <row r="33">
          <cell r="A33">
            <v>41274</v>
          </cell>
          <cell r="B33">
            <v>0</v>
          </cell>
          <cell r="C33">
            <v>1078545.8999999999</v>
          </cell>
          <cell r="D33">
            <v>0</v>
          </cell>
          <cell r="E33">
            <v>0</v>
          </cell>
          <cell r="F33">
            <v>372155.8</v>
          </cell>
          <cell r="G33">
            <v>0</v>
          </cell>
          <cell r="H33">
            <v>0</v>
          </cell>
          <cell r="I33">
            <v>0</v>
          </cell>
          <cell r="J33">
            <v>0</v>
          </cell>
          <cell r="K33">
            <v>0</v>
          </cell>
          <cell r="L33">
            <v>41299.9</v>
          </cell>
          <cell r="M33">
            <v>0</v>
          </cell>
          <cell r="N33">
            <v>0</v>
          </cell>
          <cell r="O33">
            <v>14941</v>
          </cell>
          <cell r="P33">
            <v>0</v>
          </cell>
          <cell r="Q33">
            <v>0</v>
          </cell>
          <cell r="R33">
            <v>0</v>
          </cell>
          <cell r="S33">
            <v>0</v>
          </cell>
          <cell r="T33">
            <v>0</v>
          </cell>
          <cell r="U33">
            <v>650149.19999999995</v>
          </cell>
        </row>
        <row r="34">
          <cell r="A34">
            <v>41639</v>
          </cell>
          <cell r="B34">
            <v>0</v>
          </cell>
          <cell r="C34">
            <v>1078545.8999999999</v>
          </cell>
          <cell r="D34">
            <v>0</v>
          </cell>
          <cell r="E34">
            <v>0</v>
          </cell>
          <cell r="F34">
            <v>372155.8</v>
          </cell>
          <cell r="G34">
            <v>0</v>
          </cell>
          <cell r="H34">
            <v>0</v>
          </cell>
          <cell r="I34">
            <v>0</v>
          </cell>
          <cell r="J34">
            <v>0</v>
          </cell>
          <cell r="K34">
            <v>0</v>
          </cell>
          <cell r="L34">
            <v>41299.9</v>
          </cell>
          <cell r="M34">
            <v>0</v>
          </cell>
          <cell r="N34">
            <v>0</v>
          </cell>
          <cell r="O34">
            <v>14941</v>
          </cell>
          <cell r="P34">
            <v>0</v>
          </cell>
          <cell r="Q34">
            <v>0</v>
          </cell>
          <cell r="R34">
            <v>0</v>
          </cell>
          <cell r="S34">
            <v>0</v>
          </cell>
          <cell r="T34">
            <v>0</v>
          </cell>
          <cell r="U34">
            <v>650149.19999999995</v>
          </cell>
        </row>
        <row r="35">
          <cell r="A35">
            <v>42004</v>
          </cell>
          <cell r="B35">
            <v>0</v>
          </cell>
          <cell r="C35">
            <v>1078545.8999999999</v>
          </cell>
          <cell r="D35">
            <v>0</v>
          </cell>
          <cell r="E35">
            <v>0</v>
          </cell>
          <cell r="F35">
            <v>372155.8</v>
          </cell>
          <cell r="G35">
            <v>0</v>
          </cell>
          <cell r="H35">
            <v>0</v>
          </cell>
          <cell r="I35">
            <v>0</v>
          </cell>
          <cell r="J35">
            <v>0</v>
          </cell>
          <cell r="K35">
            <v>0</v>
          </cell>
          <cell r="L35">
            <v>41299.9</v>
          </cell>
          <cell r="M35">
            <v>0</v>
          </cell>
          <cell r="N35">
            <v>0</v>
          </cell>
          <cell r="O35">
            <v>14941</v>
          </cell>
          <cell r="P35">
            <v>0</v>
          </cell>
          <cell r="Q35">
            <v>0</v>
          </cell>
          <cell r="R35">
            <v>0</v>
          </cell>
          <cell r="S35">
            <v>0</v>
          </cell>
          <cell r="T35">
            <v>0</v>
          </cell>
          <cell r="U35">
            <v>650149.19999999995</v>
          </cell>
        </row>
        <row r="36">
          <cell r="A36">
            <v>42369</v>
          </cell>
          <cell r="B36">
            <v>0</v>
          </cell>
          <cell r="C36">
            <v>1078545.8999999999</v>
          </cell>
          <cell r="D36">
            <v>0</v>
          </cell>
          <cell r="E36">
            <v>0</v>
          </cell>
          <cell r="F36">
            <v>372155.8</v>
          </cell>
          <cell r="G36">
            <v>0</v>
          </cell>
          <cell r="H36">
            <v>0</v>
          </cell>
          <cell r="I36">
            <v>0</v>
          </cell>
          <cell r="J36">
            <v>0</v>
          </cell>
          <cell r="K36">
            <v>0</v>
          </cell>
          <cell r="L36">
            <v>41299.9</v>
          </cell>
          <cell r="M36">
            <v>0</v>
          </cell>
          <cell r="N36">
            <v>0</v>
          </cell>
          <cell r="O36">
            <v>14941</v>
          </cell>
          <cell r="P36">
            <v>0</v>
          </cell>
          <cell r="Q36">
            <v>0</v>
          </cell>
          <cell r="R36">
            <v>0</v>
          </cell>
          <cell r="S36">
            <v>0</v>
          </cell>
          <cell r="T36">
            <v>0</v>
          </cell>
          <cell r="U36">
            <v>650149.19999999995</v>
          </cell>
        </row>
        <row r="37">
          <cell r="A37">
            <v>42735</v>
          </cell>
          <cell r="B37">
            <v>0</v>
          </cell>
          <cell r="C37">
            <v>1078545.8999999999</v>
          </cell>
          <cell r="D37">
            <v>0</v>
          </cell>
          <cell r="E37">
            <v>0</v>
          </cell>
          <cell r="F37">
            <v>372155.8</v>
          </cell>
          <cell r="G37">
            <v>0</v>
          </cell>
          <cell r="H37">
            <v>0</v>
          </cell>
          <cell r="I37">
            <v>0</v>
          </cell>
          <cell r="J37">
            <v>0</v>
          </cell>
          <cell r="K37">
            <v>0</v>
          </cell>
          <cell r="L37">
            <v>41299.9</v>
          </cell>
          <cell r="M37">
            <v>0</v>
          </cell>
          <cell r="N37">
            <v>0</v>
          </cell>
          <cell r="O37">
            <v>14941</v>
          </cell>
          <cell r="P37">
            <v>0</v>
          </cell>
          <cell r="Q37">
            <v>0</v>
          </cell>
          <cell r="R37">
            <v>0</v>
          </cell>
          <cell r="S37">
            <v>0</v>
          </cell>
          <cell r="T37">
            <v>0</v>
          </cell>
          <cell r="U37">
            <v>650149.19999999995</v>
          </cell>
        </row>
        <row r="38">
          <cell r="A38">
            <v>43100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row>
        <row r="42">
          <cell r="A42">
            <v>37986</v>
          </cell>
          <cell r="B42">
            <v>0</v>
          </cell>
          <cell r="C42">
            <v>0</v>
          </cell>
        </row>
        <row r="43">
          <cell r="A43">
            <v>38352</v>
          </cell>
          <cell r="B43">
            <v>0</v>
          </cell>
          <cell r="C43">
            <v>0</v>
          </cell>
          <cell r="F43">
            <v>0</v>
          </cell>
        </row>
        <row r="44">
          <cell r="A44">
            <v>38717</v>
          </cell>
          <cell r="B44">
            <v>0</v>
          </cell>
          <cell r="C44">
            <v>0</v>
          </cell>
          <cell r="F44">
            <v>0</v>
          </cell>
          <cell r="I44">
            <v>0</v>
          </cell>
          <cell r="L44">
            <v>0</v>
          </cell>
          <cell r="O44">
            <v>0</v>
          </cell>
          <cell r="R44">
            <v>0</v>
          </cell>
          <cell r="U44">
            <v>0</v>
          </cell>
        </row>
        <row r="45">
          <cell r="A45">
            <v>39082</v>
          </cell>
          <cell r="B45">
            <v>0</v>
          </cell>
          <cell r="C45">
            <v>0</v>
          </cell>
          <cell r="F45">
            <v>0</v>
          </cell>
          <cell r="I45">
            <v>0</v>
          </cell>
          <cell r="L45">
            <v>0</v>
          </cell>
          <cell r="O45">
            <v>0</v>
          </cell>
          <cell r="R45">
            <v>0</v>
          </cell>
          <cell r="U45">
            <v>0</v>
          </cell>
        </row>
        <row r="46">
          <cell r="A46">
            <v>39447</v>
          </cell>
          <cell r="B46">
            <v>0</v>
          </cell>
          <cell r="C46">
            <v>10246186.050000001</v>
          </cell>
          <cell r="F46">
            <v>3535480.1</v>
          </cell>
          <cell r="I46">
            <v>0</v>
          </cell>
          <cell r="L46">
            <v>392349.05</v>
          </cell>
          <cell r="O46">
            <v>141939.5</v>
          </cell>
          <cell r="R46">
            <v>0</v>
          </cell>
          <cell r="U46">
            <v>6176417.4000000004</v>
          </cell>
        </row>
        <row r="47">
          <cell r="A47">
            <v>39813</v>
          </cell>
          <cell r="B47">
            <v>0</v>
          </cell>
          <cell r="C47">
            <v>9167640.1500000004</v>
          </cell>
          <cell r="F47">
            <v>3163324.3000000003</v>
          </cell>
          <cell r="I47">
            <v>0</v>
          </cell>
          <cell r="L47">
            <v>351049.14999999997</v>
          </cell>
          <cell r="O47">
            <v>126998.5</v>
          </cell>
          <cell r="R47">
            <v>0</v>
          </cell>
          <cell r="U47">
            <v>5526268.2000000002</v>
          </cell>
        </row>
        <row r="48">
          <cell r="A48">
            <v>40178</v>
          </cell>
          <cell r="B48">
            <v>0</v>
          </cell>
          <cell r="C48">
            <v>8089094.25</v>
          </cell>
          <cell r="F48">
            <v>2791168.5000000005</v>
          </cell>
          <cell r="I48">
            <v>0</v>
          </cell>
          <cell r="L48">
            <v>309749.24999999994</v>
          </cell>
          <cell r="O48">
            <v>112057.5</v>
          </cell>
          <cell r="R48">
            <v>0</v>
          </cell>
          <cell r="U48">
            <v>4876119</v>
          </cell>
        </row>
        <row r="49">
          <cell r="A49">
            <v>40543</v>
          </cell>
          <cell r="B49">
            <v>0</v>
          </cell>
          <cell r="C49">
            <v>7010548.3500000006</v>
          </cell>
          <cell r="F49">
            <v>2419012.7000000007</v>
          </cell>
          <cell r="I49">
            <v>0</v>
          </cell>
          <cell r="L49">
            <v>268449.34999999992</v>
          </cell>
          <cell r="O49">
            <v>97116.5</v>
          </cell>
          <cell r="R49">
            <v>0</v>
          </cell>
          <cell r="U49">
            <v>4225969.8</v>
          </cell>
        </row>
        <row r="50">
          <cell r="A50">
            <v>40908</v>
          </cell>
          <cell r="B50">
            <v>0</v>
          </cell>
          <cell r="C50">
            <v>5932002.4500000002</v>
          </cell>
          <cell r="F50">
            <v>2046856.9000000006</v>
          </cell>
          <cell r="I50">
            <v>0</v>
          </cell>
          <cell r="L50">
            <v>227149.44999999992</v>
          </cell>
          <cell r="O50">
            <v>82175.5</v>
          </cell>
          <cell r="R50">
            <v>0</v>
          </cell>
          <cell r="U50">
            <v>3575820.5999999996</v>
          </cell>
        </row>
        <row r="51">
          <cell r="A51">
            <v>41274</v>
          </cell>
          <cell r="B51">
            <v>0</v>
          </cell>
          <cell r="C51">
            <v>4853456.55</v>
          </cell>
          <cell r="F51">
            <v>1674701.1000000006</v>
          </cell>
          <cell r="I51">
            <v>0</v>
          </cell>
          <cell r="L51">
            <v>185849.54999999993</v>
          </cell>
          <cell r="O51">
            <v>67234.5</v>
          </cell>
          <cell r="R51">
            <v>0</v>
          </cell>
          <cell r="U51">
            <v>2925671.3999999994</v>
          </cell>
        </row>
        <row r="52">
          <cell r="A52">
            <v>41639</v>
          </cell>
          <cell r="B52">
            <v>0</v>
          </cell>
          <cell r="C52">
            <v>3774910.6499999994</v>
          </cell>
          <cell r="F52">
            <v>1302545.3000000005</v>
          </cell>
          <cell r="I52">
            <v>0</v>
          </cell>
          <cell r="L52">
            <v>144549.64999999994</v>
          </cell>
          <cell r="O52">
            <v>52293.5</v>
          </cell>
          <cell r="R52">
            <v>0</v>
          </cell>
          <cell r="U52">
            <v>2275522.1999999993</v>
          </cell>
        </row>
        <row r="53">
          <cell r="A53">
            <v>42004</v>
          </cell>
          <cell r="B53">
            <v>0</v>
          </cell>
          <cell r="C53">
            <v>2696364.75</v>
          </cell>
          <cell r="F53">
            <v>930389.50000000047</v>
          </cell>
          <cell r="I53">
            <v>0</v>
          </cell>
          <cell r="L53">
            <v>103249.74999999994</v>
          </cell>
          <cell r="O53">
            <v>37352.5</v>
          </cell>
          <cell r="R53">
            <v>0</v>
          </cell>
          <cell r="U53">
            <v>1625372.9999999993</v>
          </cell>
        </row>
        <row r="54">
          <cell r="A54">
            <v>42369</v>
          </cell>
          <cell r="B54">
            <v>0</v>
          </cell>
          <cell r="C54">
            <v>1617818.8499999996</v>
          </cell>
          <cell r="F54">
            <v>558233.70000000042</v>
          </cell>
          <cell r="I54">
            <v>0</v>
          </cell>
          <cell r="L54">
            <v>61949.84999999994</v>
          </cell>
          <cell r="O54">
            <v>22411.5</v>
          </cell>
          <cell r="R54">
            <v>0</v>
          </cell>
          <cell r="U54">
            <v>975223.79999999935</v>
          </cell>
        </row>
        <row r="55">
          <cell r="A55">
            <v>42735</v>
          </cell>
          <cell r="B55">
            <v>0</v>
          </cell>
          <cell r="C55">
            <v>539272.94999999972</v>
          </cell>
          <cell r="F55">
            <v>186077.90000000043</v>
          </cell>
          <cell r="I55">
            <v>0</v>
          </cell>
          <cell r="L55">
            <v>20649.949999999939</v>
          </cell>
          <cell r="O55">
            <v>7470.5</v>
          </cell>
          <cell r="R55">
            <v>0</v>
          </cell>
          <cell r="U55">
            <v>325074.59999999939</v>
          </cell>
        </row>
        <row r="56">
          <cell r="A56">
            <v>43100</v>
          </cell>
          <cell r="B56">
            <v>0</v>
          </cell>
          <cell r="C56">
            <v>0</v>
          </cell>
          <cell r="F56">
            <v>0</v>
          </cell>
          <cell r="I56">
            <v>0</v>
          </cell>
          <cell r="L56">
            <v>0</v>
          </cell>
          <cell r="O56">
            <v>0</v>
          </cell>
          <cell r="R56">
            <v>0</v>
          </cell>
          <cell r="U56">
            <v>0</v>
          </cell>
        </row>
      </sheetData>
      <sheetData sheetId="19">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39447</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39813</v>
          </cell>
          <cell r="B29">
            <v>0</v>
          </cell>
          <cell r="C29">
            <v>913727.2</v>
          </cell>
          <cell r="D29">
            <v>0</v>
          </cell>
          <cell r="E29">
            <v>0</v>
          </cell>
          <cell r="F29">
            <v>304540</v>
          </cell>
          <cell r="G29">
            <v>0</v>
          </cell>
          <cell r="H29">
            <v>0</v>
          </cell>
          <cell r="I29">
            <v>0</v>
          </cell>
          <cell r="J29">
            <v>0</v>
          </cell>
          <cell r="K29">
            <v>0</v>
          </cell>
          <cell r="L29">
            <v>73606.8</v>
          </cell>
          <cell r="M29">
            <v>0</v>
          </cell>
          <cell r="N29">
            <v>0</v>
          </cell>
          <cell r="O29">
            <v>27164.6</v>
          </cell>
          <cell r="P29">
            <v>0</v>
          </cell>
          <cell r="Q29">
            <v>0</v>
          </cell>
          <cell r="R29">
            <v>0</v>
          </cell>
          <cell r="S29">
            <v>0</v>
          </cell>
          <cell r="T29">
            <v>0</v>
          </cell>
          <cell r="U29">
            <v>508415.8</v>
          </cell>
        </row>
        <row r="30">
          <cell r="A30">
            <v>40178</v>
          </cell>
          <cell r="B30">
            <v>0</v>
          </cell>
          <cell r="C30">
            <v>913727.2</v>
          </cell>
          <cell r="D30">
            <v>0</v>
          </cell>
          <cell r="E30">
            <v>0</v>
          </cell>
          <cell r="F30">
            <v>304540</v>
          </cell>
          <cell r="G30">
            <v>0</v>
          </cell>
          <cell r="H30">
            <v>0</v>
          </cell>
          <cell r="I30">
            <v>0</v>
          </cell>
          <cell r="J30">
            <v>0</v>
          </cell>
          <cell r="K30">
            <v>0</v>
          </cell>
          <cell r="L30">
            <v>73606.8</v>
          </cell>
          <cell r="M30">
            <v>0</v>
          </cell>
          <cell r="N30">
            <v>0</v>
          </cell>
          <cell r="O30">
            <v>27164.6</v>
          </cell>
          <cell r="P30">
            <v>0</v>
          </cell>
          <cell r="Q30">
            <v>0</v>
          </cell>
          <cell r="R30">
            <v>0</v>
          </cell>
          <cell r="S30">
            <v>0</v>
          </cell>
          <cell r="T30">
            <v>0</v>
          </cell>
          <cell r="U30">
            <v>508415.8</v>
          </cell>
        </row>
        <row r="31">
          <cell r="A31">
            <v>40543</v>
          </cell>
          <cell r="B31">
            <v>0</v>
          </cell>
          <cell r="C31">
            <v>913727.2</v>
          </cell>
          <cell r="D31">
            <v>0</v>
          </cell>
          <cell r="E31">
            <v>0</v>
          </cell>
          <cell r="F31">
            <v>304540</v>
          </cell>
          <cell r="G31">
            <v>0</v>
          </cell>
          <cell r="H31">
            <v>0</v>
          </cell>
          <cell r="I31">
            <v>0</v>
          </cell>
          <cell r="J31">
            <v>0</v>
          </cell>
          <cell r="K31">
            <v>0</v>
          </cell>
          <cell r="L31">
            <v>73606.8</v>
          </cell>
          <cell r="M31">
            <v>0</v>
          </cell>
          <cell r="N31">
            <v>0</v>
          </cell>
          <cell r="O31">
            <v>27164.6</v>
          </cell>
          <cell r="P31">
            <v>0</v>
          </cell>
          <cell r="Q31">
            <v>0</v>
          </cell>
          <cell r="R31">
            <v>0</v>
          </cell>
          <cell r="S31">
            <v>0</v>
          </cell>
          <cell r="T31">
            <v>0</v>
          </cell>
          <cell r="U31">
            <v>508415.8</v>
          </cell>
        </row>
        <row r="32">
          <cell r="A32">
            <v>40908</v>
          </cell>
          <cell r="B32">
            <v>0</v>
          </cell>
          <cell r="C32">
            <v>913727.2</v>
          </cell>
          <cell r="D32">
            <v>0</v>
          </cell>
          <cell r="E32">
            <v>0</v>
          </cell>
          <cell r="F32">
            <v>304540</v>
          </cell>
          <cell r="G32">
            <v>0</v>
          </cell>
          <cell r="H32">
            <v>0</v>
          </cell>
          <cell r="I32">
            <v>0</v>
          </cell>
          <cell r="J32">
            <v>0</v>
          </cell>
          <cell r="K32">
            <v>0</v>
          </cell>
          <cell r="L32">
            <v>73606.8</v>
          </cell>
          <cell r="M32">
            <v>0</v>
          </cell>
          <cell r="N32">
            <v>0</v>
          </cell>
          <cell r="O32">
            <v>27164.6</v>
          </cell>
          <cell r="P32">
            <v>0</v>
          </cell>
          <cell r="Q32">
            <v>0</v>
          </cell>
          <cell r="R32">
            <v>0</v>
          </cell>
          <cell r="S32">
            <v>0</v>
          </cell>
          <cell r="T32">
            <v>0</v>
          </cell>
          <cell r="U32">
            <v>508415.8</v>
          </cell>
        </row>
        <row r="33">
          <cell r="A33">
            <v>41274</v>
          </cell>
          <cell r="B33">
            <v>0</v>
          </cell>
          <cell r="C33">
            <v>913727.2</v>
          </cell>
          <cell r="D33">
            <v>0</v>
          </cell>
          <cell r="E33">
            <v>0</v>
          </cell>
          <cell r="F33">
            <v>304540</v>
          </cell>
          <cell r="G33">
            <v>0</v>
          </cell>
          <cell r="H33">
            <v>0</v>
          </cell>
          <cell r="I33">
            <v>0</v>
          </cell>
          <cell r="J33">
            <v>0</v>
          </cell>
          <cell r="K33">
            <v>0</v>
          </cell>
          <cell r="L33">
            <v>73606.8</v>
          </cell>
          <cell r="M33">
            <v>0</v>
          </cell>
          <cell r="N33">
            <v>0</v>
          </cell>
          <cell r="O33">
            <v>27164.6</v>
          </cell>
          <cell r="P33">
            <v>0</v>
          </cell>
          <cell r="Q33">
            <v>0</v>
          </cell>
          <cell r="R33">
            <v>0</v>
          </cell>
          <cell r="S33">
            <v>0</v>
          </cell>
          <cell r="T33">
            <v>0</v>
          </cell>
          <cell r="U33">
            <v>508415.8</v>
          </cell>
        </row>
        <row r="34">
          <cell r="A34">
            <v>41639</v>
          </cell>
          <cell r="B34">
            <v>0</v>
          </cell>
          <cell r="C34">
            <v>913727.2</v>
          </cell>
          <cell r="D34">
            <v>0</v>
          </cell>
          <cell r="E34">
            <v>0</v>
          </cell>
          <cell r="F34">
            <v>304540</v>
          </cell>
          <cell r="G34">
            <v>0</v>
          </cell>
          <cell r="H34">
            <v>0</v>
          </cell>
          <cell r="I34">
            <v>0</v>
          </cell>
          <cell r="J34">
            <v>0</v>
          </cell>
          <cell r="K34">
            <v>0</v>
          </cell>
          <cell r="L34">
            <v>73606.8</v>
          </cell>
          <cell r="M34">
            <v>0</v>
          </cell>
          <cell r="N34">
            <v>0</v>
          </cell>
          <cell r="O34">
            <v>27164.6</v>
          </cell>
          <cell r="P34">
            <v>0</v>
          </cell>
          <cell r="Q34">
            <v>0</v>
          </cell>
          <cell r="R34">
            <v>0</v>
          </cell>
          <cell r="S34">
            <v>0</v>
          </cell>
          <cell r="T34">
            <v>0</v>
          </cell>
          <cell r="U34">
            <v>508415.8</v>
          </cell>
        </row>
        <row r="35">
          <cell r="A35">
            <v>42004</v>
          </cell>
          <cell r="B35">
            <v>0</v>
          </cell>
          <cell r="C35">
            <v>913727.2</v>
          </cell>
          <cell r="D35">
            <v>0</v>
          </cell>
          <cell r="E35">
            <v>0</v>
          </cell>
          <cell r="F35">
            <v>304540</v>
          </cell>
          <cell r="G35">
            <v>0</v>
          </cell>
          <cell r="H35">
            <v>0</v>
          </cell>
          <cell r="I35">
            <v>0</v>
          </cell>
          <cell r="J35">
            <v>0</v>
          </cell>
          <cell r="K35">
            <v>0</v>
          </cell>
          <cell r="L35">
            <v>73606.8</v>
          </cell>
          <cell r="M35">
            <v>0</v>
          </cell>
          <cell r="N35">
            <v>0</v>
          </cell>
          <cell r="O35">
            <v>27164.6</v>
          </cell>
          <cell r="P35">
            <v>0</v>
          </cell>
          <cell r="Q35">
            <v>0</v>
          </cell>
          <cell r="R35">
            <v>0</v>
          </cell>
          <cell r="S35">
            <v>0</v>
          </cell>
          <cell r="T35">
            <v>0</v>
          </cell>
          <cell r="U35">
            <v>508415.8</v>
          </cell>
        </row>
        <row r="36">
          <cell r="A36">
            <v>42369</v>
          </cell>
          <cell r="B36">
            <v>0</v>
          </cell>
          <cell r="C36">
            <v>913727.2</v>
          </cell>
          <cell r="D36">
            <v>0</v>
          </cell>
          <cell r="E36">
            <v>0</v>
          </cell>
          <cell r="F36">
            <v>304540</v>
          </cell>
          <cell r="G36">
            <v>0</v>
          </cell>
          <cell r="H36">
            <v>0</v>
          </cell>
          <cell r="I36">
            <v>0</v>
          </cell>
          <cell r="J36">
            <v>0</v>
          </cell>
          <cell r="K36">
            <v>0</v>
          </cell>
          <cell r="L36">
            <v>73606.8</v>
          </cell>
          <cell r="M36">
            <v>0</v>
          </cell>
          <cell r="N36">
            <v>0</v>
          </cell>
          <cell r="O36">
            <v>27164.6</v>
          </cell>
          <cell r="P36">
            <v>0</v>
          </cell>
          <cell r="Q36">
            <v>0</v>
          </cell>
          <cell r="R36">
            <v>0</v>
          </cell>
          <cell r="S36">
            <v>0</v>
          </cell>
          <cell r="T36">
            <v>0</v>
          </cell>
          <cell r="U36">
            <v>508415.8</v>
          </cell>
        </row>
        <row r="37">
          <cell r="A37">
            <v>42735</v>
          </cell>
          <cell r="B37">
            <v>0</v>
          </cell>
          <cell r="C37">
            <v>913727.2</v>
          </cell>
          <cell r="D37">
            <v>0</v>
          </cell>
          <cell r="E37">
            <v>0</v>
          </cell>
          <cell r="F37">
            <v>304540</v>
          </cell>
          <cell r="G37">
            <v>0</v>
          </cell>
          <cell r="H37">
            <v>0</v>
          </cell>
          <cell r="I37">
            <v>0</v>
          </cell>
          <cell r="J37">
            <v>0</v>
          </cell>
          <cell r="K37">
            <v>0</v>
          </cell>
          <cell r="L37">
            <v>73606.8</v>
          </cell>
          <cell r="M37">
            <v>0</v>
          </cell>
          <cell r="N37">
            <v>0</v>
          </cell>
          <cell r="O37">
            <v>27164.6</v>
          </cell>
          <cell r="P37">
            <v>0</v>
          </cell>
          <cell r="Q37">
            <v>0</v>
          </cell>
          <cell r="R37">
            <v>0</v>
          </cell>
          <cell r="S37">
            <v>0</v>
          </cell>
          <cell r="T37">
            <v>0</v>
          </cell>
          <cell r="U37">
            <v>508415.8</v>
          </cell>
        </row>
        <row r="38">
          <cell r="A38">
            <v>43100</v>
          </cell>
          <cell r="B38">
            <v>0</v>
          </cell>
          <cell r="C38">
            <v>913727.2</v>
          </cell>
          <cell r="D38">
            <v>0</v>
          </cell>
          <cell r="E38">
            <v>0</v>
          </cell>
          <cell r="F38">
            <v>304540</v>
          </cell>
          <cell r="G38">
            <v>0</v>
          </cell>
          <cell r="H38">
            <v>0</v>
          </cell>
          <cell r="I38">
            <v>0</v>
          </cell>
          <cell r="J38">
            <v>0</v>
          </cell>
          <cell r="K38">
            <v>0</v>
          </cell>
          <cell r="L38">
            <v>73606.8</v>
          </cell>
          <cell r="M38">
            <v>0</v>
          </cell>
          <cell r="N38">
            <v>0</v>
          </cell>
          <cell r="O38">
            <v>27164.6</v>
          </cell>
          <cell r="P38">
            <v>0</v>
          </cell>
          <cell r="Q38">
            <v>0</v>
          </cell>
          <cell r="R38">
            <v>0</v>
          </cell>
          <cell r="S38">
            <v>0</v>
          </cell>
          <cell r="T38">
            <v>0</v>
          </cell>
          <cell r="U38">
            <v>508415.8</v>
          </cell>
        </row>
        <row r="39">
          <cell r="A39">
            <v>43465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39447</v>
          </cell>
          <cell r="B47">
            <v>0</v>
          </cell>
          <cell r="C47">
            <v>0</v>
          </cell>
          <cell r="F47">
            <v>0</v>
          </cell>
          <cell r="I47">
            <v>0</v>
          </cell>
          <cell r="L47">
            <v>0</v>
          </cell>
          <cell r="O47">
            <v>0</v>
          </cell>
          <cell r="R47">
            <v>0</v>
          </cell>
          <cell r="U47">
            <v>0</v>
          </cell>
        </row>
        <row r="48">
          <cell r="A48">
            <v>39813</v>
          </cell>
          <cell r="B48">
            <v>0</v>
          </cell>
          <cell r="C48">
            <v>8680408.4000000004</v>
          </cell>
          <cell r="F48">
            <v>2893130</v>
          </cell>
          <cell r="I48">
            <v>0</v>
          </cell>
          <cell r="L48">
            <v>699264.6</v>
          </cell>
          <cell r="O48">
            <v>258063.7</v>
          </cell>
          <cell r="R48">
            <v>0</v>
          </cell>
          <cell r="U48">
            <v>4829950.0999999996</v>
          </cell>
        </row>
        <row r="49">
          <cell r="A49">
            <v>40178</v>
          </cell>
          <cell r="B49">
            <v>0</v>
          </cell>
          <cell r="C49">
            <v>7766681.1999999993</v>
          </cell>
          <cell r="F49">
            <v>2588590</v>
          </cell>
          <cell r="I49">
            <v>0</v>
          </cell>
          <cell r="L49">
            <v>625657.79999999993</v>
          </cell>
          <cell r="O49">
            <v>230899.1</v>
          </cell>
          <cell r="R49">
            <v>0</v>
          </cell>
          <cell r="U49">
            <v>4321534.3</v>
          </cell>
        </row>
        <row r="50">
          <cell r="A50">
            <v>40543</v>
          </cell>
          <cell r="B50">
            <v>0</v>
          </cell>
          <cell r="C50">
            <v>6852954</v>
          </cell>
          <cell r="F50">
            <v>2284050</v>
          </cell>
          <cell r="I50">
            <v>0</v>
          </cell>
          <cell r="L50">
            <v>552050.99999999988</v>
          </cell>
          <cell r="O50">
            <v>203734.5</v>
          </cell>
          <cell r="R50">
            <v>0</v>
          </cell>
          <cell r="U50">
            <v>3813118.5</v>
          </cell>
        </row>
        <row r="51">
          <cell r="A51">
            <v>40908</v>
          </cell>
          <cell r="B51">
            <v>0</v>
          </cell>
          <cell r="C51">
            <v>5939226.7999999998</v>
          </cell>
          <cell r="F51">
            <v>1979510</v>
          </cell>
          <cell r="I51">
            <v>0</v>
          </cell>
          <cell r="L51">
            <v>478444.1999999999</v>
          </cell>
          <cell r="O51">
            <v>176569.9</v>
          </cell>
          <cell r="R51">
            <v>0</v>
          </cell>
          <cell r="U51">
            <v>3304702.7</v>
          </cell>
        </row>
        <row r="52">
          <cell r="A52">
            <v>41274</v>
          </cell>
          <cell r="B52">
            <v>0</v>
          </cell>
          <cell r="C52">
            <v>5025499.5999999996</v>
          </cell>
          <cell r="F52">
            <v>1674970</v>
          </cell>
          <cell r="I52">
            <v>0</v>
          </cell>
          <cell r="L52">
            <v>404837.39999999991</v>
          </cell>
          <cell r="O52">
            <v>149405.29999999999</v>
          </cell>
          <cell r="R52">
            <v>0</v>
          </cell>
          <cell r="U52">
            <v>2796286.9000000004</v>
          </cell>
        </row>
        <row r="53">
          <cell r="A53">
            <v>41639</v>
          </cell>
          <cell r="B53">
            <v>0</v>
          </cell>
          <cell r="C53">
            <v>4111772.4000000004</v>
          </cell>
          <cell r="F53">
            <v>1370430</v>
          </cell>
          <cell r="I53">
            <v>0</v>
          </cell>
          <cell r="L53">
            <v>331230.59999999992</v>
          </cell>
          <cell r="O53">
            <v>122240.69999999998</v>
          </cell>
          <cell r="R53">
            <v>0</v>
          </cell>
          <cell r="U53">
            <v>2287871.1000000006</v>
          </cell>
        </row>
        <row r="54">
          <cell r="A54">
            <v>42004</v>
          </cell>
          <cell r="B54">
            <v>0</v>
          </cell>
          <cell r="C54">
            <v>3198045.2</v>
          </cell>
          <cell r="F54">
            <v>1065890</v>
          </cell>
          <cell r="I54">
            <v>0</v>
          </cell>
          <cell r="L54">
            <v>257623.79999999993</v>
          </cell>
          <cell r="O54">
            <v>95076.099999999977</v>
          </cell>
          <cell r="R54">
            <v>0</v>
          </cell>
          <cell r="U54">
            <v>1779455.3000000005</v>
          </cell>
        </row>
        <row r="55">
          <cell r="A55">
            <v>42369</v>
          </cell>
          <cell r="B55">
            <v>0</v>
          </cell>
          <cell r="C55">
            <v>2284318.0000000005</v>
          </cell>
          <cell r="F55">
            <v>761350</v>
          </cell>
          <cell r="I55">
            <v>0</v>
          </cell>
          <cell r="L55">
            <v>184016.99999999994</v>
          </cell>
          <cell r="O55">
            <v>67911.499999999971</v>
          </cell>
          <cell r="R55">
            <v>0</v>
          </cell>
          <cell r="U55">
            <v>1271039.5000000005</v>
          </cell>
        </row>
        <row r="56">
          <cell r="A56">
            <v>42735</v>
          </cell>
          <cell r="B56">
            <v>0</v>
          </cell>
          <cell r="C56">
            <v>1370590.8000000003</v>
          </cell>
          <cell r="F56">
            <v>456810</v>
          </cell>
          <cell r="I56">
            <v>0</v>
          </cell>
          <cell r="L56">
            <v>110410.19999999994</v>
          </cell>
          <cell r="O56">
            <v>40746.899999999972</v>
          </cell>
          <cell r="R56">
            <v>0</v>
          </cell>
          <cell r="U56">
            <v>762623.70000000042</v>
          </cell>
        </row>
        <row r="57">
          <cell r="A57">
            <v>43100</v>
          </cell>
          <cell r="B57">
            <v>0</v>
          </cell>
          <cell r="C57">
            <v>456863.60000000033</v>
          </cell>
          <cell r="F57">
            <v>152270</v>
          </cell>
          <cell r="I57">
            <v>0</v>
          </cell>
          <cell r="L57">
            <v>36803.399999999936</v>
          </cell>
          <cell r="O57">
            <v>13582.299999999974</v>
          </cell>
          <cell r="R57">
            <v>0</v>
          </cell>
          <cell r="U57">
            <v>254207.90000000043</v>
          </cell>
        </row>
        <row r="58">
          <cell r="A58">
            <v>43465</v>
          </cell>
          <cell r="B58">
            <v>0</v>
          </cell>
          <cell r="C58">
            <v>0</v>
          </cell>
          <cell r="F58">
            <v>0</v>
          </cell>
          <cell r="I58">
            <v>0</v>
          </cell>
          <cell r="L58">
            <v>0</v>
          </cell>
          <cell r="O58">
            <v>0</v>
          </cell>
          <cell r="R58">
            <v>0</v>
          </cell>
          <cell r="U58">
            <v>0</v>
          </cell>
        </row>
      </sheetData>
      <sheetData sheetId="20">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39813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40178</v>
          </cell>
          <cell r="B29">
            <v>0</v>
          </cell>
          <cell r="C29">
            <v>292197</v>
          </cell>
          <cell r="D29">
            <v>0</v>
          </cell>
          <cell r="E29">
            <v>0</v>
          </cell>
          <cell r="F29">
            <v>279959.8</v>
          </cell>
          <cell r="G29">
            <v>0</v>
          </cell>
          <cell r="H29">
            <v>0</v>
          </cell>
          <cell r="I29">
            <v>0</v>
          </cell>
          <cell r="J29">
            <v>0</v>
          </cell>
          <cell r="K29">
            <v>0</v>
          </cell>
          <cell r="L29">
            <v>0</v>
          </cell>
          <cell r="M29">
            <v>0</v>
          </cell>
          <cell r="N29">
            <v>0</v>
          </cell>
          <cell r="O29">
            <v>12237.2</v>
          </cell>
          <cell r="P29">
            <v>0</v>
          </cell>
          <cell r="Q29">
            <v>0</v>
          </cell>
          <cell r="R29">
            <v>0</v>
          </cell>
          <cell r="S29">
            <v>0</v>
          </cell>
          <cell r="T29">
            <v>0</v>
          </cell>
          <cell r="U29">
            <v>0</v>
          </cell>
        </row>
        <row r="30">
          <cell r="A30">
            <v>40543</v>
          </cell>
          <cell r="B30">
            <v>0</v>
          </cell>
          <cell r="C30">
            <v>292197</v>
          </cell>
          <cell r="D30">
            <v>0</v>
          </cell>
          <cell r="E30">
            <v>0</v>
          </cell>
          <cell r="F30">
            <v>279959.8</v>
          </cell>
          <cell r="G30">
            <v>0</v>
          </cell>
          <cell r="H30">
            <v>0</v>
          </cell>
          <cell r="I30">
            <v>0</v>
          </cell>
          <cell r="J30">
            <v>0</v>
          </cell>
          <cell r="K30">
            <v>0</v>
          </cell>
          <cell r="L30">
            <v>0</v>
          </cell>
          <cell r="M30">
            <v>0</v>
          </cell>
          <cell r="N30">
            <v>0</v>
          </cell>
          <cell r="O30">
            <v>12237.2</v>
          </cell>
          <cell r="P30">
            <v>0</v>
          </cell>
          <cell r="Q30">
            <v>0</v>
          </cell>
          <cell r="R30">
            <v>0</v>
          </cell>
          <cell r="S30">
            <v>0</v>
          </cell>
          <cell r="T30">
            <v>0</v>
          </cell>
          <cell r="U30">
            <v>0</v>
          </cell>
        </row>
        <row r="31">
          <cell r="A31">
            <v>40908</v>
          </cell>
          <cell r="B31">
            <v>0</v>
          </cell>
          <cell r="C31">
            <v>292197</v>
          </cell>
          <cell r="D31">
            <v>0</v>
          </cell>
          <cell r="E31">
            <v>0</v>
          </cell>
          <cell r="F31">
            <v>279959.8</v>
          </cell>
          <cell r="G31">
            <v>0</v>
          </cell>
          <cell r="H31">
            <v>0</v>
          </cell>
          <cell r="I31">
            <v>0</v>
          </cell>
          <cell r="J31">
            <v>0</v>
          </cell>
          <cell r="K31">
            <v>0</v>
          </cell>
          <cell r="L31">
            <v>0</v>
          </cell>
          <cell r="M31">
            <v>0</v>
          </cell>
          <cell r="N31">
            <v>0</v>
          </cell>
          <cell r="O31">
            <v>12237.2</v>
          </cell>
          <cell r="P31">
            <v>0</v>
          </cell>
          <cell r="Q31">
            <v>0</v>
          </cell>
          <cell r="R31">
            <v>0</v>
          </cell>
          <cell r="S31">
            <v>0</v>
          </cell>
          <cell r="T31">
            <v>0</v>
          </cell>
          <cell r="U31">
            <v>0</v>
          </cell>
        </row>
        <row r="32">
          <cell r="A32">
            <v>41274</v>
          </cell>
          <cell r="B32">
            <v>0</v>
          </cell>
          <cell r="C32">
            <v>292197</v>
          </cell>
          <cell r="D32">
            <v>0</v>
          </cell>
          <cell r="E32">
            <v>0</v>
          </cell>
          <cell r="F32">
            <v>279959.8</v>
          </cell>
          <cell r="G32">
            <v>0</v>
          </cell>
          <cell r="H32">
            <v>0</v>
          </cell>
          <cell r="I32">
            <v>0</v>
          </cell>
          <cell r="J32">
            <v>0</v>
          </cell>
          <cell r="K32">
            <v>0</v>
          </cell>
          <cell r="L32">
            <v>0</v>
          </cell>
          <cell r="M32">
            <v>0</v>
          </cell>
          <cell r="N32">
            <v>0</v>
          </cell>
          <cell r="O32">
            <v>12237.2</v>
          </cell>
          <cell r="P32">
            <v>0</v>
          </cell>
          <cell r="Q32">
            <v>0</v>
          </cell>
          <cell r="R32">
            <v>0</v>
          </cell>
          <cell r="S32">
            <v>0</v>
          </cell>
          <cell r="T32">
            <v>0</v>
          </cell>
          <cell r="U32">
            <v>0</v>
          </cell>
        </row>
        <row r="33">
          <cell r="A33">
            <v>41639</v>
          </cell>
          <cell r="B33">
            <v>0</v>
          </cell>
          <cell r="C33">
            <v>292197</v>
          </cell>
          <cell r="D33">
            <v>0</v>
          </cell>
          <cell r="E33">
            <v>0</v>
          </cell>
          <cell r="F33">
            <v>279959.8</v>
          </cell>
          <cell r="G33">
            <v>0</v>
          </cell>
          <cell r="H33">
            <v>0</v>
          </cell>
          <cell r="I33">
            <v>0</v>
          </cell>
          <cell r="J33">
            <v>0</v>
          </cell>
          <cell r="K33">
            <v>0</v>
          </cell>
          <cell r="L33">
            <v>0</v>
          </cell>
          <cell r="M33">
            <v>0</v>
          </cell>
          <cell r="N33">
            <v>0</v>
          </cell>
          <cell r="O33">
            <v>12237.2</v>
          </cell>
          <cell r="P33">
            <v>0</v>
          </cell>
          <cell r="Q33">
            <v>0</v>
          </cell>
          <cell r="R33">
            <v>0</v>
          </cell>
          <cell r="S33">
            <v>0</v>
          </cell>
          <cell r="T33">
            <v>0</v>
          </cell>
          <cell r="U33">
            <v>0</v>
          </cell>
        </row>
        <row r="34">
          <cell r="A34">
            <v>42004</v>
          </cell>
          <cell r="B34">
            <v>0</v>
          </cell>
          <cell r="C34">
            <v>292197</v>
          </cell>
          <cell r="D34">
            <v>0</v>
          </cell>
          <cell r="E34">
            <v>0</v>
          </cell>
          <cell r="F34">
            <v>279959.8</v>
          </cell>
          <cell r="G34">
            <v>0</v>
          </cell>
          <cell r="H34">
            <v>0</v>
          </cell>
          <cell r="I34">
            <v>0</v>
          </cell>
          <cell r="J34">
            <v>0</v>
          </cell>
          <cell r="K34">
            <v>0</v>
          </cell>
          <cell r="L34">
            <v>0</v>
          </cell>
          <cell r="M34">
            <v>0</v>
          </cell>
          <cell r="N34">
            <v>0</v>
          </cell>
          <cell r="O34">
            <v>12237.2</v>
          </cell>
          <cell r="P34">
            <v>0</v>
          </cell>
          <cell r="Q34">
            <v>0</v>
          </cell>
          <cell r="R34">
            <v>0</v>
          </cell>
          <cell r="S34">
            <v>0</v>
          </cell>
          <cell r="T34">
            <v>0</v>
          </cell>
          <cell r="U34">
            <v>0</v>
          </cell>
        </row>
        <row r="35">
          <cell r="A35">
            <v>42369</v>
          </cell>
          <cell r="B35">
            <v>0</v>
          </cell>
          <cell r="C35">
            <v>292197</v>
          </cell>
          <cell r="D35">
            <v>0</v>
          </cell>
          <cell r="E35">
            <v>0</v>
          </cell>
          <cell r="F35">
            <v>279959.8</v>
          </cell>
          <cell r="G35">
            <v>0</v>
          </cell>
          <cell r="H35">
            <v>0</v>
          </cell>
          <cell r="I35">
            <v>0</v>
          </cell>
          <cell r="J35">
            <v>0</v>
          </cell>
          <cell r="K35">
            <v>0</v>
          </cell>
          <cell r="L35">
            <v>0</v>
          </cell>
          <cell r="M35">
            <v>0</v>
          </cell>
          <cell r="N35">
            <v>0</v>
          </cell>
          <cell r="O35">
            <v>12237.2</v>
          </cell>
          <cell r="P35">
            <v>0</v>
          </cell>
          <cell r="Q35">
            <v>0</v>
          </cell>
          <cell r="R35">
            <v>0</v>
          </cell>
          <cell r="S35">
            <v>0</v>
          </cell>
          <cell r="T35">
            <v>0</v>
          </cell>
          <cell r="U35">
            <v>0</v>
          </cell>
        </row>
        <row r="36">
          <cell r="A36">
            <v>42735</v>
          </cell>
          <cell r="B36">
            <v>0</v>
          </cell>
          <cell r="C36">
            <v>292197</v>
          </cell>
          <cell r="D36">
            <v>0</v>
          </cell>
          <cell r="E36">
            <v>0</v>
          </cell>
          <cell r="F36">
            <v>279959.8</v>
          </cell>
          <cell r="G36">
            <v>0</v>
          </cell>
          <cell r="H36">
            <v>0</v>
          </cell>
          <cell r="I36">
            <v>0</v>
          </cell>
          <cell r="J36">
            <v>0</v>
          </cell>
          <cell r="K36">
            <v>0</v>
          </cell>
          <cell r="L36">
            <v>0</v>
          </cell>
          <cell r="M36">
            <v>0</v>
          </cell>
          <cell r="N36">
            <v>0</v>
          </cell>
          <cell r="O36">
            <v>12237.2</v>
          </cell>
          <cell r="P36">
            <v>0</v>
          </cell>
          <cell r="Q36">
            <v>0</v>
          </cell>
          <cell r="R36">
            <v>0</v>
          </cell>
          <cell r="S36">
            <v>0</v>
          </cell>
          <cell r="T36">
            <v>0</v>
          </cell>
          <cell r="U36">
            <v>0</v>
          </cell>
        </row>
        <row r="37">
          <cell r="A37">
            <v>43100</v>
          </cell>
          <cell r="B37">
            <v>0</v>
          </cell>
          <cell r="C37">
            <v>292197</v>
          </cell>
          <cell r="D37">
            <v>0</v>
          </cell>
          <cell r="E37">
            <v>0</v>
          </cell>
          <cell r="F37">
            <v>279959.8</v>
          </cell>
          <cell r="G37">
            <v>0</v>
          </cell>
          <cell r="H37">
            <v>0</v>
          </cell>
          <cell r="I37">
            <v>0</v>
          </cell>
          <cell r="J37">
            <v>0</v>
          </cell>
          <cell r="K37">
            <v>0</v>
          </cell>
          <cell r="L37">
            <v>0</v>
          </cell>
          <cell r="M37">
            <v>0</v>
          </cell>
          <cell r="N37">
            <v>0</v>
          </cell>
          <cell r="O37">
            <v>12237.2</v>
          </cell>
          <cell r="P37">
            <v>0</v>
          </cell>
          <cell r="Q37">
            <v>0</v>
          </cell>
          <cell r="R37">
            <v>0</v>
          </cell>
          <cell r="S37">
            <v>0</v>
          </cell>
          <cell r="T37">
            <v>0</v>
          </cell>
          <cell r="U37">
            <v>0</v>
          </cell>
        </row>
        <row r="38">
          <cell r="A38">
            <v>43465</v>
          </cell>
          <cell r="B38">
            <v>0</v>
          </cell>
          <cell r="C38">
            <v>292197</v>
          </cell>
          <cell r="D38">
            <v>0</v>
          </cell>
          <cell r="E38">
            <v>0</v>
          </cell>
          <cell r="F38">
            <v>279959.8</v>
          </cell>
          <cell r="G38">
            <v>0</v>
          </cell>
          <cell r="H38">
            <v>0</v>
          </cell>
          <cell r="I38">
            <v>0</v>
          </cell>
          <cell r="J38">
            <v>0</v>
          </cell>
          <cell r="K38">
            <v>0</v>
          </cell>
          <cell r="L38">
            <v>0</v>
          </cell>
          <cell r="M38">
            <v>0</v>
          </cell>
          <cell r="N38">
            <v>0</v>
          </cell>
          <cell r="O38">
            <v>12237.2</v>
          </cell>
          <cell r="P38">
            <v>0</v>
          </cell>
          <cell r="Q38">
            <v>0</v>
          </cell>
          <cell r="R38">
            <v>0</v>
          </cell>
          <cell r="S38">
            <v>0</v>
          </cell>
          <cell r="T38">
            <v>0</v>
          </cell>
          <cell r="U38">
            <v>0</v>
          </cell>
        </row>
        <row r="39">
          <cell r="A39">
            <v>43830</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39813</v>
          </cell>
          <cell r="B47">
            <v>0</v>
          </cell>
          <cell r="C47">
            <v>0</v>
          </cell>
          <cell r="F47">
            <v>0</v>
          </cell>
          <cell r="I47">
            <v>0</v>
          </cell>
          <cell r="L47">
            <v>0</v>
          </cell>
          <cell r="O47">
            <v>0</v>
          </cell>
          <cell r="R47">
            <v>0</v>
          </cell>
          <cell r="U47">
            <v>0</v>
          </cell>
        </row>
        <row r="48">
          <cell r="A48">
            <v>40178</v>
          </cell>
          <cell r="B48">
            <v>0</v>
          </cell>
          <cell r="C48">
            <v>2775871.5</v>
          </cell>
          <cell r="F48">
            <v>2659618.1</v>
          </cell>
          <cell r="I48">
            <v>0</v>
          </cell>
          <cell r="L48">
            <v>0</v>
          </cell>
          <cell r="O48">
            <v>116253.4</v>
          </cell>
          <cell r="R48">
            <v>0</v>
          </cell>
          <cell r="U48">
            <v>0</v>
          </cell>
        </row>
        <row r="49">
          <cell r="A49">
            <v>40543</v>
          </cell>
          <cell r="B49">
            <v>0</v>
          </cell>
          <cell r="C49">
            <v>2483674.5000000005</v>
          </cell>
          <cell r="F49">
            <v>2379658.3000000003</v>
          </cell>
          <cell r="I49">
            <v>0</v>
          </cell>
          <cell r="L49">
            <v>0</v>
          </cell>
          <cell r="O49">
            <v>104016.2</v>
          </cell>
          <cell r="R49">
            <v>0</v>
          </cell>
          <cell r="U49">
            <v>0</v>
          </cell>
        </row>
        <row r="50">
          <cell r="A50">
            <v>40908</v>
          </cell>
          <cell r="B50">
            <v>0</v>
          </cell>
          <cell r="C50">
            <v>2191477.5000000005</v>
          </cell>
          <cell r="F50">
            <v>2099698.5000000005</v>
          </cell>
          <cell r="I50">
            <v>0</v>
          </cell>
          <cell r="L50">
            <v>0</v>
          </cell>
          <cell r="O50">
            <v>91779</v>
          </cell>
          <cell r="R50">
            <v>0</v>
          </cell>
          <cell r="U50">
            <v>0</v>
          </cell>
        </row>
        <row r="51">
          <cell r="A51">
            <v>41274</v>
          </cell>
          <cell r="B51">
            <v>0</v>
          </cell>
          <cell r="C51">
            <v>1899280.5000000005</v>
          </cell>
          <cell r="F51">
            <v>1819738.7000000004</v>
          </cell>
          <cell r="I51">
            <v>0</v>
          </cell>
          <cell r="L51">
            <v>0</v>
          </cell>
          <cell r="O51">
            <v>79541.8</v>
          </cell>
          <cell r="R51">
            <v>0</v>
          </cell>
          <cell r="U51">
            <v>0</v>
          </cell>
        </row>
        <row r="52">
          <cell r="A52">
            <v>41639</v>
          </cell>
          <cell r="B52">
            <v>0</v>
          </cell>
          <cell r="C52">
            <v>1607083.5000000005</v>
          </cell>
          <cell r="F52">
            <v>1539778.9000000004</v>
          </cell>
          <cell r="I52">
            <v>0</v>
          </cell>
          <cell r="L52">
            <v>0</v>
          </cell>
          <cell r="O52">
            <v>67304.600000000006</v>
          </cell>
          <cell r="R52">
            <v>0</v>
          </cell>
          <cell r="U52">
            <v>0</v>
          </cell>
        </row>
        <row r="53">
          <cell r="A53">
            <v>42004</v>
          </cell>
          <cell r="B53">
            <v>0</v>
          </cell>
          <cell r="C53">
            <v>1314886.5000000002</v>
          </cell>
          <cell r="F53">
            <v>1259819.1000000003</v>
          </cell>
          <cell r="I53">
            <v>0</v>
          </cell>
          <cell r="L53">
            <v>0</v>
          </cell>
          <cell r="O53">
            <v>55067.400000000009</v>
          </cell>
          <cell r="R53">
            <v>0</v>
          </cell>
          <cell r="U53">
            <v>0</v>
          </cell>
        </row>
        <row r="54">
          <cell r="A54">
            <v>42369</v>
          </cell>
          <cell r="B54">
            <v>0</v>
          </cell>
          <cell r="C54">
            <v>1022689.5000000002</v>
          </cell>
          <cell r="F54">
            <v>979859.30000000028</v>
          </cell>
          <cell r="I54">
            <v>0</v>
          </cell>
          <cell r="L54">
            <v>0</v>
          </cell>
          <cell r="O54">
            <v>42830.200000000012</v>
          </cell>
          <cell r="R54">
            <v>0</v>
          </cell>
          <cell r="U54">
            <v>0</v>
          </cell>
        </row>
        <row r="55">
          <cell r="A55">
            <v>42735</v>
          </cell>
          <cell r="B55">
            <v>0</v>
          </cell>
          <cell r="C55">
            <v>730492.50000000023</v>
          </cell>
          <cell r="F55">
            <v>699899.50000000023</v>
          </cell>
          <cell r="I55">
            <v>0</v>
          </cell>
          <cell r="L55">
            <v>0</v>
          </cell>
          <cell r="O55">
            <v>30593.000000000011</v>
          </cell>
          <cell r="R55">
            <v>0</v>
          </cell>
          <cell r="U55">
            <v>0</v>
          </cell>
        </row>
        <row r="56">
          <cell r="A56">
            <v>43100</v>
          </cell>
          <cell r="B56">
            <v>0</v>
          </cell>
          <cell r="C56">
            <v>438295.50000000023</v>
          </cell>
          <cell r="F56">
            <v>419939.70000000024</v>
          </cell>
          <cell r="I56">
            <v>0</v>
          </cell>
          <cell r="L56">
            <v>0</v>
          </cell>
          <cell r="O56">
            <v>18355.80000000001</v>
          </cell>
          <cell r="R56">
            <v>0</v>
          </cell>
          <cell r="U56">
            <v>0</v>
          </cell>
        </row>
        <row r="57">
          <cell r="A57">
            <v>43465</v>
          </cell>
          <cell r="B57">
            <v>0</v>
          </cell>
          <cell r="C57">
            <v>146098.50000000026</v>
          </cell>
          <cell r="F57">
            <v>139979.90000000026</v>
          </cell>
          <cell r="I57">
            <v>0</v>
          </cell>
          <cell r="L57">
            <v>0</v>
          </cell>
          <cell r="O57">
            <v>6118.6000000000095</v>
          </cell>
          <cell r="R57">
            <v>0</v>
          </cell>
          <cell r="U57">
            <v>0</v>
          </cell>
        </row>
        <row r="58">
          <cell r="A58">
            <v>43830</v>
          </cell>
          <cell r="B58">
            <v>0</v>
          </cell>
          <cell r="C58">
            <v>0</v>
          </cell>
          <cell r="F58">
            <v>0</v>
          </cell>
          <cell r="I58">
            <v>0</v>
          </cell>
          <cell r="L58">
            <v>0</v>
          </cell>
          <cell r="O58">
            <v>0</v>
          </cell>
          <cell r="R58">
            <v>0</v>
          </cell>
          <cell r="U58">
            <v>0</v>
          </cell>
        </row>
      </sheetData>
      <sheetData sheetId="21">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40178</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40543</v>
          </cell>
          <cell r="B29">
            <v>0</v>
          </cell>
          <cell r="C29">
            <v>445116.12565089995</v>
          </cell>
          <cell r="D29">
            <v>0</v>
          </cell>
          <cell r="E29">
            <v>0</v>
          </cell>
          <cell r="F29">
            <v>207095.2069621</v>
          </cell>
          <cell r="G29">
            <v>0</v>
          </cell>
          <cell r="H29">
            <v>0</v>
          </cell>
          <cell r="I29">
            <v>0</v>
          </cell>
          <cell r="J29">
            <v>0</v>
          </cell>
          <cell r="K29">
            <v>0</v>
          </cell>
          <cell r="L29">
            <v>13805.867999999999</v>
          </cell>
          <cell r="M29">
            <v>0</v>
          </cell>
          <cell r="N29">
            <v>0</v>
          </cell>
          <cell r="O29">
            <v>224215.05068879999</v>
          </cell>
          <cell r="P29">
            <v>0</v>
          </cell>
          <cell r="Q29">
            <v>0</v>
          </cell>
          <cell r="R29">
            <v>0</v>
          </cell>
          <cell r="S29">
            <v>0</v>
          </cell>
          <cell r="T29">
            <v>0</v>
          </cell>
          <cell r="U29">
            <v>0</v>
          </cell>
        </row>
        <row r="30">
          <cell r="A30">
            <v>40908</v>
          </cell>
          <cell r="B30">
            <v>0</v>
          </cell>
          <cell r="C30">
            <v>445116.12565089995</v>
          </cell>
          <cell r="D30">
            <v>0</v>
          </cell>
          <cell r="E30">
            <v>0</v>
          </cell>
          <cell r="F30">
            <v>207095.2069621</v>
          </cell>
          <cell r="G30">
            <v>0</v>
          </cell>
          <cell r="H30">
            <v>0</v>
          </cell>
          <cell r="I30">
            <v>0</v>
          </cell>
          <cell r="J30">
            <v>0</v>
          </cell>
          <cell r="K30">
            <v>0</v>
          </cell>
          <cell r="L30">
            <v>13805.867999999999</v>
          </cell>
          <cell r="M30">
            <v>0</v>
          </cell>
          <cell r="N30">
            <v>0</v>
          </cell>
          <cell r="O30">
            <v>224215.05068879999</v>
          </cell>
          <cell r="P30">
            <v>0</v>
          </cell>
          <cell r="Q30">
            <v>0</v>
          </cell>
          <cell r="R30">
            <v>0</v>
          </cell>
          <cell r="S30">
            <v>0</v>
          </cell>
          <cell r="T30">
            <v>0</v>
          </cell>
          <cell r="U30">
            <v>0</v>
          </cell>
        </row>
        <row r="31">
          <cell r="A31">
            <v>41274</v>
          </cell>
          <cell r="B31">
            <v>0</v>
          </cell>
          <cell r="C31">
            <v>445116.12565089995</v>
          </cell>
          <cell r="D31">
            <v>0</v>
          </cell>
          <cell r="E31">
            <v>0</v>
          </cell>
          <cell r="F31">
            <v>207095.2069621</v>
          </cell>
          <cell r="G31">
            <v>0</v>
          </cell>
          <cell r="H31">
            <v>0</v>
          </cell>
          <cell r="I31">
            <v>0</v>
          </cell>
          <cell r="J31">
            <v>0</v>
          </cell>
          <cell r="K31">
            <v>0</v>
          </cell>
          <cell r="L31">
            <v>13805.867999999999</v>
          </cell>
          <cell r="M31">
            <v>0</v>
          </cell>
          <cell r="N31">
            <v>0</v>
          </cell>
          <cell r="O31">
            <v>224215.05068879999</v>
          </cell>
          <cell r="P31">
            <v>0</v>
          </cell>
          <cell r="Q31">
            <v>0</v>
          </cell>
          <cell r="R31">
            <v>0</v>
          </cell>
          <cell r="S31">
            <v>0</v>
          </cell>
          <cell r="T31">
            <v>0</v>
          </cell>
          <cell r="U31">
            <v>0</v>
          </cell>
        </row>
        <row r="32">
          <cell r="A32">
            <v>41639</v>
          </cell>
          <cell r="B32">
            <v>0</v>
          </cell>
          <cell r="C32">
            <v>445116.12565089995</v>
          </cell>
          <cell r="D32">
            <v>0</v>
          </cell>
          <cell r="E32">
            <v>0</v>
          </cell>
          <cell r="F32">
            <v>207095.2069621</v>
          </cell>
          <cell r="G32">
            <v>0</v>
          </cell>
          <cell r="H32">
            <v>0</v>
          </cell>
          <cell r="I32">
            <v>0</v>
          </cell>
          <cell r="J32">
            <v>0</v>
          </cell>
          <cell r="K32">
            <v>0</v>
          </cell>
          <cell r="L32">
            <v>13805.867999999999</v>
          </cell>
          <cell r="M32">
            <v>0</v>
          </cell>
          <cell r="N32">
            <v>0</v>
          </cell>
          <cell r="O32">
            <v>224215.05068879999</v>
          </cell>
          <cell r="P32">
            <v>0</v>
          </cell>
          <cell r="Q32">
            <v>0</v>
          </cell>
          <cell r="R32">
            <v>0</v>
          </cell>
          <cell r="S32">
            <v>0</v>
          </cell>
          <cell r="T32">
            <v>0</v>
          </cell>
          <cell r="U32">
            <v>0</v>
          </cell>
        </row>
        <row r="33">
          <cell r="A33">
            <v>42004</v>
          </cell>
          <cell r="B33">
            <v>0</v>
          </cell>
          <cell r="C33">
            <v>445116.12565089995</v>
          </cell>
          <cell r="D33">
            <v>0</v>
          </cell>
          <cell r="E33">
            <v>0</v>
          </cell>
          <cell r="F33">
            <v>207095.2069621</v>
          </cell>
          <cell r="G33">
            <v>0</v>
          </cell>
          <cell r="H33">
            <v>0</v>
          </cell>
          <cell r="I33">
            <v>0</v>
          </cell>
          <cell r="J33">
            <v>0</v>
          </cell>
          <cell r="K33">
            <v>0</v>
          </cell>
          <cell r="L33">
            <v>13805.867999999999</v>
          </cell>
          <cell r="M33">
            <v>0</v>
          </cell>
          <cell r="N33">
            <v>0</v>
          </cell>
          <cell r="O33">
            <v>224215.05068879999</v>
          </cell>
          <cell r="P33">
            <v>0</v>
          </cell>
          <cell r="Q33">
            <v>0</v>
          </cell>
          <cell r="R33">
            <v>0</v>
          </cell>
          <cell r="S33">
            <v>0</v>
          </cell>
          <cell r="T33">
            <v>0</v>
          </cell>
          <cell r="U33">
            <v>0</v>
          </cell>
        </row>
        <row r="34">
          <cell r="A34">
            <v>42369</v>
          </cell>
          <cell r="B34">
            <v>0</v>
          </cell>
          <cell r="C34">
            <v>445116.12565089995</v>
          </cell>
          <cell r="D34">
            <v>0</v>
          </cell>
          <cell r="E34">
            <v>0</v>
          </cell>
          <cell r="F34">
            <v>207095.2069621</v>
          </cell>
          <cell r="G34">
            <v>0</v>
          </cell>
          <cell r="H34">
            <v>0</v>
          </cell>
          <cell r="I34">
            <v>0</v>
          </cell>
          <cell r="J34">
            <v>0</v>
          </cell>
          <cell r="K34">
            <v>0</v>
          </cell>
          <cell r="L34">
            <v>13805.867999999999</v>
          </cell>
          <cell r="M34">
            <v>0</v>
          </cell>
          <cell r="N34">
            <v>0</v>
          </cell>
          <cell r="O34">
            <v>224215.05068879999</v>
          </cell>
          <cell r="P34">
            <v>0</v>
          </cell>
          <cell r="Q34">
            <v>0</v>
          </cell>
          <cell r="R34">
            <v>0</v>
          </cell>
          <cell r="S34">
            <v>0</v>
          </cell>
          <cell r="T34">
            <v>0</v>
          </cell>
          <cell r="U34">
            <v>0</v>
          </cell>
        </row>
        <row r="35">
          <cell r="A35">
            <v>42735</v>
          </cell>
          <cell r="B35">
            <v>0</v>
          </cell>
          <cell r="C35">
            <v>445116.12565089995</v>
          </cell>
          <cell r="D35">
            <v>0</v>
          </cell>
          <cell r="E35">
            <v>0</v>
          </cell>
          <cell r="F35">
            <v>207095.2069621</v>
          </cell>
          <cell r="G35">
            <v>0</v>
          </cell>
          <cell r="H35">
            <v>0</v>
          </cell>
          <cell r="I35">
            <v>0</v>
          </cell>
          <cell r="J35">
            <v>0</v>
          </cell>
          <cell r="K35">
            <v>0</v>
          </cell>
          <cell r="L35">
            <v>13805.867999999999</v>
          </cell>
          <cell r="M35">
            <v>0</v>
          </cell>
          <cell r="N35">
            <v>0</v>
          </cell>
          <cell r="O35">
            <v>224215.05068879999</v>
          </cell>
          <cell r="P35">
            <v>0</v>
          </cell>
          <cell r="Q35">
            <v>0</v>
          </cell>
          <cell r="R35">
            <v>0</v>
          </cell>
          <cell r="S35">
            <v>0</v>
          </cell>
          <cell r="T35">
            <v>0</v>
          </cell>
          <cell r="U35">
            <v>0</v>
          </cell>
        </row>
        <row r="36">
          <cell r="A36">
            <v>43100</v>
          </cell>
          <cell r="B36">
            <v>0</v>
          </cell>
          <cell r="C36">
            <v>445116.12565089995</v>
          </cell>
          <cell r="D36">
            <v>0</v>
          </cell>
          <cell r="E36">
            <v>0</v>
          </cell>
          <cell r="F36">
            <v>207095.2069621</v>
          </cell>
          <cell r="G36">
            <v>0</v>
          </cell>
          <cell r="H36">
            <v>0</v>
          </cell>
          <cell r="I36">
            <v>0</v>
          </cell>
          <cell r="J36">
            <v>0</v>
          </cell>
          <cell r="K36">
            <v>0</v>
          </cell>
          <cell r="L36">
            <v>13805.867999999999</v>
          </cell>
          <cell r="M36">
            <v>0</v>
          </cell>
          <cell r="N36">
            <v>0</v>
          </cell>
          <cell r="O36">
            <v>224215.05068879999</v>
          </cell>
          <cell r="P36">
            <v>0</v>
          </cell>
          <cell r="Q36">
            <v>0</v>
          </cell>
          <cell r="R36">
            <v>0</v>
          </cell>
          <cell r="S36">
            <v>0</v>
          </cell>
          <cell r="T36">
            <v>0</v>
          </cell>
          <cell r="U36">
            <v>0</v>
          </cell>
        </row>
        <row r="37">
          <cell r="A37">
            <v>43465</v>
          </cell>
          <cell r="B37">
            <v>0</v>
          </cell>
          <cell r="C37">
            <v>445116.12565089995</v>
          </cell>
          <cell r="D37">
            <v>0</v>
          </cell>
          <cell r="E37">
            <v>0</v>
          </cell>
          <cell r="F37">
            <v>207095.2069621</v>
          </cell>
          <cell r="G37">
            <v>0</v>
          </cell>
          <cell r="H37">
            <v>0</v>
          </cell>
          <cell r="I37">
            <v>0</v>
          </cell>
          <cell r="J37">
            <v>0</v>
          </cell>
          <cell r="K37">
            <v>0</v>
          </cell>
          <cell r="L37">
            <v>13805.867999999999</v>
          </cell>
          <cell r="M37">
            <v>0</v>
          </cell>
          <cell r="N37">
            <v>0</v>
          </cell>
          <cell r="O37">
            <v>224215.05068879999</v>
          </cell>
          <cell r="P37">
            <v>0</v>
          </cell>
          <cell r="Q37">
            <v>0</v>
          </cell>
          <cell r="R37">
            <v>0</v>
          </cell>
          <cell r="S37">
            <v>0</v>
          </cell>
          <cell r="T37">
            <v>0</v>
          </cell>
          <cell r="U37">
            <v>0</v>
          </cell>
        </row>
        <row r="38">
          <cell r="A38">
            <v>43830</v>
          </cell>
          <cell r="B38">
            <v>0</v>
          </cell>
          <cell r="C38">
            <v>445116.12565089995</v>
          </cell>
          <cell r="D38">
            <v>0</v>
          </cell>
          <cell r="E38">
            <v>0</v>
          </cell>
          <cell r="F38">
            <v>207095.2069621</v>
          </cell>
          <cell r="G38">
            <v>0</v>
          </cell>
          <cell r="H38">
            <v>0</v>
          </cell>
          <cell r="I38">
            <v>0</v>
          </cell>
          <cell r="J38">
            <v>0</v>
          </cell>
          <cell r="K38">
            <v>0</v>
          </cell>
          <cell r="L38">
            <v>13805.867999999999</v>
          </cell>
          <cell r="M38">
            <v>0</v>
          </cell>
          <cell r="N38">
            <v>0</v>
          </cell>
          <cell r="O38">
            <v>224215.05068879999</v>
          </cell>
          <cell r="P38">
            <v>0</v>
          </cell>
          <cell r="Q38">
            <v>0</v>
          </cell>
          <cell r="R38">
            <v>0</v>
          </cell>
          <cell r="S38">
            <v>0</v>
          </cell>
          <cell r="T38">
            <v>0</v>
          </cell>
          <cell r="U38">
            <v>0</v>
          </cell>
        </row>
        <row r="39">
          <cell r="A39">
            <v>44196</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40178</v>
          </cell>
          <cell r="B47">
            <v>0</v>
          </cell>
          <cell r="C47">
            <v>0</v>
          </cell>
          <cell r="F47">
            <v>0</v>
          </cell>
          <cell r="I47">
            <v>0</v>
          </cell>
          <cell r="L47">
            <v>0</v>
          </cell>
          <cell r="O47">
            <v>0</v>
          </cell>
          <cell r="R47">
            <v>0</v>
          </cell>
          <cell r="U47">
            <v>0</v>
          </cell>
        </row>
        <row r="48">
          <cell r="A48">
            <v>40543</v>
          </cell>
          <cell r="B48">
            <v>0</v>
          </cell>
          <cell r="C48">
            <v>4228603.1936835498</v>
          </cell>
          <cell r="F48">
            <v>1967404.4661399499</v>
          </cell>
          <cell r="I48">
            <v>0</v>
          </cell>
          <cell r="L48">
            <v>131155.74599999998</v>
          </cell>
          <cell r="O48">
            <v>2130042.9815435996</v>
          </cell>
          <cell r="R48">
            <v>0</v>
          </cell>
          <cell r="U48">
            <v>0</v>
          </cell>
        </row>
        <row r="49">
          <cell r="A49">
            <v>40908</v>
          </cell>
          <cell r="B49">
            <v>0</v>
          </cell>
          <cell r="C49">
            <v>3783487.0680326493</v>
          </cell>
          <cell r="F49">
            <v>1760309.2591778499</v>
          </cell>
          <cell r="I49">
            <v>0</v>
          </cell>
          <cell r="L49">
            <v>117349.87799999998</v>
          </cell>
          <cell r="O49">
            <v>1905827.9308547997</v>
          </cell>
          <cell r="R49">
            <v>0</v>
          </cell>
          <cell r="U49">
            <v>0</v>
          </cell>
        </row>
        <row r="50">
          <cell r="A50">
            <v>41274</v>
          </cell>
          <cell r="B50">
            <v>0</v>
          </cell>
          <cell r="C50">
            <v>3338370.9423817499</v>
          </cell>
          <cell r="F50">
            <v>1553214.0522157499</v>
          </cell>
          <cell r="I50">
            <v>0</v>
          </cell>
          <cell r="L50">
            <v>103544.00999999998</v>
          </cell>
          <cell r="O50">
            <v>1681612.8801659998</v>
          </cell>
          <cell r="R50">
            <v>0</v>
          </cell>
          <cell r="U50">
            <v>0</v>
          </cell>
        </row>
        <row r="51">
          <cell r="A51">
            <v>41639</v>
          </cell>
          <cell r="B51">
            <v>0</v>
          </cell>
          <cell r="C51">
            <v>2893254.8167308494</v>
          </cell>
          <cell r="F51">
            <v>1346118.8452536499</v>
          </cell>
          <cell r="I51">
            <v>0</v>
          </cell>
          <cell r="L51">
            <v>89738.141999999978</v>
          </cell>
          <cell r="O51">
            <v>1457397.8294771998</v>
          </cell>
          <cell r="R51">
            <v>0</v>
          </cell>
          <cell r="U51">
            <v>0</v>
          </cell>
        </row>
        <row r="52">
          <cell r="A52">
            <v>42004</v>
          </cell>
          <cell r="B52">
            <v>0</v>
          </cell>
          <cell r="C52">
            <v>2448138.69107995</v>
          </cell>
          <cell r="F52">
            <v>1139023.6382915499</v>
          </cell>
          <cell r="I52">
            <v>0</v>
          </cell>
          <cell r="L52">
            <v>75932.273999999976</v>
          </cell>
          <cell r="O52">
            <v>1233182.7787883999</v>
          </cell>
          <cell r="R52">
            <v>0</v>
          </cell>
          <cell r="U52">
            <v>0</v>
          </cell>
        </row>
        <row r="53">
          <cell r="A53">
            <v>42369</v>
          </cell>
          <cell r="B53">
            <v>0</v>
          </cell>
          <cell r="C53">
            <v>2003022.5654290498</v>
          </cell>
          <cell r="F53">
            <v>931928.43132944987</v>
          </cell>
          <cell r="I53">
            <v>0</v>
          </cell>
          <cell r="L53">
            <v>62126.405999999974</v>
          </cell>
          <cell r="O53">
            <v>1008967.7280995999</v>
          </cell>
          <cell r="R53">
            <v>0</v>
          </cell>
          <cell r="U53">
            <v>0</v>
          </cell>
        </row>
        <row r="54">
          <cell r="A54">
            <v>42735</v>
          </cell>
          <cell r="B54">
            <v>0</v>
          </cell>
          <cell r="C54">
            <v>1557906.4397781498</v>
          </cell>
          <cell r="F54">
            <v>724833.22436734987</v>
          </cell>
          <cell r="I54">
            <v>0</v>
          </cell>
          <cell r="L54">
            <v>48320.537999999971</v>
          </cell>
          <cell r="O54">
            <v>784752.67741080001</v>
          </cell>
          <cell r="R54">
            <v>0</v>
          </cell>
          <cell r="U54">
            <v>0</v>
          </cell>
        </row>
        <row r="55">
          <cell r="A55">
            <v>43100</v>
          </cell>
          <cell r="B55">
            <v>0</v>
          </cell>
          <cell r="C55">
            <v>1112790.3141272499</v>
          </cell>
          <cell r="F55">
            <v>517738.01740524988</v>
          </cell>
          <cell r="I55">
            <v>0</v>
          </cell>
          <cell r="L55">
            <v>34514.669999999969</v>
          </cell>
          <cell r="O55">
            <v>560537.62672200007</v>
          </cell>
          <cell r="R55">
            <v>0</v>
          </cell>
          <cell r="U55">
            <v>0</v>
          </cell>
        </row>
        <row r="56">
          <cell r="A56">
            <v>43465</v>
          </cell>
          <cell r="B56">
            <v>0</v>
          </cell>
          <cell r="C56">
            <v>667674.18847634993</v>
          </cell>
          <cell r="F56">
            <v>310642.81044314988</v>
          </cell>
          <cell r="I56">
            <v>0</v>
          </cell>
          <cell r="L56">
            <v>20708.801999999971</v>
          </cell>
          <cell r="O56">
            <v>336322.57603320008</v>
          </cell>
          <cell r="R56">
            <v>0</v>
          </cell>
          <cell r="U56">
            <v>0</v>
          </cell>
        </row>
        <row r="57">
          <cell r="A57">
            <v>43830</v>
          </cell>
          <cell r="B57">
            <v>0</v>
          </cell>
          <cell r="C57">
            <v>222558.06282544995</v>
          </cell>
          <cell r="F57">
            <v>103547.60348104988</v>
          </cell>
          <cell r="I57">
            <v>0</v>
          </cell>
          <cell r="L57">
            <v>6902.933999999972</v>
          </cell>
          <cell r="O57">
            <v>112107.52534440008</v>
          </cell>
          <cell r="R57">
            <v>0</v>
          </cell>
          <cell r="U57">
            <v>0</v>
          </cell>
        </row>
        <row r="58">
          <cell r="A58">
            <v>44196</v>
          </cell>
          <cell r="B58">
            <v>0</v>
          </cell>
          <cell r="C58">
            <v>0</v>
          </cell>
          <cell r="F58">
            <v>0</v>
          </cell>
          <cell r="I58">
            <v>0</v>
          </cell>
          <cell r="L58">
            <v>0</v>
          </cell>
          <cell r="O58">
            <v>0</v>
          </cell>
          <cell r="R58">
            <v>0</v>
          </cell>
          <cell r="U58">
            <v>0</v>
          </cell>
        </row>
      </sheetData>
      <sheetData sheetId="22">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40543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40908</v>
          </cell>
          <cell r="B29">
            <v>0</v>
          </cell>
          <cell r="C29">
            <v>84125.6</v>
          </cell>
          <cell r="D29">
            <v>0</v>
          </cell>
          <cell r="E29">
            <v>0</v>
          </cell>
          <cell r="F29">
            <v>0</v>
          </cell>
          <cell r="G29">
            <v>0</v>
          </cell>
          <cell r="H29">
            <v>0</v>
          </cell>
          <cell r="I29">
            <v>0</v>
          </cell>
          <cell r="J29">
            <v>0</v>
          </cell>
          <cell r="K29">
            <v>0</v>
          </cell>
          <cell r="L29">
            <v>0</v>
          </cell>
          <cell r="M29">
            <v>0</v>
          </cell>
          <cell r="N29">
            <v>0</v>
          </cell>
          <cell r="O29">
            <v>84125.6</v>
          </cell>
          <cell r="P29">
            <v>0</v>
          </cell>
          <cell r="Q29">
            <v>0</v>
          </cell>
          <cell r="R29">
            <v>0</v>
          </cell>
          <cell r="S29">
            <v>0</v>
          </cell>
          <cell r="T29">
            <v>0</v>
          </cell>
          <cell r="U29">
            <v>0</v>
          </cell>
        </row>
        <row r="30">
          <cell r="A30">
            <v>41274</v>
          </cell>
          <cell r="B30">
            <v>0</v>
          </cell>
          <cell r="C30">
            <v>84125.6</v>
          </cell>
          <cell r="D30">
            <v>0</v>
          </cell>
          <cell r="E30">
            <v>0</v>
          </cell>
          <cell r="F30">
            <v>0</v>
          </cell>
          <cell r="G30">
            <v>0</v>
          </cell>
          <cell r="H30">
            <v>0</v>
          </cell>
          <cell r="I30">
            <v>0</v>
          </cell>
          <cell r="J30">
            <v>0</v>
          </cell>
          <cell r="K30">
            <v>0</v>
          </cell>
          <cell r="L30">
            <v>0</v>
          </cell>
          <cell r="M30">
            <v>0</v>
          </cell>
          <cell r="N30">
            <v>0</v>
          </cell>
          <cell r="O30">
            <v>84125.6</v>
          </cell>
          <cell r="P30">
            <v>0</v>
          </cell>
          <cell r="Q30">
            <v>0</v>
          </cell>
          <cell r="R30">
            <v>0</v>
          </cell>
          <cell r="S30">
            <v>0</v>
          </cell>
          <cell r="T30">
            <v>0</v>
          </cell>
          <cell r="U30">
            <v>0</v>
          </cell>
        </row>
        <row r="31">
          <cell r="A31">
            <v>41639</v>
          </cell>
          <cell r="B31">
            <v>0</v>
          </cell>
          <cell r="C31">
            <v>84125.6</v>
          </cell>
          <cell r="D31">
            <v>0</v>
          </cell>
          <cell r="E31">
            <v>0</v>
          </cell>
          <cell r="F31">
            <v>0</v>
          </cell>
          <cell r="G31">
            <v>0</v>
          </cell>
          <cell r="H31">
            <v>0</v>
          </cell>
          <cell r="I31">
            <v>0</v>
          </cell>
          <cell r="J31">
            <v>0</v>
          </cell>
          <cell r="K31">
            <v>0</v>
          </cell>
          <cell r="L31">
            <v>0</v>
          </cell>
          <cell r="M31">
            <v>0</v>
          </cell>
          <cell r="N31">
            <v>0</v>
          </cell>
          <cell r="O31">
            <v>84125.6</v>
          </cell>
          <cell r="P31">
            <v>0</v>
          </cell>
          <cell r="Q31">
            <v>0</v>
          </cell>
          <cell r="R31">
            <v>0</v>
          </cell>
          <cell r="S31">
            <v>0</v>
          </cell>
          <cell r="T31">
            <v>0</v>
          </cell>
          <cell r="U31">
            <v>0</v>
          </cell>
        </row>
        <row r="32">
          <cell r="A32">
            <v>42004</v>
          </cell>
          <cell r="B32">
            <v>0</v>
          </cell>
          <cell r="C32">
            <v>84125.6</v>
          </cell>
          <cell r="D32">
            <v>0</v>
          </cell>
          <cell r="E32">
            <v>0</v>
          </cell>
          <cell r="F32">
            <v>0</v>
          </cell>
          <cell r="G32">
            <v>0</v>
          </cell>
          <cell r="H32">
            <v>0</v>
          </cell>
          <cell r="I32">
            <v>0</v>
          </cell>
          <cell r="J32">
            <v>0</v>
          </cell>
          <cell r="K32">
            <v>0</v>
          </cell>
          <cell r="L32">
            <v>0</v>
          </cell>
          <cell r="M32">
            <v>0</v>
          </cell>
          <cell r="N32">
            <v>0</v>
          </cell>
          <cell r="O32">
            <v>84125.6</v>
          </cell>
          <cell r="P32">
            <v>0</v>
          </cell>
          <cell r="Q32">
            <v>0</v>
          </cell>
          <cell r="R32">
            <v>0</v>
          </cell>
          <cell r="S32">
            <v>0</v>
          </cell>
          <cell r="T32">
            <v>0</v>
          </cell>
          <cell r="U32">
            <v>0</v>
          </cell>
        </row>
        <row r="33">
          <cell r="A33">
            <v>42369</v>
          </cell>
          <cell r="B33">
            <v>0</v>
          </cell>
          <cell r="C33">
            <v>84125.6</v>
          </cell>
          <cell r="D33">
            <v>0</v>
          </cell>
          <cell r="E33">
            <v>0</v>
          </cell>
          <cell r="F33">
            <v>0</v>
          </cell>
          <cell r="G33">
            <v>0</v>
          </cell>
          <cell r="H33">
            <v>0</v>
          </cell>
          <cell r="I33">
            <v>0</v>
          </cell>
          <cell r="J33">
            <v>0</v>
          </cell>
          <cell r="K33">
            <v>0</v>
          </cell>
          <cell r="L33">
            <v>0</v>
          </cell>
          <cell r="M33">
            <v>0</v>
          </cell>
          <cell r="N33">
            <v>0</v>
          </cell>
          <cell r="O33">
            <v>84125.6</v>
          </cell>
          <cell r="P33">
            <v>0</v>
          </cell>
          <cell r="Q33">
            <v>0</v>
          </cell>
          <cell r="R33">
            <v>0</v>
          </cell>
          <cell r="S33">
            <v>0</v>
          </cell>
          <cell r="T33">
            <v>0</v>
          </cell>
          <cell r="U33">
            <v>0</v>
          </cell>
        </row>
        <row r="34">
          <cell r="A34">
            <v>42735</v>
          </cell>
          <cell r="B34">
            <v>0</v>
          </cell>
          <cell r="C34">
            <v>84125.6</v>
          </cell>
          <cell r="D34">
            <v>0</v>
          </cell>
          <cell r="E34">
            <v>0</v>
          </cell>
          <cell r="F34">
            <v>0</v>
          </cell>
          <cell r="G34">
            <v>0</v>
          </cell>
          <cell r="H34">
            <v>0</v>
          </cell>
          <cell r="I34">
            <v>0</v>
          </cell>
          <cell r="J34">
            <v>0</v>
          </cell>
          <cell r="K34">
            <v>0</v>
          </cell>
          <cell r="L34">
            <v>0</v>
          </cell>
          <cell r="M34">
            <v>0</v>
          </cell>
          <cell r="N34">
            <v>0</v>
          </cell>
          <cell r="O34">
            <v>84125.6</v>
          </cell>
          <cell r="P34">
            <v>0</v>
          </cell>
          <cell r="Q34">
            <v>0</v>
          </cell>
          <cell r="R34">
            <v>0</v>
          </cell>
          <cell r="S34">
            <v>0</v>
          </cell>
          <cell r="T34">
            <v>0</v>
          </cell>
          <cell r="U34">
            <v>0</v>
          </cell>
        </row>
        <row r="35">
          <cell r="A35">
            <v>43100</v>
          </cell>
          <cell r="B35">
            <v>0</v>
          </cell>
          <cell r="C35">
            <v>84125.6</v>
          </cell>
          <cell r="D35">
            <v>0</v>
          </cell>
          <cell r="E35">
            <v>0</v>
          </cell>
          <cell r="F35">
            <v>0</v>
          </cell>
          <cell r="G35">
            <v>0</v>
          </cell>
          <cell r="H35">
            <v>0</v>
          </cell>
          <cell r="I35">
            <v>0</v>
          </cell>
          <cell r="J35">
            <v>0</v>
          </cell>
          <cell r="K35">
            <v>0</v>
          </cell>
          <cell r="L35">
            <v>0</v>
          </cell>
          <cell r="M35">
            <v>0</v>
          </cell>
          <cell r="N35">
            <v>0</v>
          </cell>
          <cell r="O35">
            <v>84125.6</v>
          </cell>
          <cell r="P35">
            <v>0</v>
          </cell>
          <cell r="Q35">
            <v>0</v>
          </cell>
          <cell r="R35">
            <v>0</v>
          </cell>
          <cell r="S35">
            <v>0</v>
          </cell>
          <cell r="T35">
            <v>0</v>
          </cell>
          <cell r="U35">
            <v>0</v>
          </cell>
        </row>
        <row r="36">
          <cell r="A36">
            <v>43465</v>
          </cell>
          <cell r="B36">
            <v>0</v>
          </cell>
          <cell r="C36">
            <v>84125.6</v>
          </cell>
          <cell r="D36">
            <v>0</v>
          </cell>
          <cell r="E36">
            <v>0</v>
          </cell>
          <cell r="F36">
            <v>0</v>
          </cell>
          <cell r="G36">
            <v>0</v>
          </cell>
          <cell r="H36">
            <v>0</v>
          </cell>
          <cell r="I36">
            <v>0</v>
          </cell>
          <cell r="J36">
            <v>0</v>
          </cell>
          <cell r="K36">
            <v>0</v>
          </cell>
          <cell r="L36">
            <v>0</v>
          </cell>
          <cell r="M36">
            <v>0</v>
          </cell>
          <cell r="N36">
            <v>0</v>
          </cell>
          <cell r="O36">
            <v>84125.6</v>
          </cell>
          <cell r="P36">
            <v>0</v>
          </cell>
          <cell r="Q36">
            <v>0</v>
          </cell>
          <cell r="R36">
            <v>0</v>
          </cell>
          <cell r="S36">
            <v>0</v>
          </cell>
          <cell r="T36">
            <v>0</v>
          </cell>
          <cell r="U36">
            <v>0</v>
          </cell>
        </row>
        <row r="37">
          <cell r="A37">
            <v>43830</v>
          </cell>
          <cell r="B37">
            <v>0</v>
          </cell>
          <cell r="C37">
            <v>84125.6</v>
          </cell>
          <cell r="D37">
            <v>0</v>
          </cell>
          <cell r="E37">
            <v>0</v>
          </cell>
          <cell r="F37">
            <v>0</v>
          </cell>
          <cell r="G37">
            <v>0</v>
          </cell>
          <cell r="H37">
            <v>0</v>
          </cell>
          <cell r="I37">
            <v>0</v>
          </cell>
          <cell r="J37">
            <v>0</v>
          </cell>
          <cell r="K37">
            <v>0</v>
          </cell>
          <cell r="L37">
            <v>0</v>
          </cell>
          <cell r="M37">
            <v>0</v>
          </cell>
          <cell r="N37">
            <v>0</v>
          </cell>
          <cell r="O37">
            <v>84125.6</v>
          </cell>
          <cell r="P37">
            <v>0</v>
          </cell>
          <cell r="Q37">
            <v>0</v>
          </cell>
          <cell r="R37">
            <v>0</v>
          </cell>
          <cell r="S37">
            <v>0</v>
          </cell>
          <cell r="T37">
            <v>0</v>
          </cell>
          <cell r="U37">
            <v>0</v>
          </cell>
        </row>
        <row r="38">
          <cell r="A38">
            <v>44196</v>
          </cell>
          <cell r="B38">
            <v>0</v>
          </cell>
          <cell r="C38">
            <v>84125.6</v>
          </cell>
          <cell r="D38">
            <v>0</v>
          </cell>
          <cell r="E38">
            <v>0</v>
          </cell>
          <cell r="F38">
            <v>0</v>
          </cell>
          <cell r="G38">
            <v>0</v>
          </cell>
          <cell r="H38">
            <v>0</v>
          </cell>
          <cell r="I38">
            <v>0</v>
          </cell>
          <cell r="J38">
            <v>0</v>
          </cell>
          <cell r="K38">
            <v>0</v>
          </cell>
          <cell r="L38">
            <v>0</v>
          </cell>
          <cell r="M38">
            <v>0</v>
          </cell>
          <cell r="N38">
            <v>0</v>
          </cell>
          <cell r="O38">
            <v>84125.6</v>
          </cell>
          <cell r="P38">
            <v>0</v>
          </cell>
          <cell r="Q38">
            <v>0</v>
          </cell>
          <cell r="R38">
            <v>0</v>
          </cell>
          <cell r="S38">
            <v>0</v>
          </cell>
          <cell r="T38">
            <v>0</v>
          </cell>
          <cell r="U38">
            <v>0</v>
          </cell>
        </row>
        <row r="39">
          <cell r="A39">
            <v>44561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3">
          <cell r="A43">
            <v>37986</v>
          </cell>
          <cell r="B43">
            <v>0</v>
          </cell>
          <cell r="C43">
            <v>0</v>
          </cell>
        </row>
        <row r="44">
          <cell r="A44">
            <v>38352</v>
          </cell>
          <cell r="B44">
            <v>0</v>
          </cell>
          <cell r="C44">
            <v>0</v>
          </cell>
        </row>
        <row r="45">
          <cell r="A45">
            <v>38717</v>
          </cell>
          <cell r="B45">
            <v>0</v>
          </cell>
          <cell r="C45">
            <v>0</v>
          </cell>
          <cell r="F45">
            <v>0</v>
          </cell>
        </row>
        <row r="46">
          <cell r="A46">
            <v>39082</v>
          </cell>
          <cell r="B46">
            <v>0</v>
          </cell>
          <cell r="C46">
            <v>0</v>
          </cell>
          <cell r="F46">
            <v>0</v>
          </cell>
          <cell r="I46">
            <v>0</v>
          </cell>
          <cell r="L46">
            <v>0</v>
          </cell>
          <cell r="O46">
            <v>0</v>
          </cell>
          <cell r="R46">
            <v>0</v>
          </cell>
          <cell r="U46">
            <v>0</v>
          </cell>
        </row>
        <row r="47">
          <cell r="A47">
            <v>40543</v>
          </cell>
          <cell r="B47">
            <v>0</v>
          </cell>
          <cell r="C47">
            <v>0</v>
          </cell>
          <cell r="F47">
            <v>0</v>
          </cell>
          <cell r="I47">
            <v>0</v>
          </cell>
          <cell r="L47">
            <v>0</v>
          </cell>
          <cell r="O47">
            <v>0</v>
          </cell>
          <cell r="R47">
            <v>0</v>
          </cell>
          <cell r="U47">
            <v>0</v>
          </cell>
        </row>
        <row r="48">
          <cell r="A48">
            <v>40908</v>
          </cell>
          <cell r="B48">
            <v>0</v>
          </cell>
          <cell r="C48">
            <v>799193.2</v>
          </cell>
          <cell r="F48">
            <v>0</v>
          </cell>
          <cell r="I48">
            <v>0</v>
          </cell>
          <cell r="L48">
            <v>0</v>
          </cell>
          <cell r="O48">
            <v>799193.2</v>
          </cell>
          <cell r="R48">
            <v>0</v>
          </cell>
          <cell r="U48">
            <v>0</v>
          </cell>
        </row>
        <row r="49">
          <cell r="A49">
            <v>41274</v>
          </cell>
          <cell r="B49">
            <v>0</v>
          </cell>
          <cell r="C49">
            <v>715067.6</v>
          </cell>
          <cell r="F49">
            <v>0</v>
          </cell>
          <cell r="I49">
            <v>0</v>
          </cell>
          <cell r="L49">
            <v>0</v>
          </cell>
          <cell r="O49">
            <v>715067.6</v>
          </cell>
          <cell r="R49">
            <v>0</v>
          </cell>
          <cell r="U49">
            <v>0</v>
          </cell>
        </row>
        <row r="50">
          <cell r="A50">
            <v>41639</v>
          </cell>
          <cell r="B50">
            <v>0</v>
          </cell>
          <cell r="C50">
            <v>630942</v>
          </cell>
          <cell r="F50">
            <v>0</v>
          </cell>
          <cell r="I50">
            <v>0</v>
          </cell>
          <cell r="L50">
            <v>0</v>
          </cell>
          <cell r="O50">
            <v>630942</v>
          </cell>
          <cell r="R50">
            <v>0</v>
          </cell>
          <cell r="U50">
            <v>0</v>
          </cell>
        </row>
        <row r="51">
          <cell r="A51">
            <v>42004</v>
          </cell>
          <cell r="B51">
            <v>0</v>
          </cell>
          <cell r="C51">
            <v>546816.4</v>
          </cell>
          <cell r="F51">
            <v>0</v>
          </cell>
          <cell r="I51">
            <v>0</v>
          </cell>
          <cell r="L51">
            <v>0</v>
          </cell>
          <cell r="O51">
            <v>546816.4</v>
          </cell>
          <cell r="R51">
            <v>0</v>
          </cell>
          <cell r="U51">
            <v>0</v>
          </cell>
        </row>
        <row r="52">
          <cell r="A52">
            <v>42369</v>
          </cell>
          <cell r="B52">
            <v>0</v>
          </cell>
          <cell r="C52">
            <v>462690.80000000005</v>
          </cell>
          <cell r="F52">
            <v>0</v>
          </cell>
          <cell r="I52">
            <v>0</v>
          </cell>
          <cell r="L52">
            <v>0</v>
          </cell>
          <cell r="O52">
            <v>462690.80000000005</v>
          </cell>
          <cell r="R52">
            <v>0</v>
          </cell>
          <cell r="U52">
            <v>0</v>
          </cell>
        </row>
        <row r="53">
          <cell r="A53">
            <v>42735</v>
          </cell>
          <cell r="B53">
            <v>0</v>
          </cell>
          <cell r="C53">
            <v>378565.20000000007</v>
          </cell>
          <cell r="F53">
            <v>0</v>
          </cell>
          <cell r="I53">
            <v>0</v>
          </cell>
          <cell r="L53">
            <v>0</v>
          </cell>
          <cell r="O53">
            <v>378565.20000000007</v>
          </cell>
          <cell r="R53">
            <v>0</v>
          </cell>
          <cell r="U53">
            <v>0</v>
          </cell>
        </row>
        <row r="54">
          <cell r="A54">
            <v>43100</v>
          </cell>
          <cell r="B54">
            <v>0</v>
          </cell>
          <cell r="C54">
            <v>294439.60000000009</v>
          </cell>
          <cell r="F54">
            <v>0</v>
          </cell>
          <cell r="I54">
            <v>0</v>
          </cell>
          <cell r="L54">
            <v>0</v>
          </cell>
          <cell r="O54">
            <v>294439.60000000009</v>
          </cell>
          <cell r="R54">
            <v>0</v>
          </cell>
          <cell r="U54">
            <v>0</v>
          </cell>
        </row>
        <row r="55">
          <cell r="A55">
            <v>43465</v>
          </cell>
          <cell r="B55">
            <v>0</v>
          </cell>
          <cell r="C55">
            <v>210314.00000000009</v>
          </cell>
          <cell r="F55">
            <v>0</v>
          </cell>
          <cell r="I55">
            <v>0</v>
          </cell>
          <cell r="L55">
            <v>0</v>
          </cell>
          <cell r="O55">
            <v>210314.00000000009</v>
          </cell>
          <cell r="R55">
            <v>0</v>
          </cell>
          <cell r="U55">
            <v>0</v>
          </cell>
        </row>
        <row r="56">
          <cell r="A56">
            <v>43830</v>
          </cell>
          <cell r="B56">
            <v>0</v>
          </cell>
          <cell r="C56">
            <v>126188.40000000008</v>
          </cell>
          <cell r="F56">
            <v>0</v>
          </cell>
          <cell r="I56">
            <v>0</v>
          </cell>
          <cell r="L56">
            <v>0</v>
          </cell>
          <cell r="O56">
            <v>126188.40000000008</v>
          </cell>
          <cell r="R56">
            <v>0</v>
          </cell>
          <cell r="U56">
            <v>0</v>
          </cell>
        </row>
        <row r="57">
          <cell r="A57">
            <v>44196</v>
          </cell>
          <cell r="B57">
            <v>0</v>
          </cell>
          <cell r="C57">
            <v>42062.800000000076</v>
          </cell>
          <cell r="F57">
            <v>0</v>
          </cell>
          <cell r="I57">
            <v>0</v>
          </cell>
          <cell r="L57">
            <v>0</v>
          </cell>
          <cell r="O57">
            <v>42062.800000000076</v>
          </cell>
          <cell r="R57">
            <v>0</v>
          </cell>
          <cell r="U57">
            <v>0</v>
          </cell>
        </row>
        <row r="58">
          <cell r="A58">
            <v>44561</v>
          </cell>
          <cell r="B58">
            <v>0</v>
          </cell>
          <cell r="C58">
            <v>0</v>
          </cell>
          <cell r="F58">
            <v>0</v>
          </cell>
          <cell r="I58">
            <v>0</v>
          </cell>
          <cell r="L58">
            <v>0</v>
          </cell>
          <cell r="O58">
            <v>0</v>
          </cell>
          <cell r="R58">
            <v>0</v>
          </cell>
          <cell r="U58">
            <v>0</v>
          </cell>
        </row>
      </sheetData>
      <sheetData sheetId="23">
        <row r="24">
          <cell r="A24">
            <v>37986</v>
          </cell>
          <cell r="B24">
            <v>0</v>
          </cell>
          <cell r="D24">
            <v>0</v>
          </cell>
          <cell r="E24">
            <v>0</v>
          </cell>
          <cell r="F24">
            <v>0</v>
          </cell>
          <cell r="G24">
            <v>0</v>
          </cell>
          <cell r="H24">
            <v>0</v>
          </cell>
          <cell r="I24">
            <v>0</v>
          </cell>
          <cell r="J24">
            <v>0</v>
          </cell>
          <cell r="K24">
            <v>0</v>
          </cell>
          <cell r="M24">
            <v>0</v>
          </cell>
          <cell r="N24">
            <v>0</v>
          </cell>
          <cell r="P24">
            <v>0</v>
          </cell>
          <cell r="Q24">
            <v>0</v>
          </cell>
          <cell r="S24">
            <v>0</v>
          </cell>
          <cell r="T24">
            <v>0</v>
          </cell>
        </row>
        <row r="25">
          <cell r="A25">
            <v>38352</v>
          </cell>
          <cell r="B25">
            <v>0</v>
          </cell>
        </row>
        <row r="26">
          <cell r="A26">
            <v>38717</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v>39082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v>40908</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A29">
            <v>41274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row>
        <row r="30">
          <cell r="A30">
            <v>41639</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row>
        <row r="31">
          <cell r="A31">
            <v>42004</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A32">
            <v>42369</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row>
        <row r="33">
          <cell r="A33">
            <v>42735</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row>
        <row r="34">
          <cell r="A34">
            <v>43100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row>
        <row r="35">
          <cell r="A35">
            <v>43465</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6">
          <cell r="A36">
            <v>43830</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37">
          <cell r="A37">
            <v>44196</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row>
        <row r="38">
          <cell r="A38">
            <v>44561</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row>
        <row r="39">
          <cell r="A39">
            <v>44926</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row>
      </sheetData>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TRANSMISSION"/>
      <sheetName val="Brewster Purchases"/>
      <sheetName val="Statement"/>
      <sheetName val="Reads"/>
    </sheetNames>
    <sheetDataSet>
      <sheetData sheetId="0">
        <row r="8">
          <cell r="C8">
            <v>41456</v>
          </cell>
        </row>
        <row r="11">
          <cell r="C11">
            <v>744</v>
          </cell>
        </row>
        <row r="16">
          <cell r="C16">
            <v>91234</v>
          </cell>
        </row>
        <row r="19">
          <cell r="C19">
            <v>326400</v>
          </cell>
        </row>
        <row r="21">
          <cell r="C21">
            <v>329664</v>
          </cell>
        </row>
        <row r="29">
          <cell r="C29">
            <v>1044</v>
          </cell>
        </row>
        <row r="32">
          <cell r="C32">
            <v>179107</v>
          </cell>
        </row>
        <row r="33">
          <cell r="C33">
            <v>392</v>
          </cell>
        </row>
        <row r="38">
          <cell r="C38">
            <v>652</v>
          </cell>
          <cell r="E38">
            <v>150557</v>
          </cell>
        </row>
        <row r="40">
          <cell r="B40">
            <v>3.3000000000000002E-2</v>
          </cell>
          <cell r="C40">
            <v>22</v>
          </cell>
          <cell r="E40">
            <v>4968</v>
          </cell>
        </row>
        <row r="41">
          <cell r="C41">
            <v>674</v>
          </cell>
          <cell r="E41">
            <v>155525</v>
          </cell>
        </row>
      </sheetData>
      <sheetData sheetId="1">
        <row r="15">
          <cell r="C15">
            <v>1202</v>
          </cell>
        </row>
      </sheetData>
      <sheetData sheetId="2" refreshError="1"/>
      <sheetData sheetId="3" refreshError="1"/>
      <sheetData sheetId="4">
        <row r="1">
          <cell r="F1">
            <v>600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A"/>
      <sheetName val="Appendix B"/>
      <sheetName val="Summary of Rates"/>
      <sheetName val="ATT 1 - ADIT"/>
      <sheetName val="ATT 1a - ADIT"/>
      <sheetName val="ATT 2 - Other Taxes"/>
      <sheetName val="ATT 3 - Revenue Credits"/>
      <sheetName val="ATT 4 - 100 Basis Point ROE"/>
      <sheetName val="ATT 5 - Cost Support"/>
      <sheetName val="ATT 6 - Est &amp; Reconcile WS"/>
      <sheetName val="Att 7 - Trans Enhance Charge"/>
      <sheetName val="ATT 8 - Depreciation Rates"/>
      <sheetName val="ATT 9a - Load Divisor"/>
      <sheetName val="ATT 9a1 - Load current year"/>
      <sheetName val="ATT 9a2 - Load one year prior"/>
      <sheetName val="ATT 9a3 - Load two years prior"/>
      <sheetName val="ATT 10 - Acc Amort of PIS"/>
      <sheetName val="ATT 11 - Prepayments"/>
      <sheetName val="ATT 12 - Plant Held Future Use"/>
      <sheetName val="ATT 13 - Revenue Credit Detail"/>
      <sheetName val="ATT 14-Cost of Capital Detail"/>
      <sheetName val="ATT 15 - GSU and Assoc'd Equip"/>
      <sheetName val="ATT 16 - Unfunded Reserves"/>
      <sheetName val="ATT 17 - PBOP"/>
      <sheetName val="Inputs"/>
      <sheetName val="PIS true-up"/>
      <sheetName val="FERC Form 1 data"/>
      <sheetName val="PIS projection"/>
      <sheetName val="Gateway PIS monthly"/>
    </sheetNames>
    <sheetDataSet>
      <sheetData sheetId="0" refreshError="1">
        <row r="6">
          <cell r="H6">
            <v>2012</v>
          </cell>
        </row>
        <row r="7">
          <cell r="H7" t="str">
            <v>Projection</v>
          </cell>
        </row>
        <row r="18">
          <cell r="H18">
            <v>7.3398818350960335E-2</v>
          </cell>
        </row>
        <row r="30">
          <cell r="H30">
            <v>0.21851176882254517</v>
          </cell>
        </row>
        <row r="33">
          <cell r="H33">
            <v>0.24176082444075614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6">
          <cell r="D16">
            <v>151699035</v>
          </cell>
          <cell r="E16">
            <v>160882952</v>
          </cell>
          <cell r="F16" t="str">
            <v>114.14c</v>
          </cell>
        </row>
        <row r="17">
          <cell r="D17">
            <v>-1874204</v>
          </cell>
          <cell r="E17">
            <v>-1851300</v>
          </cell>
          <cell r="F17" t="str">
            <v>114.19c</v>
          </cell>
        </row>
        <row r="18">
          <cell r="D18">
            <v>20136120</v>
          </cell>
          <cell r="E18">
            <v>22657380.059999999</v>
          </cell>
          <cell r="F18" t="str">
            <v>214.47d</v>
          </cell>
        </row>
        <row r="20">
          <cell r="D20">
            <v>4500418059</v>
          </cell>
          <cell r="E20">
            <v>4724913520</v>
          </cell>
          <cell r="F20" t="str">
            <v>207.58g</v>
          </cell>
        </row>
        <row r="21">
          <cell r="D21">
            <v>5487299014</v>
          </cell>
          <cell r="E21">
            <v>5678900414</v>
          </cell>
          <cell r="F21" t="str">
            <v>206.75b</v>
          </cell>
        </row>
        <row r="22">
          <cell r="D22">
            <v>5678900414</v>
          </cell>
          <cell r="E22">
            <v>5852985088</v>
          </cell>
          <cell r="F22" t="str">
            <v>207.75g</v>
          </cell>
        </row>
        <row r="23">
          <cell r="D23">
            <v>847651696</v>
          </cell>
          <cell r="E23">
            <v>853462120</v>
          </cell>
          <cell r="F23" t="str">
            <v>204.5b</v>
          </cell>
        </row>
        <row r="24">
          <cell r="D24">
            <v>853462120</v>
          </cell>
          <cell r="E24">
            <v>854419426</v>
          </cell>
          <cell r="F24" t="str">
            <v>205.5g</v>
          </cell>
        </row>
        <row r="25">
          <cell r="D25">
            <v>1213647890</v>
          </cell>
          <cell r="E25">
            <v>1316569190</v>
          </cell>
          <cell r="F25" t="str">
            <v>206.99b</v>
          </cell>
        </row>
        <row r="26">
          <cell r="D26">
            <v>1316569190</v>
          </cell>
          <cell r="E26">
            <v>1359148793</v>
          </cell>
          <cell r="F26" t="str">
            <v>207.99g</v>
          </cell>
        </row>
        <row r="27">
          <cell r="D27">
            <v>9892359008</v>
          </cell>
          <cell r="E27">
            <v>10420953789</v>
          </cell>
          <cell r="F27" t="str">
            <v>204.46b</v>
          </cell>
        </row>
        <row r="28">
          <cell r="D28">
            <v>10420953789</v>
          </cell>
          <cell r="E28">
            <v>10942646469</v>
          </cell>
          <cell r="F28" t="str">
            <v>205.46g</v>
          </cell>
        </row>
        <row r="29">
          <cell r="D29">
            <v>779590</v>
          </cell>
          <cell r="E29">
            <v>0</v>
          </cell>
          <cell r="F29" t="str">
            <v>207.102g</v>
          </cell>
        </row>
        <row r="31">
          <cell r="D31">
            <v>1224958546</v>
          </cell>
          <cell r="E31">
            <v>1285912340</v>
          </cell>
          <cell r="F31" t="str">
            <v>219.25c</v>
          </cell>
        </row>
        <row r="32">
          <cell r="D32">
            <v>2160071159</v>
          </cell>
          <cell r="E32">
            <v>2268075733</v>
          </cell>
          <cell r="F32" t="str">
            <v>219.26c</v>
          </cell>
        </row>
        <row r="33">
          <cell r="D33">
            <v>497114808</v>
          </cell>
          <cell r="E33">
            <v>500799794</v>
          </cell>
          <cell r="F33" t="str">
            <v>200.21c</v>
          </cell>
        </row>
        <row r="34">
          <cell r="D34">
            <v>477043369</v>
          </cell>
          <cell r="E34">
            <v>500908590</v>
          </cell>
          <cell r="F34" t="str">
            <v>219.28c</v>
          </cell>
        </row>
        <row r="36">
          <cell r="D36">
            <v>2465684624</v>
          </cell>
          <cell r="E36">
            <v>2505658617</v>
          </cell>
          <cell r="F36" t="str">
            <v>219.20c</v>
          </cell>
        </row>
        <row r="37">
          <cell r="D37">
            <v>0</v>
          </cell>
          <cell r="E37">
            <v>0</v>
          </cell>
          <cell r="F37" t="str">
            <v>219.21c</v>
          </cell>
        </row>
        <row r="38">
          <cell r="D38">
            <v>254117565</v>
          </cell>
          <cell r="E38">
            <v>264903753</v>
          </cell>
          <cell r="F38" t="str">
            <v>219.22c</v>
          </cell>
        </row>
        <row r="39">
          <cell r="D39">
            <v>0</v>
          </cell>
          <cell r="E39">
            <v>0</v>
          </cell>
          <cell r="F39" t="str">
            <v>219.23c</v>
          </cell>
        </row>
        <row r="40">
          <cell r="D40">
            <v>480305750</v>
          </cell>
          <cell r="E40">
            <v>579208388</v>
          </cell>
          <cell r="F40" t="str">
            <v>219.24c</v>
          </cell>
        </row>
        <row r="41">
          <cell r="D41">
            <v>3200107939</v>
          </cell>
          <cell r="E41">
            <v>3349770758</v>
          </cell>
          <cell r="F41" t="str">
            <v>219.20 through 219.24</v>
          </cell>
        </row>
        <row r="43">
          <cell r="D43">
            <v>106787597</v>
          </cell>
          <cell r="E43">
            <v>83816884</v>
          </cell>
          <cell r="F43" t="str">
            <v>227.5c</v>
          </cell>
        </row>
        <row r="44">
          <cell r="D44">
            <v>507347</v>
          </cell>
          <cell r="E44">
            <v>750972</v>
          </cell>
          <cell r="F44" t="str">
            <v>227.8c</v>
          </cell>
        </row>
        <row r="45">
          <cell r="D45">
            <v>0</v>
          </cell>
          <cell r="E45">
            <v>0</v>
          </cell>
          <cell r="F45" t="str">
            <v>227.16c</v>
          </cell>
        </row>
        <row r="46">
          <cell r="D46" t="str">
            <v>manual check</v>
          </cell>
          <cell r="E46" t="str">
            <v>manual check</v>
          </cell>
          <cell r="F46" t="str">
            <v>234.18c</v>
          </cell>
        </row>
        <row r="47">
          <cell r="D47">
            <v>0</v>
          </cell>
          <cell r="E47">
            <v>4045318</v>
          </cell>
          <cell r="F47" t="str">
            <v>266.6b</v>
          </cell>
        </row>
        <row r="48">
          <cell r="D48">
            <v>0</v>
          </cell>
          <cell r="E48">
            <v>2420922</v>
          </cell>
          <cell r="F48" t="str">
            <v>266.6h</v>
          </cell>
        </row>
        <row r="49">
          <cell r="D49">
            <v>0</v>
          </cell>
          <cell r="E49">
            <v>0</v>
          </cell>
          <cell r="F49" t="str">
            <v>321.84b</v>
          </cell>
        </row>
        <row r="50">
          <cell r="D50">
            <v>0</v>
          </cell>
          <cell r="E50">
            <v>0</v>
          </cell>
          <cell r="F50" t="str">
            <v>321.85b</v>
          </cell>
        </row>
        <row r="51">
          <cell r="D51">
            <v>7794035</v>
          </cell>
          <cell r="E51">
            <v>6733470</v>
          </cell>
          <cell r="F51" t="str">
            <v>321.86b</v>
          </cell>
        </row>
        <row r="52">
          <cell r="D52">
            <v>0</v>
          </cell>
          <cell r="E52">
            <v>0</v>
          </cell>
          <cell r="F52" t="str">
            <v>321.87b</v>
          </cell>
        </row>
        <row r="53">
          <cell r="D53">
            <v>0</v>
          </cell>
          <cell r="E53">
            <v>239500</v>
          </cell>
          <cell r="F53" t="str">
            <v>321.88b</v>
          </cell>
        </row>
        <row r="54">
          <cell r="D54">
            <v>984307</v>
          </cell>
          <cell r="E54">
            <v>850396</v>
          </cell>
          <cell r="F54" t="str">
            <v>321.89b</v>
          </cell>
        </row>
        <row r="55">
          <cell r="D55">
            <v>138234854</v>
          </cell>
          <cell r="E55">
            <v>142125115</v>
          </cell>
          <cell r="F55" t="str">
            <v>321.96b</v>
          </cell>
        </row>
        <row r="56">
          <cell r="D56">
            <v>204716008</v>
          </cell>
          <cell r="E56">
            <v>206484082</v>
          </cell>
          <cell r="F56" t="str">
            <v>321.112b</v>
          </cell>
        </row>
        <row r="57">
          <cell r="D57">
            <v>24984814</v>
          </cell>
          <cell r="E57">
            <v>16404849</v>
          </cell>
          <cell r="F57" t="str">
            <v>323.185b</v>
          </cell>
        </row>
        <row r="58">
          <cell r="D58">
            <v>21857100</v>
          </cell>
          <cell r="E58">
            <v>22965972</v>
          </cell>
          <cell r="F58" t="str">
            <v>323.189b</v>
          </cell>
        </row>
        <row r="59">
          <cell r="D59">
            <v>5360</v>
          </cell>
          <cell r="E59">
            <v>4948</v>
          </cell>
          <cell r="F59" t="str">
            <v>323.191b</v>
          </cell>
        </row>
        <row r="60">
          <cell r="D60">
            <v>152657357</v>
          </cell>
          <cell r="E60">
            <v>188239678</v>
          </cell>
          <cell r="F60" t="str">
            <v>323.197b</v>
          </cell>
        </row>
        <row r="61">
          <cell r="D61">
            <v>38609300</v>
          </cell>
          <cell r="E61">
            <v>41692182</v>
          </cell>
          <cell r="F61" t="str">
            <v>336.1d</v>
          </cell>
        </row>
        <row r="62">
          <cell r="D62">
            <v>0</v>
          </cell>
          <cell r="E62">
            <v>0</v>
          </cell>
          <cell r="F62" t="str">
            <v>336.1e</v>
          </cell>
        </row>
        <row r="63">
          <cell r="D63">
            <v>84271946</v>
          </cell>
          <cell r="E63">
            <v>86537884</v>
          </cell>
          <cell r="F63" t="str">
            <v>336.7b</v>
          </cell>
        </row>
        <row r="64">
          <cell r="D64">
            <v>0</v>
          </cell>
          <cell r="E64">
            <v>0</v>
          </cell>
          <cell r="F64" t="str">
            <v>336.7d</v>
          </cell>
        </row>
        <row r="65">
          <cell r="D65">
            <v>36082214</v>
          </cell>
          <cell r="E65">
            <v>38203550</v>
          </cell>
          <cell r="F65" t="str">
            <v>336.10b</v>
          </cell>
        </row>
        <row r="66">
          <cell r="D66">
            <v>3340933</v>
          </cell>
          <cell r="E66">
            <v>2357362</v>
          </cell>
          <cell r="F66" t="str">
            <v>336.10d</v>
          </cell>
        </row>
        <row r="67">
          <cell r="E67">
            <v>2043517</v>
          </cell>
          <cell r="F67" t="str">
            <v>350.32d</v>
          </cell>
        </row>
        <row r="68">
          <cell r="E68">
            <v>2983740</v>
          </cell>
          <cell r="F68" t="str">
            <v>350.33d</v>
          </cell>
        </row>
        <row r="69">
          <cell r="E69">
            <v>757804</v>
          </cell>
          <cell r="F69" t="str">
            <v>350.34d</v>
          </cell>
        </row>
        <row r="70">
          <cell r="E70">
            <v>365986</v>
          </cell>
          <cell r="F70" t="str">
            <v>350.35d</v>
          </cell>
        </row>
        <row r="71">
          <cell r="D71">
            <v>22707903</v>
          </cell>
          <cell r="E71">
            <v>23499915</v>
          </cell>
          <cell r="F71" t="str">
            <v>354.21b</v>
          </cell>
        </row>
        <row r="72">
          <cell r="D72">
            <v>41949915</v>
          </cell>
          <cell r="E72">
            <v>43097996</v>
          </cell>
          <cell r="F72" t="str">
            <v>354.27b</v>
          </cell>
        </row>
        <row r="73">
          <cell r="D73">
            <v>357213635</v>
          </cell>
          <cell r="E73">
            <v>363265480</v>
          </cell>
          <cell r="F73" t="str">
            <v>354.28b</v>
          </cell>
        </row>
      </sheetData>
      <sheetData sheetId="25" refreshError="1"/>
      <sheetData sheetId="26" refreshError="1">
        <row r="6">
          <cell r="B6" t="str">
            <v>ID</v>
          </cell>
          <cell r="C6" t="str">
            <v>ff1_page</v>
          </cell>
          <cell r="D6" t="str">
            <v>ff1_line</v>
          </cell>
          <cell r="E6" t="str">
            <v>ff1_col</v>
          </cell>
          <cell r="F6" t="str">
            <v>ff1_map</v>
          </cell>
          <cell r="G6" t="str">
            <v>column_name</v>
          </cell>
          <cell r="H6">
            <v>2008</v>
          </cell>
          <cell r="I6">
            <v>2009</v>
          </cell>
          <cell r="J6">
            <v>2010</v>
          </cell>
          <cell r="K6">
            <v>2011</v>
          </cell>
          <cell r="L6">
            <v>2012</v>
          </cell>
        </row>
        <row r="7">
          <cell r="B7">
            <v>13</v>
          </cell>
          <cell r="C7">
            <v>114</v>
          </cell>
          <cell r="D7">
            <v>14</v>
          </cell>
          <cell r="E7" t="str">
            <v>c</v>
          </cell>
          <cell r="F7" t="str">
            <v>114.14c</v>
          </cell>
          <cell r="G7" t="str">
            <v>current_yr_total</v>
          </cell>
          <cell r="H7">
            <v>112424490</v>
          </cell>
          <cell r="I7">
            <v>123877487</v>
          </cell>
          <cell r="J7">
            <v>136550272</v>
          </cell>
          <cell r="K7">
            <v>151699035</v>
          </cell>
          <cell r="L7">
            <v>160882952</v>
          </cell>
        </row>
        <row r="8">
          <cell r="B8">
            <v>14</v>
          </cell>
          <cell r="C8">
            <v>114</v>
          </cell>
          <cell r="D8">
            <v>19</v>
          </cell>
          <cell r="E8" t="str">
            <v>c</v>
          </cell>
          <cell r="F8" t="str">
            <v>114.19c</v>
          </cell>
          <cell r="G8" t="str">
            <v>current_yr_total</v>
          </cell>
          <cell r="H8">
            <v>-1874204</v>
          </cell>
          <cell r="I8">
            <v>-1874204</v>
          </cell>
          <cell r="J8">
            <v>-1874204</v>
          </cell>
          <cell r="K8">
            <v>-1874204</v>
          </cell>
          <cell r="L8">
            <v>-1851300</v>
          </cell>
        </row>
        <row r="9">
          <cell r="B9">
            <v>24</v>
          </cell>
          <cell r="C9">
            <v>200</v>
          </cell>
          <cell r="D9">
            <v>21</v>
          </cell>
          <cell r="E9" t="str">
            <v>c</v>
          </cell>
          <cell r="F9" t="str">
            <v>200.21c</v>
          </cell>
          <cell r="G9" t="str">
            <v>amt2</v>
          </cell>
          <cell r="H9">
            <v>414958634</v>
          </cell>
          <cell r="I9">
            <v>439600000</v>
          </cell>
          <cell r="J9">
            <v>471575613</v>
          </cell>
          <cell r="K9">
            <v>497114808</v>
          </cell>
          <cell r="L9">
            <v>500799794</v>
          </cell>
        </row>
        <row r="10">
          <cell r="B10">
            <v>25</v>
          </cell>
          <cell r="C10">
            <v>204</v>
          </cell>
          <cell r="D10">
            <v>5</v>
          </cell>
          <cell r="E10" t="str">
            <v>b</v>
          </cell>
          <cell r="F10" t="str">
            <v>204.5b</v>
          </cell>
          <cell r="G10" t="str">
            <v>begin_yr_bal</v>
          </cell>
          <cell r="J10">
            <v>752435770</v>
          </cell>
          <cell r="K10">
            <v>847651696</v>
          </cell>
          <cell r="L10">
            <v>853462120</v>
          </cell>
        </row>
        <row r="11">
          <cell r="B11">
            <v>26</v>
          </cell>
          <cell r="C11">
            <v>204</v>
          </cell>
          <cell r="D11">
            <v>5</v>
          </cell>
          <cell r="E11" t="str">
            <v>g</v>
          </cell>
          <cell r="F11" t="str">
            <v>204.5g</v>
          </cell>
          <cell r="G11" t="str">
            <v>yr_end_bal</v>
          </cell>
          <cell r="J11">
            <v>847651696</v>
          </cell>
          <cell r="K11">
            <v>853462120</v>
          </cell>
          <cell r="L11">
            <v>854419426</v>
          </cell>
        </row>
        <row r="12">
          <cell r="B12">
            <v>27</v>
          </cell>
          <cell r="C12">
            <v>204</v>
          </cell>
          <cell r="D12">
            <v>46</v>
          </cell>
          <cell r="E12" t="str">
            <v>b</v>
          </cell>
          <cell r="F12" t="str">
            <v>204.46b</v>
          </cell>
          <cell r="G12" t="str">
            <v>begin_yr_bal</v>
          </cell>
          <cell r="J12">
            <v>9012810574</v>
          </cell>
          <cell r="K12">
            <v>9892359008</v>
          </cell>
          <cell r="L12">
            <v>10420953789</v>
          </cell>
        </row>
        <row r="13">
          <cell r="B13">
            <v>28</v>
          </cell>
          <cell r="C13">
            <v>205</v>
          </cell>
          <cell r="D13">
            <v>46</v>
          </cell>
          <cell r="E13" t="str">
            <v>g</v>
          </cell>
          <cell r="F13" t="str">
            <v>205.46g</v>
          </cell>
          <cell r="G13" t="str">
            <v>yr_end_bal</v>
          </cell>
          <cell r="J13">
            <v>9892359008</v>
          </cell>
          <cell r="K13">
            <v>10420953789</v>
          </cell>
          <cell r="L13">
            <v>10942646469</v>
          </cell>
        </row>
        <row r="14">
          <cell r="B14">
            <v>29</v>
          </cell>
          <cell r="C14">
            <v>205</v>
          </cell>
          <cell r="D14">
            <v>5</v>
          </cell>
          <cell r="E14" t="str">
            <v>g</v>
          </cell>
          <cell r="F14" t="str">
            <v>205.5g</v>
          </cell>
          <cell r="G14" t="str">
            <v>yr_end_bal</v>
          </cell>
          <cell r="H14">
            <v>721245705</v>
          </cell>
          <cell r="I14">
            <v>752435770</v>
          </cell>
          <cell r="J14">
            <v>847651696</v>
          </cell>
          <cell r="K14">
            <v>853462120</v>
          </cell>
          <cell r="L14">
            <v>854419426</v>
          </cell>
        </row>
        <row r="15">
          <cell r="B15">
            <v>30</v>
          </cell>
          <cell r="C15">
            <v>206</v>
          </cell>
          <cell r="D15">
            <v>58</v>
          </cell>
          <cell r="E15" t="str">
            <v>g</v>
          </cell>
          <cell r="F15" t="str">
            <v>206.58g</v>
          </cell>
          <cell r="G15" t="str">
            <v>yr_end_bal</v>
          </cell>
          <cell r="H15">
            <v>3054528950</v>
          </cell>
          <cell r="I15">
            <v>3342913921</v>
          </cell>
          <cell r="J15">
            <v>4339114233</v>
          </cell>
          <cell r="K15">
            <v>4500418059</v>
          </cell>
          <cell r="L15">
            <v>4724913520</v>
          </cell>
        </row>
        <row r="16">
          <cell r="B16">
            <v>31</v>
          </cell>
          <cell r="C16">
            <v>206</v>
          </cell>
          <cell r="D16">
            <v>75</v>
          </cell>
          <cell r="E16" t="str">
            <v>b</v>
          </cell>
          <cell r="F16" t="str">
            <v>206.75b</v>
          </cell>
          <cell r="G16" t="str">
            <v>begin_yr_bal</v>
          </cell>
          <cell r="J16">
            <v>5328574836</v>
          </cell>
          <cell r="K16">
            <v>5487299014</v>
          </cell>
          <cell r="L16">
            <v>5678900414</v>
          </cell>
        </row>
        <row r="17">
          <cell r="B17">
            <v>32</v>
          </cell>
          <cell r="C17">
            <v>207</v>
          </cell>
          <cell r="D17">
            <v>75</v>
          </cell>
          <cell r="E17" t="str">
            <v>g</v>
          </cell>
          <cell r="F17" t="str">
            <v>207.75g</v>
          </cell>
          <cell r="G17" t="str">
            <v>yr_end_bal</v>
          </cell>
          <cell r="J17">
            <v>5487299014</v>
          </cell>
          <cell r="K17">
            <v>5678900414</v>
          </cell>
          <cell r="L17">
            <v>5852985088</v>
          </cell>
        </row>
        <row r="18">
          <cell r="B18">
            <v>33</v>
          </cell>
          <cell r="C18">
            <v>206</v>
          </cell>
          <cell r="D18">
            <v>99</v>
          </cell>
          <cell r="E18" t="str">
            <v>b</v>
          </cell>
          <cell r="F18" t="str">
            <v>206.99b</v>
          </cell>
          <cell r="G18" t="str">
            <v>begin_yr_bal</v>
          </cell>
          <cell r="J18">
            <v>1205830225</v>
          </cell>
          <cell r="K18">
            <v>1213647890</v>
          </cell>
          <cell r="L18">
            <v>1316569190</v>
          </cell>
        </row>
        <row r="19">
          <cell r="B19">
            <v>34</v>
          </cell>
          <cell r="C19">
            <v>207</v>
          </cell>
          <cell r="D19">
            <v>99</v>
          </cell>
          <cell r="E19" t="str">
            <v>g</v>
          </cell>
          <cell r="F19" t="str">
            <v>207.99g</v>
          </cell>
          <cell r="G19" t="str">
            <v>yr_end_bal</v>
          </cell>
          <cell r="J19">
            <v>1213647890</v>
          </cell>
          <cell r="K19">
            <v>1316569190</v>
          </cell>
          <cell r="L19">
            <v>1359148793</v>
          </cell>
        </row>
        <row r="20">
          <cell r="B20">
            <v>27</v>
          </cell>
          <cell r="C20">
            <v>207</v>
          </cell>
          <cell r="D20">
            <v>46</v>
          </cell>
          <cell r="E20" t="str">
            <v>g</v>
          </cell>
          <cell r="F20" t="str">
            <v>207.46g</v>
          </cell>
          <cell r="G20" t="str">
            <v>yr_end_bal</v>
          </cell>
          <cell r="H20">
            <v>0</v>
          </cell>
          <cell r="I20">
            <v>9012810574</v>
          </cell>
          <cell r="J20">
            <v>9892359008</v>
          </cell>
          <cell r="K20">
            <v>10420953789</v>
          </cell>
          <cell r="L20">
            <v>10942646469</v>
          </cell>
        </row>
        <row r="21">
          <cell r="B21">
            <v>28</v>
          </cell>
          <cell r="C21">
            <v>207</v>
          </cell>
          <cell r="D21">
            <v>58</v>
          </cell>
          <cell r="E21" t="str">
            <v>g</v>
          </cell>
          <cell r="F21" t="str">
            <v>207.58g</v>
          </cell>
          <cell r="G21" t="str">
            <v>yr_end_bal</v>
          </cell>
          <cell r="H21">
            <v>3054528950</v>
          </cell>
          <cell r="I21">
            <v>3342913921</v>
          </cell>
          <cell r="J21">
            <v>4339114233</v>
          </cell>
          <cell r="K21">
            <v>4500418059</v>
          </cell>
          <cell r="L21">
            <v>4724913520</v>
          </cell>
        </row>
        <row r="22">
          <cell r="B22">
            <v>29</v>
          </cell>
          <cell r="C22">
            <v>207</v>
          </cell>
          <cell r="D22">
            <v>94</v>
          </cell>
          <cell r="E22" t="str">
            <v>g</v>
          </cell>
          <cell r="F22" t="str">
            <v>207.94g</v>
          </cell>
          <cell r="G22" t="str">
            <v>yr_end_bal</v>
          </cell>
          <cell r="H22">
            <v>0</v>
          </cell>
          <cell r="I22">
            <v>246182036</v>
          </cell>
          <cell r="J22">
            <v>259841810</v>
          </cell>
          <cell r="K22">
            <v>298389515</v>
          </cell>
          <cell r="L22">
            <v>344747037</v>
          </cell>
        </row>
        <row r="23">
          <cell r="B23">
            <v>30</v>
          </cell>
          <cell r="C23">
            <v>207</v>
          </cell>
          <cell r="D23">
            <v>99</v>
          </cell>
          <cell r="E23" t="str">
            <v>g</v>
          </cell>
          <cell r="F23" t="str">
            <v>207.99g</v>
          </cell>
          <cell r="G23" t="str">
            <v>yr_end_bal</v>
          </cell>
          <cell r="H23">
            <v>1197249133</v>
          </cell>
          <cell r="I23">
            <v>1205830225</v>
          </cell>
          <cell r="J23">
            <v>1213647890</v>
          </cell>
          <cell r="K23">
            <v>1316569190</v>
          </cell>
          <cell r="L23">
            <v>1359148793</v>
          </cell>
        </row>
        <row r="24">
          <cell r="C24">
            <v>207</v>
          </cell>
          <cell r="D24">
            <v>102</v>
          </cell>
          <cell r="E24" t="str">
            <v>g</v>
          </cell>
          <cell r="F24" t="str">
            <v>207.102g</v>
          </cell>
          <cell r="G24" t="str">
            <v>yr_end_bal</v>
          </cell>
          <cell r="K24" t="e">
            <v>#N/A</v>
          </cell>
          <cell r="L24">
            <v>0</v>
          </cell>
        </row>
        <row r="25">
          <cell r="B25">
            <v>31</v>
          </cell>
          <cell r="C25">
            <v>207</v>
          </cell>
          <cell r="D25">
            <v>104</v>
          </cell>
          <cell r="E25" t="str">
            <v>g</v>
          </cell>
          <cell r="F25" t="str">
            <v>207.104g</v>
          </cell>
          <cell r="G25" t="str">
            <v>yr_end_bal</v>
          </cell>
          <cell r="H25">
            <v>18224942831</v>
          </cell>
          <cell r="I25">
            <v>19645568742</v>
          </cell>
          <cell r="J25">
            <v>21775587040</v>
          </cell>
          <cell r="K25" t="e">
            <v>#N/A</v>
          </cell>
          <cell r="L25" t="e">
            <v>#N/A</v>
          </cell>
        </row>
        <row r="26">
          <cell r="B26">
            <v>32</v>
          </cell>
          <cell r="C26">
            <v>214</v>
          </cell>
          <cell r="D26">
            <v>47</v>
          </cell>
          <cell r="E26" t="str">
            <v>d</v>
          </cell>
          <cell r="F26" t="str">
            <v>214.47d</v>
          </cell>
          <cell r="G26" t="str">
            <v>balance</v>
          </cell>
          <cell r="H26">
            <v>15074557</v>
          </cell>
          <cell r="I26">
            <v>13674549</v>
          </cell>
          <cell r="J26">
            <v>17678149</v>
          </cell>
          <cell r="K26">
            <v>20136120</v>
          </cell>
          <cell r="L26">
            <v>22657380.059999999</v>
          </cell>
        </row>
        <row r="27">
          <cell r="C27">
            <v>219</v>
          </cell>
          <cell r="D27">
            <v>20</v>
          </cell>
          <cell r="E27" t="str">
            <v>c</v>
          </cell>
          <cell r="F27" t="str">
            <v>219.20c</v>
          </cell>
          <cell r="G27" t="str">
            <v>electric_plant</v>
          </cell>
          <cell r="K27">
            <v>2465684624</v>
          </cell>
          <cell r="L27">
            <v>2505658617</v>
          </cell>
        </row>
        <row r="28">
          <cell r="C28">
            <v>219</v>
          </cell>
          <cell r="D28">
            <v>21</v>
          </cell>
          <cell r="E28" t="str">
            <v>c</v>
          </cell>
          <cell r="F28" t="str">
            <v>219.21c</v>
          </cell>
          <cell r="G28" t="str">
            <v>electric_plant</v>
          </cell>
          <cell r="K28">
            <v>0</v>
          </cell>
          <cell r="L28">
            <v>0</v>
          </cell>
        </row>
        <row r="29">
          <cell r="C29">
            <v>219</v>
          </cell>
          <cell r="D29">
            <v>22</v>
          </cell>
          <cell r="E29" t="str">
            <v>c</v>
          </cell>
          <cell r="F29" t="str">
            <v>219.22c</v>
          </cell>
          <cell r="G29" t="str">
            <v>electric_plant</v>
          </cell>
          <cell r="K29">
            <v>254117565</v>
          </cell>
          <cell r="L29">
            <v>264903753</v>
          </cell>
        </row>
        <row r="30">
          <cell r="C30">
            <v>219</v>
          </cell>
          <cell r="D30">
            <v>23</v>
          </cell>
          <cell r="E30" t="str">
            <v>c</v>
          </cell>
          <cell r="F30" t="str">
            <v>219.23c</v>
          </cell>
          <cell r="G30" t="str">
            <v>electric_plant</v>
          </cell>
          <cell r="K30">
            <v>0</v>
          </cell>
          <cell r="L30">
            <v>0</v>
          </cell>
        </row>
        <row r="31">
          <cell r="C31">
            <v>219</v>
          </cell>
          <cell r="D31">
            <v>24</v>
          </cell>
          <cell r="E31" t="str">
            <v>c</v>
          </cell>
          <cell r="F31" t="str">
            <v>219.24c</v>
          </cell>
          <cell r="G31" t="str">
            <v>electric_plant</v>
          </cell>
          <cell r="K31">
            <v>480305750</v>
          </cell>
          <cell r="L31">
            <v>579208388</v>
          </cell>
        </row>
        <row r="32">
          <cell r="B32">
            <v>33</v>
          </cell>
          <cell r="C32">
            <v>219</v>
          </cell>
          <cell r="D32">
            <v>25</v>
          </cell>
          <cell r="E32" t="str">
            <v>c</v>
          </cell>
          <cell r="F32" t="str">
            <v>219.25c</v>
          </cell>
          <cell r="G32" t="str">
            <v>electric_plant</v>
          </cell>
          <cell r="H32">
            <v>1097506323</v>
          </cell>
          <cell r="I32">
            <v>1142839345</v>
          </cell>
          <cell r="J32">
            <v>1172814664</v>
          </cell>
          <cell r="K32">
            <v>1224958546</v>
          </cell>
          <cell r="L32">
            <v>1285912340</v>
          </cell>
        </row>
        <row r="33">
          <cell r="B33">
            <v>34</v>
          </cell>
          <cell r="C33">
            <v>219</v>
          </cell>
          <cell r="D33">
            <v>26</v>
          </cell>
          <cell r="E33" t="str">
            <v>c</v>
          </cell>
          <cell r="F33" t="str">
            <v>219.26c</v>
          </cell>
          <cell r="G33" t="str">
            <v>electric_plant</v>
          </cell>
          <cell r="I33">
            <v>2003524851</v>
          </cell>
          <cell r="J33">
            <v>2072617011</v>
          </cell>
          <cell r="K33">
            <v>2160071159</v>
          </cell>
          <cell r="L33">
            <v>2268075733</v>
          </cell>
        </row>
        <row r="34">
          <cell r="B34">
            <v>35</v>
          </cell>
          <cell r="C34">
            <v>219</v>
          </cell>
          <cell r="D34">
            <v>28</v>
          </cell>
          <cell r="E34" t="str">
            <v>c</v>
          </cell>
          <cell r="F34" t="str">
            <v>219.28c</v>
          </cell>
          <cell r="G34" t="str">
            <v>electric_plant</v>
          </cell>
          <cell r="H34">
            <v>474745184</v>
          </cell>
          <cell r="I34">
            <v>467966146</v>
          </cell>
          <cell r="J34">
            <v>446986081</v>
          </cell>
          <cell r="K34">
            <v>477043369</v>
          </cell>
          <cell r="L34">
            <v>500908590</v>
          </cell>
        </row>
        <row r="35">
          <cell r="B35">
            <v>36</v>
          </cell>
          <cell r="C35">
            <v>219</v>
          </cell>
          <cell r="D35">
            <v>29</v>
          </cell>
          <cell r="E35" t="str">
            <v>c</v>
          </cell>
          <cell r="F35" t="str">
            <v>219.29c</v>
          </cell>
          <cell r="G35" t="str">
            <v>electric_plant</v>
          </cell>
          <cell r="H35">
            <v>6343121197</v>
          </cell>
          <cell r="I35">
            <v>6663897531</v>
          </cell>
          <cell r="J35">
            <v>6893664705</v>
          </cell>
          <cell r="K35">
            <v>7062181013</v>
          </cell>
          <cell r="L35">
            <v>7404667421</v>
          </cell>
        </row>
        <row r="36">
          <cell r="B36">
            <v>38</v>
          </cell>
          <cell r="C36">
            <v>227</v>
          </cell>
          <cell r="D36">
            <v>5</v>
          </cell>
          <cell r="E36" t="str">
            <v>c</v>
          </cell>
          <cell r="F36" t="str">
            <v>227.5c</v>
          </cell>
          <cell r="G36" t="str">
            <v>yr_end_bal</v>
          </cell>
          <cell r="H36">
            <v>76746318</v>
          </cell>
          <cell r="I36">
            <v>69236794</v>
          </cell>
          <cell r="J36">
            <v>71053270</v>
          </cell>
          <cell r="K36">
            <v>106787597</v>
          </cell>
          <cell r="L36">
            <v>83816884</v>
          </cell>
        </row>
        <row r="37">
          <cell r="B37">
            <v>40</v>
          </cell>
          <cell r="C37">
            <v>227</v>
          </cell>
          <cell r="D37">
            <v>8</v>
          </cell>
          <cell r="E37" t="str">
            <v>c</v>
          </cell>
          <cell r="F37" t="str">
            <v>227.8c</v>
          </cell>
          <cell r="G37" t="str">
            <v>yr_end_bal</v>
          </cell>
          <cell r="H37">
            <v>497646</v>
          </cell>
          <cell r="I37">
            <v>838582</v>
          </cell>
          <cell r="J37">
            <v>718031</v>
          </cell>
          <cell r="K37">
            <v>507347</v>
          </cell>
          <cell r="L37">
            <v>750972</v>
          </cell>
        </row>
        <row r="38">
          <cell r="B38">
            <v>41</v>
          </cell>
          <cell r="C38">
            <v>227</v>
          </cell>
          <cell r="D38">
            <v>16</v>
          </cell>
          <cell r="E38" t="str">
            <v>c</v>
          </cell>
          <cell r="F38" t="str">
            <v>227.16c</v>
          </cell>
          <cell r="G38" t="str">
            <v>yr_end_bal</v>
          </cell>
          <cell r="H38">
            <v>0</v>
          </cell>
          <cell r="I38">
            <v>0</v>
          </cell>
          <cell r="J38">
            <v>0</v>
          </cell>
          <cell r="K38">
            <v>0</v>
          </cell>
          <cell r="L38">
            <v>0</v>
          </cell>
        </row>
        <row r="39">
          <cell r="C39">
            <v>266</v>
          </cell>
          <cell r="D39">
            <v>6</v>
          </cell>
          <cell r="E39" t="str">
            <v>b</v>
          </cell>
          <cell r="F39" t="str">
            <v>266.6b</v>
          </cell>
          <cell r="L39">
            <v>4045318</v>
          </cell>
        </row>
        <row r="40">
          <cell r="C40">
            <v>266</v>
          </cell>
          <cell r="D40">
            <v>6</v>
          </cell>
          <cell r="E40" t="str">
            <v>h</v>
          </cell>
          <cell r="F40" t="str">
            <v>266.6h</v>
          </cell>
          <cell r="L40">
            <v>2420922</v>
          </cell>
        </row>
        <row r="41">
          <cell r="B41">
            <v>65</v>
          </cell>
          <cell r="C41">
            <v>266</v>
          </cell>
          <cell r="D41">
            <v>8</v>
          </cell>
          <cell r="E41" t="str">
            <v>f</v>
          </cell>
          <cell r="F41" t="str">
            <v>266.8f</v>
          </cell>
          <cell r="G41" t="str">
            <v>crnt_alloc_amt</v>
          </cell>
          <cell r="H41">
            <v>3498656</v>
          </cell>
          <cell r="I41">
            <v>3498656</v>
          </cell>
          <cell r="J41">
            <v>3498656</v>
          </cell>
          <cell r="K41">
            <v>3498656</v>
          </cell>
          <cell r="L41">
            <v>3475696</v>
          </cell>
        </row>
        <row r="42">
          <cell r="B42">
            <v>66</v>
          </cell>
          <cell r="C42">
            <v>275</v>
          </cell>
          <cell r="D42">
            <v>2</v>
          </cell>
          <cell r="E42" t="str">
            <v>k</v>
          </cell>
          <cell r="F42" t="str">
            <v>275.2k</v>
          </cell>
          <cell r="G42" t="str">
            <v>end_yr_bal</v>
          </cell>
          <cell r="H42">
            <v>1654239715</v>
          </cell>
          <cell r="I42">
            <v>2379614172</v>
          </cell>
          <cell r="J42">
            <v>3330234891</v>
          </cell>
          <cell r="K42">
            <v>3505053651</v>
          </cell>
          <cell r="L42">
            <v>3796825280</v>
          </cell>
        </row>
        <row r="43">
          <cell r="B43">
            <v>67</v>
          </cell>
          <cell r="C43">
            <v>275</v>
          </cell>
          <cell r="D43">
            <v>2</v>
          </cell>
          <cell r="E43" t="str">
            <v>k</v>
          </cell>
          <cell r="F43" t="str">
            <v>275.2k</v>
          </cell>
          <cell r="G43" t="str">
            <v>end_yr_bal</v>
          </cell>
          <cell r="H43">
            <v>1654239715</v>
          </cell>
          <cell r="I43">
            <v>2379614172</v>
          </cell>
          <cell r="J43">
            <v>3330234891</v>
          </cell>
          <cell r="K43">
            <v>3505053651</v>
          </cell>
          <cell r="L43">
            <v>3796825280</v>
          </cell>
        </row>
        <row r="44">
          <cell r="B44">
            <v>68</v>
          </cell>
          <cell r="C44">
            <v>275</v>
          </cell>
          <cell r="D44">
            <v>4</v>
          </cell>
          <cell r="E44" t="str">
            <v>k</v>
          </cell>
          <cell r="F44" t="str">
            <v>275.4k</v>
          </cell>
          <cell r="G44" t="str">
            <v>end_yr_bal</v>
          </cell>
          <cell r="H44">
            <v>439741785</v>
          </cell>
          <cell r="I44">
            <v>422169291</v>
          </cell>
          <cell r="J44">
            <v>0</v>
          </cell>
          <cell r="K44">
            <v>0</v>
          </cell>
          <cell r="L44">
            <v>0</v>
          </cell>
        </row>
        <row r="45">
          <cell r="B45">
            <v>69</v>
          </cell>
          <cell r="C45">
            <v>275</v>
          </cell>
          <cell r="D45">
            <v>5</v>
          </cell>
          <cell r="E45" t="str">
            <v>k</v>
          </cell>
          <cell r="F45" t="str">
            <v>275.5k</v>
          </cell>
          <cell r="G45" t="str">
            <v>end_yr_bal</v>
          </cell>
          <cell r="H45">
            <v>2093981500</v>
          </cell>
          <cell r="I45">
            <v>2801783463</v>
          </cell>
          <cell r="J45">
            <v>3330234891</v>
          </cell>
          <cell r="K45">
            <v>3505053651</v>
          </cell>
          <cell r="L45">
            <v>3796825280</v>
          </cell>
        </row>
        <row r="46">
          <cell r="B46">
            <v>70</v>
          </cell>
          <cell r="C46">
            <v>275</v>
          </cell>
          <cell r="D46">
            <v>5</v>
          </cell>
          <cell r="E46" t="str">
            <v>k</v>
          </cell>
          <cell r="F46" t="str">
            <v>275.5k</v>
          </cell>
          <cell r="G46" t="str">
            <v>end_yr_bal</v>
          </cell>
          <cell r="H46">
            <v>2093981500</v>
          </cell>
          <cell r="I46">
            <v>2801783463</v>
          </cell>
          <cell r="J46">
            <v>3330234891</v>
          </cell>
          <cell r="K46">
            <v>3505053651</v>
          </cell>
          <cell r="L46">
            <v>3796825280</v>
          </cell>
        </row>
        <row r="47">
          <cell r="B47">
            <v>71</v>
          </cell>
          <cell r="C47">
            <v>275</v>
          </cell>
          <cell r="D47">
            <v>6</v>
          </cell>
          <cell r="E47" t="str">
            <v>k</v>
          </cell>
          <cell r="F47" t="str">
            <v>275.6k</v>
          </cell>
          <cell r="G47" t="str">
            <v>end_yr_bal</v>
          </cell>
          <cell r="H47">
            <v>1743433</v>
          </cell>
          <cell r="I47">
            <v>871716</v>
          </cell>
          <cell r="J47">
            <v>0</v>
          </cell>
          <cell r="K47">
            <v>0</v>
          </cell>
          <cell r="L47">
            <v>0</v>
          </cell>
        </row>
        <row r="48">
          <cell r="B48">
            <v>72</v>
          </cell>
          <cell r="C48">
            <v>275</v>
          </cell>
          <cell r="D48">
            <v>9</v>
          </cell>
          <cell r="E48" t="str">
            <v>k</v>
          </cell>
          <cell r="F48" t="str">
            <v>275.9k</v>
          </cell>
          <cell r="G48" t="str">
            <v>end_yr_bal</v>
          </cell>
          <cell r="H48">
            <v>2095724933</v>
          </cell>
          <cell r="I48">
            <v>2802655179</v>
          </cell>
          <cell r="J48">
            <v>3330234891</v>
          </cell>
          <cell r="K48">
            <v>3505053651</v>
          </cell>
          <cell r="L48">
            <v>3796825280</v>
          </cell>
        </row>
        <row r="49">
          <cell r="B49">
            <v>73</v>
          </cell>
          <cell r="C49">
            <v>277</v>
          </cell>
          <cell r="D49">
            <v>2</v>
          </cell>
          <cell r="E49" t="str">
            <v>k</v>
          </cell>
          <cell r="F49" t="str">
            <v>277.2k</v>
          </cell>
          <cell r="G49" t="str">
            <v>end_yr_bal</v>
          </cell>
          <cell r="H49">
            <v>0</v>
          </cell>
          <cell r="I49">
            <v>0</v>
          </cell>
          <cell r="J49">
            <v>0</v>
          </cell>
          <cell r="K49">
            <v>0</v>
          </cell>
          <cell r="L49">
            <v>0</v>
          </cell>
        </row>
        <row r="50">
          <cell r="B50">
            <v>74</v>
          </cell>
          <cell r="C50">
            <v>277</v>
          </cell>
          <cell r="D50">
            <v>3</v>
          </cell>
          <cell r="E50" t="str">
            <v>k</v>
          </cell>
          <cell r="F50" t="str">
            <v>277.3k</v>
          </cell>
          <cell r="G50" t="str">
            <v>end_yr_bal</v>
          </cell>
          <cell r="H50">
            <v>272206813</v>
          </cell>
          <cell r="I50">
            <v>276867448</v>
          </cell>
          <cell r="J50">
            <v>649677709</v>
          </cell>
          <cell r="K50">
            <v>649677709</v>
          </cell>
          <cell r="L50">
            <v>695709590</v>
          </cell>
        </row>
        <row r="51">
          <cell r="B51">
            <v>75</v>
          </cell>
          <cell r="C51">
            <v>277</v>
          </cell>
          <cell r="D51">
            <v>5</v>
          </cell>
          <cell r="E51" t="str">
            <v>k</v>
          </cell>
          <cell r="F51" t="str">
            <v>277.5k</v>
          </cell>
          <cell r="G51" t="str">
            <v>end_yr_bal</v>
          </cell>
          <cell r="H51">
            <v>167797360</v>
          </cell>
          <cell r="I51">
            <v>139394628</v>
          </cell>
          <cell r="J51">
            <v>0</v>
          </cell>
          <cell r="K51">
            <v>0</v>
          </cell>
          <cell r="L51">
            <v>0</v>
          </cell>
        </row>
        <row r="52">
          <cell r="B52">
            <v>76</v>
          </cell>
          <cell r="C52">
            <v>277</v>
          </cell>
          <cell r="D52">
            <v>6</v>
          </cell>
          <cell r="E52" t="str">
            <v>k</v>
          </cell>
          <cell r="F52" t="str">
            <v>277.6k</v>
          </cell>
          <cell r="G52" t="str">
            <v>end_yr_bal</v>
          </cell>
          <cell r="H52">
            <v>50755602</v>
          </cell>
          <cell r="I52">
            <v>34637390</v>
          </cell>
          <cell r="J52">
            <v>30841189</v>
          </cell>
          <cell r="K52">
            <v>30841189</v>
          </cell>
          <cell r="L52">
            <v>32351572</v>
          </cell>
        </row>
        <row r="53">
          <cell r="B53">
            <v>77</v>
          </cell>
          <cell r="C53">
            <v>277</v>
          </cell>
          <cell r="D53">
            <v>9</v>
          </cell>
          <cell r="E53" t="str">
            <v>k</v>
          </cell>
          <cell r="F53" t="str">
            <v>277.9k</v>
          </cell>
          <cell r="G53" t="str">
            <v>end_yr_bal</v>
          </cell>
          <cell r="H53">
            <v>490759775</v>
          </cell>
          <cell r="I53">
            <v>450899466</v>
          </cell>
          <cell r="J53">
            <v>680518898</v>
          </cell>
          <cell r="K53">
            <v>680518898</v>
          </cell>
          <cell r="L53">
            <v>728061162</v>
          </cell>
        </row>
        <row r="54">
          <cell r="B54">
            <v>78</v>
          </cell>
          <cell r="C54">
            <v>277</v>
          </cell>
          <cell r="D54">
            <v>9</v>
          </cell>
          <cell r="E54" t="str">
            <v>k</v>
          </cell>
          <cell r="F54" t="str">
            <v>277.9k</v>
          </cell>
          <cell r="G54" t="str">
            <v>end_yr_bal</v>
          </cell>
          <cell r="H54">
            <v>490759775</v>
          </cell>
          <cell r="I54">
            <v>450899466</v>
          </cell>
          <cell r="J54">
            <v>680518898</v>
          </cell>
          <cell r="K54">
            <v>680518898</v>
          </cell>
          <cell r="L54">
            <v>728061162</v>
          </cell>
        </row>
        <row r="55">
          <cell r="B55">
            <v>79</v>
          </cell>
          <cell r="C55">
            <v>277</v>
          </cell>
          <cell r="D55">
            <v>17</v>
          </cell>
          <cell r="E55" t="str">
            <v>k</v>
          </cell>
          <cell r="F55" t="str">
            <v>277.17k</v>
          </cell>
          <cell r="G55" t="str">
            <v>end_yr_bal</v>
          </cell>
          <cell r="H55">
            <v>0</v>
          </cell>
          <cell r="I55">
            <v>0</v>
          </cell>
          <cell r="J55">
            <v>0</v>
          </cell>
          <cell r="K55">
            <v>0</v>
          </cell>
          <cell r="L55">
            <v>0</v>
          </cell>
        </row>
        <row r="56">
          <cell r="B56">
            <v>80</v>
          </cell>
          <cell r="C56">
            <v>277</v>
          </cell>
          <cell r="D56">
            <v>17</v>
          </cell>
          <cell r="E56" t="str">
            <v>k</v>
          </cell>
          <cell r="F56" t="str">
            <v>277.17k</v>
          </cell>
          <cell r="G56" t="str">
            <v>end_yr_bal</v>
          </cell>
          <cell r="H56">
            <v>0</v>
          </cell>
          <cell r="I56">
            <v>0</v>
          </cell>
          <cell r="J56">
            <v>0</v>
          </cell>
          <cell r="K56">
            <v>0</v>
          </cell>
          <cell r="L56">
            <v>0</v>
          </cell>
        </row>
        <row r="57">
          <cell r="B57">
            <v>81</v>
          </cell>
          <cell r="C57">
            <v>277</v>
          </cell>
          <cell r="D57">
            <v>19</v>
          </cell>
          <cell r="E57" t="str">
            <v>k</v>
          </cell>
          <cell r="F57" t="str">
            <v>277.19k</v>
          </cell>
          <cell r="G57" t="str">
            <v>end_yr_bal</v>
          </cell>
          <cell r="H57">
            <v>490759775</v>
          </cell>
          <cell r="I57">
            <v>450899466</v>
          </cell>
          <cell r="J57">
            <v>680518898</v>
          </cell>
          <cell r="K57">
            <v>680518898</v>
          </cell>
          <cell r="L57">
            <v>728061162</v>
          </cell>
        </row>
        <row r="58">
          <cell r="B58">
            <v>96</v>
          </cell>
          <cell r="C58">
            <v>321</v>
          </cell>
          <cell r="D58">
            <v>84</v>
          </cell>
          <cell r="E58" t="str">
            <v>b</v>
          </cell>
          <cell r="F58" t="str">
            <v>321.84b</v>
          </cell>
          <cell r="G58" t="str">
            <v>crnt_yr_amt</v>
          </cell>
          <cell r="H58">
            <v>0</v>
          </cell>
          <cell r="I58">
            <v>0</v>
          </cell>
          <cell r="J58">
            <v>650305</v>
          </cell>
          <cell r="K58">
            <v>0</v>
          </cell>
          <cell r="L58">
            <v>0</v>
          </cell>
        </row>
        <row r="59">
          <cell r="B59">
            <v>97</v>
          </cell>
          <cell r="C59">
            <v>321</v>
          </cell>
          <cell r="D59">
            <v>85</v>
          </cell>
          <cell r="E59" t="str">
            <v>b</v>
          </cell>
          <cell r="F59" t="str">
            <v>321.85b</v>
          </cell>
          <cell r="G59" t="str">
            <v>crnt_yr_amt</v>
          </cell>
          <cell r="H59">
            <v>0</v>
          </cell>
          <cell r="I59">
            <v>0</v>
          </cell>
          <cell r="J59">
            <v>0</v>
          </cell>
          <cell r="K59">
            <v>0</v>
          </cell>
          <cell r="L59">
            <v>0</v>
          </cell>
        </row>
        <row r="60">
          <cell r="B60">
            <v>98</v>
          </cell>
          <cell r="C60">
            <v>321</v>
          </cell>
          <cell r="D60">
            <v>86</v>
          </cell>
          <cell r="E60" t="str">
            <v>b</v>
          </cell>
          <cell r="F60" t="str">
            <v>321.86b</v>
          </cell>
          <cell r="G60" t="str">
            <v>crnt_yr_amt</v>
          </cell>
          <cell r="H60">
            <v>7114390</v>
          </cell>
          <cell r="I60">
            <v>8347455</v>
          </cell>
          <cell r="J60">
            <v>7847328</v>
          </cell>
          <cell r="K60">
            <v>7794035</v>
          </cell>
          <cell r="L60">
            <v>6733470</v>
          </cell>
        </row>
        <row r="61">
          <cell r="B61">
            <v>99</v>
          </cell>
          <cell r="C61">
            <v>321</v>
          </cell>
          <cell r="D61">
            <v>87</v>
          </cell>
          <cell r="E61" t="str">
            <v>b</v>
          </cell>
          <cell r="F61" t="str">
            <v>321.87b</v>
          </cell>
          <cell r="G61" t="str">
            <v>crnt_yr_amt</v>
          </cell>
          <cell r="H61">
            <v>83728</v>
          </cell>
          <cell r="I61">
            <v>0</v>
          </cell>
          <cell r="J61">
            <v>0</v>
          </cell>
          <cell r="K61">
            <v>0</v>
          </cell>
          <cell r="L61">
            <v>0</v>
          </cell>
        </row>
        <row r="62">
          <cell r="B62">
            <v>100</v>
          </cell>
          <cell r="C62">
            <v>321</v>
          </cell>
          <cell r="D62">
            <v>88</v>
          </cell>
          <cell r="E62" t="str">
            <v>b</v>
          </cell>
          <cell r="F62" t="str">
            <v>321.88b</v>
          </cell>
          <cell r="G62" t="str">
            <v>crnt_yr_amt</v>
          </cell>
          <cell r="H62">
            <v>0</v>
          </cell>
          <cell r="I62">
            <v>0</v>
          </cell>
          <cell r="J62">
            <v>0</v>
          </cell>
          <cell r="K62">
            <v>0</v>
          </cell>
          <cell r="L62">
            <v>239500</v>
          </cell>
        </row>
        <row r="63">
          <cell r="B63">
            <v>101</v>
          </cell>
          <cell r="C63">
            <v>321</v>
          </cell>
          <cell r="D63">
            <v>88</v>
          </cell>
          <cell r="E63" t="str">
            <v>b</v>
          </cell>
          <cell r="F63" t="str">
            <v>321.88b</v>
          </cell>
          <cell r="G63" t="str">
            <v>crnt_yr_amt</v>
          </cell>
          <cell r="H63">
            <v>0</v>
          </cell>
          <cell r="I63">
            <v>0</v>
          </cell>
          <cell r="J63">
            <v>0</v>
          </cell>
          <cell r="K63">
            <v>0</v>
          </cell>
          <cell r="L63">
            <v>239500</v>
          </cell>
        </row>
        <row r="64">
          <cell r="B64">
            <v>102</v>
          </cell>
          <cell r="C64">
            <v>321</v>
          </cell>
          <cell r="D64">
            <v>89</v>
          </cell>
          <cell r="E64" t="str">
            <v>b</v>
          </cell>
          <cell r="F64" t="str">
            <v>321.89b</v>
          </cell>
          <cell r="G64" t="str">
            <v>crnt_yr_amt</v>
          </cell>
          <cell r="H64">
            <v>0</v>
          </cell>
          <cell r="I64">
            <v>0</v>
          </cell>
          <cell r="J64">
            <v>816883</v>
          </cell>
          <cell r="K64">
            <v>984307</v>
          </cell>
          <cell r="L64">
            <v>850396</v>
          </cell>
        </row>
        <row r="65">
          <cell r="B65">
            <v>103</v>
          </cell>
          <cell r="C65">
            <v>321</v>
          </cell>
          <cell r="D65">
            <v>92</v>
          </cell>
          <cell r="E65" t="str">
            <v>b</v>
          </cell>
          <cell r="F65" t="str">
            <v>321.92b</v>
          </cell>
          <cell r="G65" t="str">
            <v>crnt_yr_amt</v>
          </cell>
          <cell r="H65">
            <v>0</v>
          </cell>
          <cell r="I65">
            <v>0</v>
          </cell>
          <cell r="J65">
            <v>0</v>
          </cell>
          <cell r="K65">
            <v>0</v>
          </cell>
          <cell r="L65">
            <v>0</v>
          </cell>
        </row>
        <row r="66">
          <cell r="B66">
            <v>104</v>
          </cell>
          <cell r="C66">
            <v>321</v>
          </cell>
          <cell r="D66">
            <v>96</v>
          </cell>
          <cell r="E66" t="str">
            <v>b</v>
          </cell>
          <cell r="F66" t="str">
            <v>321.96b</v>
          </cell>
          <cell r="G66" t="str">
            <v>crnt_yr_amt</v>
          </cell>
          <cell r="H66">
            <v>121167183</v>
          </cell>
          <cell r="I66">
            <v>117161210</v>
          </cell>
          <cell r="J66">
            <v>136854649</v>
          </cell>
          <cell r="K66">
            <v>138234854</v>
          </cell>
          <cell r="L66">
            <v>142125115</v>
          </cell>
        </row>
        <row r="67">
          <cell r="B67">
            <v>105</v>
          </cell>
          <cell r="C67">
            <v>321</v>
          </cell>
          <cell r="D67">
            <v>100</v>
          </cell>
          <cell r="E67" t="str">
            <v>b</v>
          </cell>
          <cell r="F67" t="str">
            <v>321.100b</v>
          </cell>
          <cell r="G67" t="str">
            <v>crnt_yr_amt</v>
          </cell>
          <cell r="H67">
            <v>0</v>
          </cell>
          <cell r="I67">
            <v>0</v>
          </cell>
          <cell r="J67">
            <v>0</v>
          </cell>
          <cell r="K67">
            <v>0</v>
          </cell>
          <cell r="L67">
            <v>0</v>
          </cell>
        </row>
        <row r="68">
          <cell r="B68">
            <v>106</v>
          </cell>
          <cell r="C68">
            <v>321</v>
          </cell>
          <cell r="D68">
            <v>112</v>
          </cell>
          <cell r="E68" t="str">
            <v>b</v>
          </cell>
          <cell r="F68" t="str">
            <v>321.112b</v>
          </cell>
          <cell r="G68" t="str">
            <v>crnt_yr_amt</v>
          </cell>
          <cell r="H68">
            <v>174010394</v>
          </cell>
          <cell r="I68">
            <v>172874522</v>
          </cell>
          <cell r="J68">
            <v>195628269</v>
          </cell>
          <cell r="K68">
            <v>204716008</v>
          </cell>
          <cell r="L68">
            <v>206484082</v>
          </cell>
        </row>
        <row r="69">
          <cell r="B69">
            <v>107</v>
          </cell>
          <cell r="C69">
            <v>323</v>
          </cell>
          <cell r="D69">
            <v>168</v>
          </cell>
          <cell r="E69" t="str">
            <v>b</v>
          </cell>
          <cell r="F69" t="str">
            <v>323.168b</v>
          </cell>
          <cell r="G69" t="str">
            <v>crnt_yr_amt</v>
          </cell>
          <cell r="H69">
            <v>51829080</v>
          </cell>
          <cell r="I69">
            <v>66102006</v>
          </cell>
          <cell r="J69">
            <v>124155800</v>
          </cell>
          <cell r="K69">
            <v>103945691</v>
          </cell>
          <cell r="L69">
            <v>103156102</v>
          </cell>
        </row>
        <row r="70">
          <cell r="B70">
            <v>108</v>
          </cell>
          <cell r="C70">
            <v>323</v>
          </cell>
          <cell r="D70">
            <v>185</v>
          </cell>
          <cell r="E70" t="str">
            <v>b</v>
          </cell>
          <cell r="F70" t="str">
            <v>323.185b</v>
          </cell>
          <cell r="G70" t="str">
            <v>crnt_yr_amt</v>
          </cell>
          <cell r="H70">
            <v>31882383</v>
          </cell>
          <cell r="I70">
            <v>23970317</v>
          </cell>
          <cell r="J70">
            <v>23341430</v>
          </cell>
          <cell r="K70">
            <v>24984814</v>
          </cell>
          <cell r="L70">
            <v>16404849</v>
          </cell>
        </row>
        <row r="71">
          <cell r="B71">
            <v>109</v>
          </cell>
          <cell r="C71">
            <v>323</v>
          </cell>
          <cell r="D71">
            <v>189</v>
          </cell>
          <cell r="E71" t="str">
            <v>b</v>
          </cell>
          <cell r="F71" t="str">
            <v>323.189b</v>
          </cell>
          <cell r="G71" t="str">
            <v>crnt_yr_amt</v>
          </cell>
          <cell r="H71">
            <v>11630262</v>
          </cell>
          <cell r="I71">
            <v>16464747</v>
          </cell>
          <cell r="J71">
            <v>17926840</v>
          </cell>
          <cell r="K71">
            <v>21857100</v>
          </cell>
          <cell r="L71">
            <v>22965972</v>
          </cell>
        </row>
        <row r="72">
          <cell r="B72">
            <v>110</v>
          </cell>
          <cell r="C72">
            <v>323</v>
          </cell>
          <cell r="D72">
            <v>191</v>
          </cell>
          <cell r="E72" t="str">
            <v>b</v>
          </cell>
          <cell r="F72" t="str">
            <v>323.191b</v>
          </cell>
          <cell r="G72" t="str">
            <v>crnt_yr_amt</v>
          </cell>
          <cell r="H72">
            <v>35163</v>
          </cell>
          <cell r="I72">
            <v>35761</v>
          </cell>
          <cell r="J72">
            <v>20382</v>
          </cell>
          <cell r="K72">
            <v>5360</v>
          </cell>
          <cell r="L72">
            <v>4948</v>
          </cell>
        </row>
        <row r="73">
          <cell r="B73">
            <v>111</v>
          </cell>
          <cell r="C73">
            <v>323</v>
          </cell>
          <cell r="D73">
            <v>197</v>
          </cell>
          <cell r="E73" t="str">
            <v>b</v>
          </cell>
          <cell r="F73" t="str">
            <v>323.197b</v>
          </cell>
          <cell r="G73" t="str">
            <v>crnt_yr_amt</v>
          </cell>
          <cell r="H73">
            <v>170044137</v>
          </cell>
          <cell r="I73">
            <v>162619511</v>
          </cell>
          <cell r="J73">
            <v>146076484</v>
          </cell>
          <cell r="K73">
            <v>152657357</v>
          </cell>
          <cell r="L73">
            <v>188239678</v>
          </cell>
        </row>
        <row r="74">
          <cell r="B74">
            <v>112</v>
          </cell>
          <cell r="C74">
            <v>335</v>
          </cell>
          <cell r="D74">
            <v>1</v>
          </cell>
          <cell r="E74" t="str">
            <v>b</v>
          </cell>
          <cell r="F74" t="str">
            <v>335.1b</v>
          </cell>
          <cell r="G74" t="str">
            <v>amount</v>
          </cell>
          <cell r="H74">
            <v>645728</v>
          </cell>
          <cell r="I74">
            <v>1028546</v>
          </cell>
          <cell r="J74">
            <v>1329375</v>
          </cell>
          <cell r="K74">
            <v>2003108</v>
          </cell>
          <cell r="L74">
            <v>1715222</v>
          </cell>
        </row>
        <row r="75">
          <cell r="B75">
            <v>115</v>
          </cell>
          <cell r="C75">
            <v>336</v>
          </cell>
          <cell r="D75">
            <v>1</v>
          </cell>
          <cell r="E75" t="str">
            <v>d</v>
          </cell>
          <cell r="F75" t="str">
            <v>336.1d</v>
          </cell>
          <cell r="G75" t="str">
            <v>limterm_elc_plnt</v>
          </cell>
          <cell r="H75">
            <v>37623410</v>
          </cell>
          <cell r="I75">
            <v>29820783</v>
          </cell>
          <cell r="J75">
            <v>31747938</v>
          </cell>
          <cell r="K75">
            <v>38609300</v>
          </cell>
          <cell r="L75">
            <v>41692182</v>
          </cell>
        </row>
        <row r="76">
          <cell r="B76">
            <v>116</v>
          </cell>
          <cell r="C76">
            <v>336</v>
          </cell>
          <cell r="D76">
            <v>1</v>
          </cell>
          <cell r="E76" t="str">
            <v>e</v>
          </cell>
          <cell r="F76" t="str">
            <v>336.1e</v>
          </cell>
          <cell r="G76" t="str">
            <v>othr_elc_plnt</v>
          </cell>
          <cell r="H76">
            <v>0</v>
          </cell>
          <cell r="I76">
            <v>0</v>
          </cell>
          <cell r="J76">
            <v>0</v>
          </cell>
          <cell r="K76">
            <v>0</v>
          </cell>
          <cell r="L76">
            <v>0</v>
          </cell>
        </row>
        <row r="77">
          <cell r="B77">
            <v>132</v>
          </cell>
          <cell r="C77">
            <v>336</v>
          </cell>
          <cell r="D77">
            <v>7</v>
          </cell>
          <cell r="E77" t="str">
            <v>b</v>
          </cell>
          <cell r="F77" t="str">
            <v>336.7b</v>
          </cell>
          <cell r="G77" t="str">
            <v>depr_expn</v>
          </cell>
          <cell r="H77">
            <v>58235144</v>
          </cell>
          <cell r="I77">
            <v>62893206</v>
          </cell>
          <cell r="J77">
            <v>71678696</v>
          </cell>
          <cell r="K77">
            <v>84271946</v>
          </cell>
          <cell r="L77">
            <v>86537884</v>
          </cell>
        </row>
        <row r="78">
          <cell r="B78">
            <v>134</v>
          </cell>
          <cell r="C78">
            <v>336</v>
          </cell>
          <cell r="D78">
            <v>7</v>
          </cell>
          <cell r="E78" t="str">
            <v>d</v>
          </cell>
          <cell r="F78" t="str">
            <v>336.7d</v>
          </cell>
          <cell r="G78" t="str">
            <v>limterm_elc_plnt</v>
          </cell>
          <cell r="H78">
            <v>0</v>
          </cell>
          <cell r="I78">
            <v>0</v>
          </cell>
          <cell r="J78">
            <v>0</v>
          </cell>
          <cell r="K78">
            <v>0</v>
          </cell>
          <cell r="L78">
            <v>0</v>
          </cell>
        </row>
        <row r="79">
          <cell r="B79">
            <v>135</v>
          </cell>
          <cell r="C79">
            <v>336</v>
          </cell>
          <cell r="D79">
            <v>10</v>
          </cell>
          <cell r="E79" t="str">
            <v>b</v>
          </cell>
          <cell r="F79" t="str">
            <v>336.10b</v>
          </cell>
          <cell r="G79" t="str">
            <v>depr_expn</v>
          </cell>
          <cell r="H79">
            <v>37989569</v>
          </cell>
          <cell r="I79">
            <v>35397061</v>
          </cell>
          <cell r="J79">
            <v>34325996</v>
          </cell>
          <cell r="K79">
            <v>36082214</v>
          </cell>
          <cell r="L79">
            <v>38203550</v>
          </cell>
        </row>
        <row r="80">
          <cell r="B80">
            <v>137</v>
          </cell>
          <cell r="C80">
            <v>336</v>
          </cell>
          <cell r="D80">
            <v>10</v>
          </cell>
          <cell r="E80" t="str">
            <v>d</v>
          </cell>
          <cell r="F80" t="str">
            <v>336.10d</v>
          </cell>
          <cell r="G80" t="str">
            <v>limterm_elc_plnt</v>
          </cell>
          <cell r="H80">
            <v>2552628</v>
          </cell>
          <cell r="I80">
            <v>2524008</v>
          </cell>
          <cell r="J80">
            <v>2921169</v>
          </cell>
          <cell r="K80">
            <v>3340933</v>
          </cell>
          <cell r="L80">
            <v>2357362</v>
          </cell>
        </row>
        <row r="81">
          <cell r="B81">
            <v>138</v>
          </cell>
          <cell r="C81">
            <v>350</v>
          </cell>
          <cell r="D81">
            <v>30</v>
          </cell>
          <cell r="E81" t="str">
            <v>d</v>
          </cell>
          <cell r="F81" t="str">
            <v>350.30d</v>
          </cell>
          <cell r="G81" t="str">
            <v>tot_expn_to_date</v>
          </cell>
          <cell r="H81">
            <v>1716878</v>
          </cell>
          <cell r="I81">
            <v>1831753</v>
          </cell>
          <cell r="J81">
            <v>1917327</v>
          </cell>
        </row>
        <row r="82">
          <cell r="B82">
            <v>139</v>
          </cell>
          <cell r="C82">
            <v>350</v>
          </cell>
          <cell r="D82">
            <v>31</v>
          </cell>
          <cell r="E82" t="str">
            <v>d</v>
          </cell>
          <cell r="F82" t="str">
            <v>350.31d</v>
          </cell>
          <cell r="G82" t="str">
            <v>tot_expn_to_date</v>
          </cell>
          <cell r="H82">
            <v>183061</v>
          </cell>
          <cell r="I82">
            <v>491725</v>
          </cell>
          <cell r="J82">
            <v>596587</v>
          </cell>
        </row>
        <row r="83">
          <cell r="B83">
            <v>140</v>
          </cell>
          <cell r="C83">
            <v>350</v>
          </cell>
          <cell r="D83">
            <v>32</v>
          </cell>
          <cell r="E83" t="str">
            <v>d</v>
          </cell>
          <cell r="F83" t="str">
            <v>350.32d</v>
          </cell>
          <cell r="G83" t="str">
            <v>tot_expn_to_date</v>
          </cell>
          <cell r="L83">
            <v>2043517</v>
          </cell>
        </row>
        <row r="84">
          <cell r="C84">
            <v>350</v>
          </cell>
          <cell r="D84">
            <v>33</v>
          </cell>
          <cell r="E84" t="str">
            <v>d</v>
          </cell>
          <cell r="F84" t="str">
            <v>350.33d</v>
          </cell>
          <cell r="G84" t="str">
            <v>tot_expn_to_date</v>
          </cell>
          <cell r="L84">
            <v>2983740</v>
          </cell>
        </row>
        <row r="85">
          <cell r="C85">
            <v>350</v>
          </cell>
          <cell r="D85">
            <v>34</v>
          </cell>
          <cell r="E85" t="str">
            <v>d</v>
          </cell>
          <cell r="F85" t="str">
            <v>350.34d</v>
          </cell>
          <cell r="G85" t="str">
            <v>tot_expn_to_date</v>
          </cell>
          <cell r="L85">
            <v>757804</v>
          </cell>
        </row>
        <row r="86">
          <cell r="C86">
            <v>350</v>
          </cell>
          <cell r="D86">
            <v>35</v>
          </cell>
          <cell r="E86" t="str">
            <v>d</v>
          </cell>
          <cell r="F86" t="str">
            <v>350.35d</v>
          </cell>
          <cell r="G86" t="str">
            <v>tot_expn_to_date</v>
          </cell>
          <cell r="L86">
            <v>365986</v>
          </cell>
        </row>
        <row r="87">
          <cell r="B87">
            <v>148</v>
          </cell>
          <cell r="C87">
            <v>354</v>
          </cell>
          <cell r="D87">
            <v>21</v>
          </cell>
          <cell r="E87" t="str">
            <v>b</v>
          </cell>
          <cell r="F87" t="str">
            <v>354.21b</v>
          </cell>
          <cell r="G87" t="str">
            <v>drct_pyrl_dstrbt</v>
          </cell>
          <cell r="H87">
            <v>20976669</v>
          </cell>
          <cell r="I87">
            <v>21701683</v>
          </cell>
          <cell r="J87">
            <v>21424172</v>
          </cell>
          <cell r="K87">
            <v>22707903</v>
          </cell>
          <cell r="L87">
            <v>23499915</v>
          </cell>
        </row>
        <row r="88">
          <cell r="B88">
            <v>151</v>
          </cell>
          <cell r="C88">
            <v>354</v>
          </cell>
          <cell r="D88">
            <v>27</v>
          </cell>
          <cell r="E88" t="str">
            <v>b</v>
          </cell>
          <cell r="F88" t="str">
            <v>354.27b</v>
          </cell>
          <cell r="G88" t="str">
            <v>drct_pyrl_dstrbt</v>
          </cell>
          <cell r="H88">
            <v>39151807</v>
          </cell>
          <cell r="I88">
            <v>6194912</v>
          </cell>
          <cell r="J88">
            <v>39620131</v>
          </cell>
          <cell r="K88">
            <v>41949915</v>
          </cell>
          <cell r="L88">
            <v>43097996</v>
          </cell>
        </row>
        <row r="89">
          <cell r="B89">
            <v>152</v>
          </cell>
          <cell r="C89">
            <v>354</v>
          </cell>
          <cell r="D89">
            <v>28</v>
          </cell>
          <cell r="E89" t="str">
            <v>b</v>
          </cell>
          <cell r="F89" t="str">
            <v>354.28b</v>
          </cell>
          <cell r="G89" t="str">
            <v>drct_pyrl_dstrbt</v>
          </cell>
          <cell r="H89">
            <v>354492178</v>
          </cell>
          <cell r="I89">
            <v>361424755</v>
          </cell>
          <cell r="J89">
            <v>352150935</v>
          </cell>
          <cell r="K89">
            <v>357213635</v>
          </cell>
          <cell r="L89">
            <v>363265480</v>
          </cell>
        </row>
      </sheetData>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 8"/>
      <sheetName val="RR 8 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71057-BB72-4378-BE04-35918C03DE9F}">
  <sheetPr>
    <tabColor rgb="FF00B050"/>
  </sheetPr>
  <dimension ref="A1:CR317"/>
  <sheetViews>
    <sheetView tabSelected="1" view="pageBreakPreview" zoomScaleNormal="60" zoomScaleSheetLayoutView="100" workbookViewId="0">
      <selection activeCell="C18" sqref="C18"/>
    </sheetView>
  </sheetViews>
  <sheetFormatPr defaultColWidth="8.88671875" defaultRowHeight="15"/>
  <cols>
    <col min="1" max="1" width="5.77734375" style="2" customWidth="1"/>
    <col min="2" max="2" width="36.44140625" style="2" customWidth="1"/>
    <col min="3" max="3" width="34.33203125" style="2" customWidth="1"/>
    <col min="4" max="4" width="16.33203125" style="2" customWidth="1"/>
    <col min="5" max="5" width="5.77734375" style="2" customWidth="1"/>
    <col min="6" max="6" width="8.21875" style="2" customWidth="1"/>
    <col min="7" max="7" width="10" style="2" customWidth="1"/>
    <col min="8" max="8" width="4.88671875" style="2" customWidth="1"/>
    <col min="9" max="9" width="16.33203125" style="2" customWidth="1"/>
    <col min="10" max="10" width="2.6640625" style="2" customWidth="1"/>
    <col min="11" max="11" width="11.44140625" style="2" customWidth="1"/>
    <col min="12" max="13" width="9" style="2" customWidth="1"/>
    <col min="14" max="14" width="9" customWidth="1"/>
    <col min="15" max="96" width="10.88671875" customWidth="1"/>
    <col min="97" max="16384" width="8.88671875" style="2"/>
  </cols>
  <sheetData>
    <row r="1" spans="1:11">
      <c r="A1" s="1"/>
      <c r="B1" s="1"/>
      <c r="C1" s="1"/>
      <c r="E1" s="1"/>
      <c r="F1" s="1"/>
      <c r="G1" s="1"/>
      <c r="H1" s="1"/>
      <c r="I1" s="1"/>
      <c r="J1" s="1"/>
      <c r="K1" s="3" t="s">
        <v>0</v>
      </c>
    </row>
    <row r="2" spans="1:11">
      <c r="A2" s="1"/>
      <c r="B2" s="1"/>
      <c r="C2" s="1"/>
      <c r="D2" s="1"/>
      <c r="E2" s="1"/>
      <c r="F2" s="1"/>
      <c r="G2" s="1"/>
      <c r="H2" s="1"/>
      <c r="I2" s="1"/>
      <c r="J2" s="1"/>
      <c r="K2" s="3" t="s">
        <v>1</v>
      </c>
    </row>
    <row r="3" spans="1:11">
      <c r="A3" s="5"/>
      <c r="B3" s="6" t="s">
        <v>2</v>
      </c>
      <c r="C3" s="6"/>
      <c r="D3" s="7" t="s">
        <v>3</v>
      </c>
      <c r="E3" s="6"/>
      <c r="F3" s="6"/>
      <c r="G3" s="6"/>
      <c r="H3" s="6"/>
      <c r="I3" s="8"/>
      <c r="J3" s="9"/>
      <c r="K3" s="10" t="s">
        <v>1184</v>
      </c>
    </row>
    <row r="4" spans="1:11">
      <c r="A4" s="5"/>
      <c r="C4" s="11"/>
      <c r="D4" s="12" t="s">
        <v>4</v>
      </c>
      <c r="E4" s="11"/>
      <c r="F4" s="11"/>
      <c r="G4" s="11"/>
      <c r="H4" s="6"/>
      <c r="I4" s="6"/>
      <c r="J4" s="13"/>
      <c r="K4" s="13"/>
    </row>
    <row r="5" spans="1:11" ht="15.75">
      <c r="A5" s="5"/>
      <c r="B5" s="14"/>
      <c r="C5" s="13"/>
      <c r="D5" s="15" t="s">
        <v>5</v>
      </c>
      <c r="E5" s="13"/>
      <c r="F5" s="13"/>
      <c r="G5" s="13"/>
      <c r="H5" s="13"/>
      <c r="I5" s="13"/>
      <c r="J5" s="13"/>
      <c r="K5" s="13"/>
    </row>
    <row r="6" spans="1:11" ht="15.75">
      <c r="B6" s="14"/>
      <c r="J6" s="16"/>
      <c r="K6" s="16"/>
    </row>
    <row r="7" spans="1:11">
      <c r="A7" s="7"/>
      <c r="C7" s="13"/>
      <c r="D7" s="17"/>
      <c r="E7" s="13"/>
      <c r="F7" s="13"/>
      <c r="G7" s="13"/>
      <c r="H7" s="13"/>
      <c r="I7" s="13"/>
      <c r="J7" s="13"/>
      <c r="K7" s="13"/>
    </row>
    <row r="8" spans="1:11">
      <c r="A8" s="7"/>
      <c r="B8" s="18" t="s">
        <v>6</v>
      </c>
      <c r="C8" s="18" t="s">
        <v>7</v>
      </c>
      <c r="D8" s="18" t="s">
        <v>8</v>
      </c>
      <c r="E8" s="11" t="s">
        <v>9</v>
      </c>
      <c r="F8" s="11"/>
      <c r="G8" s="17" t="s">
        <v>10</v>
      </c>
      <c r="H8" s="11"/>
      <c r="I8" s="17" t="s">
        <v>11</v>
      </c>
      <c r="J8" s="13"/>
      <c r="K8" s="13"/>
    </row>
    <row r="9" spans="1:11">
      <c r="A9" s="7" t="s">
        <v>12</v>
      </c>
      <c r="B9" s="13"/>
      <c r="C9" s="13"/>
      <c r="D9" s="16"/>
      <c r="E9" s="13"/>
      <c r="F9" s="13"/>
      <c r="G9" s="13"/>
      <c r="H9" s="13"/>
      <c r="I9" s="7" t="s">
        <v>13</v>
      </c>
      <c r="J9" s="13"/>
      <c r="K9" s="13"/>
    </row>
    <row r="10" spans="1:11" ht="15.75" thickBot="1">
      <c r="A10" s="19" t="s">
        <v>14</v>
      </c>
      <c r="B10" s="692"/>
      <c r="C10" s="19" t="s">
        <v>15</v>
      </c>
      <c r="D10" s="13"/>
      <c r="E10" s="13"/>
      <c r="F10" s="13"/>
      <c r="G10" s="13"/>
      <c r="H10" s="13"/>
      <c r="I10" s="19" t="s">
        <v>16</v>
      </c>
      <c r="J10" s="13"/>
      <c r="K10" s="13"/>
    </row>
    <row r="11" spans="1:11">
      <c r="A11" s="7">
        <v>1</v>
      </c>
      <c r="B11" s="13" t="s">
        <v>17</v>
      </c>
      <c r="C11" s="13" t="s">
        <v>18</v>
      </c>
      <c r="D11" s="11"/>
      <c r="E11" s="13"/>
      <c r="F11" s="13"/>
      <c r="G11" s="13"/>
      <c r="H11" s="13"/>
      <c r="I11" s="20">
        <f>+I189</f>
        <v>1922743.8792556503</v>
      </c>
      <c r="J11" s="13"/>
      <c r="K11" s="13"/>
    </row>
    <row r="12" spans="1:11">
      <c r="A12" s="7"/>
      <c r="B12" s="13"/>
      <c r="C12" s="13"/>
      <c r="D12" s="13"/>
      <c r="E12" s="13"/>
      <c r="F12" s="13"/>
      <c r="G12" s="13"/>
      <c r="H12" s="13"/>
      <c r="I12" s="11"/>
      <c r="J12" s="13"/>
      <c r="K12" s="13"/>
    </row>
    <row r="13" spans="1:11" ht="15.75" thickBot="1">
      <c r="A13" s="7" t="s">
        <v>9</v>
      </c>
      <c r="B13" s="13" t="s">
        <v>19</v>
      </c>
      <c r="C13" s="11" t="s">
        <v>20</v>
      </c>
      <c r="D13" s="19" t="s">
        <v>21</v>
      </c>
      <c r="E13" s="11"/>
      <c r="F13" s="21" t="s">
        <v>22</v>
      </c>
      <c r="G13" s="21"/>
      <c r="H13" s="13"/>
      <c r="I13" s="11"/>
      <c r="J13" s="13"/>
      <c r="K13" s="13"/>
    </row>
    <row r="14" spans="1:11">
      <c r="A14" s="7">
        <f>+A11+1</f>
        <v>2</v>
      </c>
      <c r="B14" s="13" t="s">
        <v>23</v>
      </c>
      <c r="C14" s="11" t="str">
        <f>"(Page 4, Line "&amp;A240&amp;")"</f>
        <v>(Page 4, Line 34)</v>
      </c>
      <c r="D14" s="22">
        <f>I240</f>
        <v>0</v>
      </c>
      <c r="E14" s="11"/>
      <c r="F14" s="11" t="s">
        <v>24</v>
      </c>
      <c r="G14" s="22">
        <v>1</v>
      </c>
      <c r="H14" s="23"/>
      <c r="I14" s="22">
        <f>+G14*D14</f>
        <v>0</v>
      </c>
      <c r="J14" s="13"/>
      <c r="K14" s="13"/>
    </row>
    <row r="15" spans="1:11">
      <c r="A15" s="7" t="s">
        <v>25</v>
      </c>
      <c r="B15" s="13" t="s">
        <v>26</v>
      </c>
      <c r="C15" s="11" t="str">
        <f>"(Page 4, Line "&amp;A242&amp;")"</f>
        <v>(Page 4, Line 34a)</v>
      </c>
      <c r="D15" s="22">
        <f>I242</f>
        <v>0</v>
      </c>
      <c r="E15" s="11"/>
      <c r="F15" s="11" t="s">
        <v>24</v>
      </c>
      <c r="G15" s="22">
        <v>1</v>
      </c>
      <c r="H15" s="23"/>
      <c r="I15" s="22">
        <f>+G15*D15</f>
        <v>0</v>
      </c>
      <c r="J15" s="13"/>
      <c r="K15" s="13"/>
    </row>
    <row r="16" spans="1:11">
      <c r="A16" s="7">
        <f>+A14+1</f>
        <v>3</v>
      </c>
      <c r="B16" s="13" t="s">
        <v>27</v>
      </c>
      <c r="C16" s="11" t="str">
        <f>"(Page 4, Line "&amp;A249&amp;")"</f>
        <v>(Page 4, Line 37)</v>
      </c>
      <c r="D16" s="22">
        <f>I249</f>
        <v>0</v>
      </c>
      <c r="E16" s="11"/>
      <c r="F16" s="11" t="s">
        <v>24</v>
      </c>
      <c r="G16" s="22">
        <v>1</v>
      </c>
      <c r="H16" s="23"/>
      <c r="I16" s="22">
        <f>+G16*D16</f>
        <v>0</v>
      </c>
      <c r="J16" s="13"/>
      <c r="K16" s="13"/>
    </row>
    <row r="17" spans="1:13">
      <c r="A17" s="7">
        <f>+A16+1</f>
        <v>4</v>
      </c>
      <c r="B17" s="11" t="s">
        <v>28</v>
      </c>
      <c r="C17" s="24" t="s">
        <v>29</v>
      </c>
      <c r="D17" s="22">
        <v>0</v>
      </c>
      <c r="E17" s="11"/>
      <c r="F17" s="11" t="s">
        <v>24</v>
      </c>
      <c r="G17" s="22">
        <v>1</v>
      </c>
      <c r="H17" s="23"/>
      <c r="I17" s="22">
        <f>+G17*D17</f>
        <v>0</v>
      </c>
      <c r="J17" s="13"/>
      <c r="K17" s="13"/>
    </row>
    <row r="18" spans="1:13" ht="15.75" thickBot="1">
      <c r="A18" s="7">
        <f>+A17+1</f>
        <v>5</v>
      </c>
      <c r="B18" s="11" t="s">
        <v>30</v>
      </c>
      <c r="C18" s="24" t="s">
        <v>31</v>
      </c>
      <c r="D18" s="22">
        <v>0</v>
      </c>
      <c r="E18" s="11"/>
      <c r="F18" s="11" t="s">
        <v>24</v>
      </c>
      <c r="G18" s="22">
        <v>1</v>
      </c>
      <c r="H18" s="23"/>
      <c r="I18" s="25">
        <f>+G18*D18</f>
        <v>0</v>
      </c>
      <c r="J18" s="13"/>
      <c r="K18" s="13"/>
    </row>
    <row r="19" spans="1:13">
      <c r="A19" s="7">
        <f>+A18+1</f>
        <v>6</v>
      </c>
      <c r="B19" s="13" t="s">
        <v>32</v>
      </c>
      <c r="C19" s="13" t="s">
        <v>33</v>
      </c>
      <c r="D19" s="26" t="s">
        <v>9</v>
      </c>
      <c r="E19" s="11"/>
      <c r="F19" s="11"/>
      <c r="G19" s="27"/>
      <c r="H19" s="23"/>
      <c r="I19" s="22">
        <f>SUM(I14:I18)</f>
        <v>0</v>
      </c>
      <c r="J19" s="13"/>
      <c r="K19" s="13"/>
    </row>
    <row r="20" spans="1:13">
      <c r="A20" s="7"/>
      <c r="B20" s="5"/>
      <c r="C20" s="13"/>
      <c r="D20" s="11" t="s">
        <v>9</v>
      </c>
      <c r="E20" s="13"/>
      <c r="F20" s="13"/>
      <c r="G20" s="28"/>
      <c r="H20" s="13"/>
      <c r="I20" s="5"/>
      <c r="J20" s="13"/>
      <c r="K20" s="13"/>
    </row>
    <row r="21" spans="1:13">
      <c r="A21" s="7" t="s">
        <v>34</v>
      </c>
      <c r="B21" s="5" t="s">
        <v>35</v>
      </c>
      <c r="C21" s="13"/>
      <c r="D21" s="11"/>
      <c r="E21" s="13"/>
      <c r="F21" s="13"/>
      <c r="G21" s="28"/>
      <c r="H21" s="13"/>
      <c r="I21" s="29">
        <v>0</v>
      </c>
      <c r="J21" s="13"/>
      <c r="K21" s="13"/>
    </row>
    <row r="22" spans="1:13">
      <c r="A22" s="7"/>
      <c r="B22" s="5"/>
      <c r="C22" s="13"/>
      <c r="D22" s="11"/>
      <c r="E22" s="13"/>
      <c r="F22" s="13"/>
      <c r="G22" s="28"/>
      <c r="H22" s="13"/>
      <c r="I22" s="5"/>
      <c r="J22" s="13"/>
      <c r="K22" s="13"/>
    </row>
    <row r="23" spans="1:13" ht="15.75" thickBot="1">
      <c r="A23" s="7" t="s">
        <v>36</v>
      </c>
      <c r="B23" s="13" t="s">
        <v>37</v>
      </c>
      <c r="C23" s="13" t="s">
        <v>38</v>
      </c>
      <c r="D23" s="30" t="s">
        <v>9</v>
      </c>
      <c r="E23" s="11"/>
      <c r="F23" s="11"/>
      <c r="G23" s="11"/>
      <c r="H23" s="11"/>
      <c r="I23" s="31">
        <f>I11-I19-I21</f>
        <v>1922743.8792556503</v>
      </c>
      <c r="J23" s="13"/>
      <c r="K23" s="13"/>
      <c r="M23" s="32"/>
    </row>
    <row r="24" spans="1:13" ht="15.75" thickTop="1">
      <c r="A24" s="7"/>
      <c r="B24" s="5"/>
      <c r="C24" s="13"/>
      <c r="D24" s="30"/>
      <c r="E24" s="11"/>
      <c r="F24" s="11"/>
      <c r="G24" s="11"/>
      <c r="H24" s="11"/>
      <c r="I24" s="5"/>
      <c r="J24" s="13"/>
      <c r="K24" s="13"/>
      <c r="M24" s="33"/>
    </row>
    <row r="25" spans="1:13">
      <c r="A25" s="34" t="s">
        <v>39</v>
      </c>
      <c r="B25" s="35" t="s">
        <v>40</v>
      </c>
      <c r="C25" s="36" t="s">
        <v>41</v>
      </c>
      <c r="D25" s="37">
        <f>'9C-Non-MISO Project True-up'!H23</f>
        <v>0</v>
      </c>
      <c r="E25" s="35"/>
      <c r="F25" s="35" t="s">
        <v>24</v>
      </c>
      <c r="G25" s="22">
        <v>1</v>
      </c>
      <c r="H25" s="35"/>
      <c r="I25" s="4">
        <f>+G25*D25</f>
        <v>0</v>
      </c>
      <c r="K25" s="13"/>
    </row>
    <row r="26" spans="1:13">
      <c r="A26" s="34"/>
      <c r="B26" s="35"/>
      <c r="C26" s="35"/>
      <c r="D26" s="35"/>
      <c r="E26" s="35"/>
      <c r="F26" s="35"/>
      <c r="G26" s="35"/>
      <c r="H26" s="35"/>
      <c r="I26" s="38"/>
      <c r="K26" s="13"/>
    </row>
    <row r="27" spans="1:13" ht="15.75" thickBot="1">
      <c r="A27" s="34">
        <v>7</v>
      </c>
      <c r="B27" s="35" t="s">
        <v>37</v>
      </c>
      <c r="C27" s="35" t="s">
        <v>42</v>
      </c>
      <c r="D27" s="35"/>
      <c r="E27" s="38"/>
      <c r="F27" s="38"/>
      <c r="G27" s="38"/>
      <c r="H27" s="38"/>
      <c r="I27" s="39">
        <f>+I23+I25</f>
        <v>1922743.8792556503</v>
      </c>
      <c r="K27" s="13"/>
    </row>
    <row r="28" spans="1:13" ht="15.75" thickTop="1">
      <c r="A28" s="7"/>
      <c r="B28" s="11"/>
      <c r="C28" s="13"/>
      <c r="D28" s="13"/>
      <c r="E28" s="13"/>
      <c r="F28" s="5"/>
      <c r="G28" s="6"/>
      <c r="H28" s="13"/>
      <c r="I28" s="11"/>
      <c r="J28" s="13"/>
      <c r="K28" s="13"/>
    </row>
    <row r="29" spans="1:13">
      <c r="A29" s="7"/>
      <c r="B29" s="13"/>
      <c r="C29" s="13"/>
      <c r="D29" s="13"/>
      <c r="E29" s="13"/>
      <c r="F29" s="5"/>
      <c r="G29" s="6"/>
      <c r="H29" s="13"/>
      <c r="I29" s="11"/>
      <c r="J29" s="13"/>
      <c r="K29" s="13"/>
    </row>
    <row r="30" spans="1:13" ht="15.75">
      <c r="A30" s="40"/>
      <c r="B30" s="41" t="s">
        <v>43</v>
      </c>
      <c r="C30" s="41"/>
      <c r="D30" s="42"/>
      <c r="E30" s="41"/>
      <c r="F30" s="41"/>
      <c r="G30" s="41"/>
      <c r="H30" s="41"/>
      <c r="I30" s="22"/>
      <c r="J30" s="41"/>
      <c r="L30" s="43"/>
    </row>
    <row r="31" spans="1:13" ht="15.75">
      <c r="A31" s="40">
        <v>8</v>
      </c>
      <c r="B31" s="41" t="s">
        <v>44</v>
      </c>
      <c r="D31" s="42"/>
      <c r="E31" s="41"/>
      <c r="F31" s="41"/>
      <c r="G31" s="44" t="s">
        <v>45</v>
      </c>
      <c r="H31" s="41"/>
      <c r="I31" s="29">
        <v>0</v>
      </c>
      <c r="J31" s="41"/>
      <c r="L31" s="43"/>
    </row>
    <row r="32" spans="1:13" ht="15.75">
      <c r="A32" s="40">
        <v>9</v>
      </c>
      <c r="B32" s="41" t="s">
        <v>46</v>
      </c>
      <c r="C32" s="42"/>
      <c r="D32" s="42"/>
      <c r="E32" s="42"/>
      <c r="F32" s="42"/>
      <c r="G32" s="42" t="s">
        <v>47</v>
      </c>
      <c r="H32" s="42"/>
      <c r="I32" s="29">
        <v>0</v>
      </c>
      <c r="J32" s="41"/>
      <c r="L32" s="43"/>
    </row>
    <row r="33" spans="1:12" ht="15.75">
      <c r="A33" s="40">
        <v>10</v>
      </c>
      <c r="B33" s="42" t="s">
        <v>48</v>
      </c>
      <c r="C33" s="41"/>
      <c r="D33" s="41"/>
      <c r="E33" s="41"/>
      <c r="G33" s="44" t="s">
        <v>49</v>
      </c>
      <c r="H33" s="41"/>
      <c r="I33" s="29">
        <v>0</v>
      </c>
      <c r="J33" s="41"/>
      <c r="L33" s="43"/>
    </row>
    <row r="34" spans="1:12" ht="15.75">
      <c r="A34" s="40">
        <v>11</v>
      </c>
      <c r="B34" s="41" t="s">
        <v>50</v>
      </c>
      <c r="C34" s="41"/>
      <c r="D34" s="41"/>
      <c r="E34" s="41"/>
      <c r="G34" s="44" t="s">
        <v>51</v>
      </c>
      <c r="H34" s="41"/>
      <c r="I34" s="29">
        <v>0</v>
      </c>
      <c r="J34" s="41"/>
      <c r="L34" s="43"/>
    </row>
    <row r="35" spans="1:12" ht="15.75">
      <c r="A35" s="40">
        <v>12</v>
      </c>
      <c r="B35" s="42" t="s">
        <v>52</v>
      </c>
      <c r="C35" s="41"/>
      <c r="D35" s="41"/>
      <c r="E35" s="41"/>
      <c r="F35" s="41"/>
      <c r="G35" s="44"/>
      <c r="H35" s="41"/>
      <c r="I35" s="29">
        <v>0</v>
      </c>
      <c r="J35" s="41"/>
      <c r="L35" s="43"/>
    </row>
    <row r="36" spans="1:12" ht="15.75">
      <c r="A36" s="40">
        <v>13</v>
      </c>
      <c r="B36" s="42" t="s">
        <v>53</v>
      </c>
      <c r="C36" s="41"/>
      <c r="D36" s="41"/>
      <c r="E36" s="41"/>
      <c r="F36" s="41"/>
      <c r="G36" s="44" t="s">
        <v>29</v>
      </c>
      <c r="H36" s="41"/>
      <c r="I36" s="29">
        <v>0</v>
      </c>
      <c r="J36" s="41"/>
      <c r="L36" s="43"/>
    </row>
    <row r="37" spans="1:12" ht="16.5" thickBot="1">
      <c r="A37" s="40">
        <v>14</v>
      </c>
      <c r="B37" s="42" t="s">
        <v>54</v>
      </c>
      <c r="C37" s="41"/>
      <c r="D37" s="41"/>
      <c r="E37" s="41"/>
      <c r="F37" s="41"/>
      <c r="G37" s="44"/>
      <c r="H37" s="41"/>
      <c r="I37" s="45">
        <v>0</v>
      </c>
      <c r="J37" s="41"/>
      <c r="L37" s="43"/>
    </row>
    <row r="38" spans="1:12" ht="15.75">
      <c r="A38" s="40">
        <v>15</v>
      </c>
      <c r="B38" s="44" t="s">
        <v>55</v>
      </c>
      <c r="C38" s="41"/>
      <c r="D38" s="41"/>
      <c r="E38" s="41"/>
      <c r="F38" s="41"/>
      <c r="G38" s="41"/>
      <c r="H38" s="41"/>
      <c r="I38" s="22">
        <f>SUM(I31:I37)</f>
        <v>0</v>
      </c>
      <c r="J38" s="41"/>
      <c r="L38" s="43"/>
    </row>
    <row r="39" spans="1:12" ht="15.75">
      <c r="A39" s="40"/>
      <c r="B39" s="41"/>
      <c r="C39" s="41"/>
      <c r="D39" s="41"/>
      <c r="E39" s="41"/>
      <c r="F39" s="41"/>
      <c r="G39" s="41"/>
      <c r="H39" s="41"/>
      <c r="I39" s="22"/>
      <c r="J39" s="41"/>
      <c r="L39" s="43"/>
    </row>
    <row r="40" spans="1:12" ht="15.75">
      <c r="A40" s="40">
        <v>16</v>
      </c>
      <c r="B40" s="41" t="s">
        <v>56</v>
      </c>
      <c r="C40" s="41" t="s">
        <v>57</v>
      </c>
      <c r="D40" s="22">
        <f>IF(I38&gt;0,I27/I38,0)</f>
        <v>0</v>
      </c>
      <c r="E40" s="22"/>
      <c r="F40" s="22"/>
      <c r="G40" s="22"/>
      <c r="H40" s="22"/>
      <c r="I40" s="22"/>
      <c r="J40" s="41"/>
      <c r="L40" s="43"/>
    </row>
    <row r="41" spans="1:12" ht="15.75">
      <c r="A41" s="40">
        <v>17</v>
      </c>
      <c r="B41" s="41" t="s">
        <v>58</v>
      </c>
      <c r="C41" s="41" t="s">
        <v>59</v>
      </c>
      <c r="D41" s="22">
        <f>+D40/12</f>
        <v>0</v>
      </c>
      <c r="E41" s="22"/>
      <c r="F41" s="22"/>
      <c r="G41" s="22"/>
      <c r="H41" s="22"/>
      <c r="I41" s="22"/>
      <c r="J41" s="41"/>
      <c r="L41" s="43"/>
    </row>
    <row r="42" spans="1:12" ht="15.75">
      <c r="A42" s="40"/>
      <c r="B42" s="41"/>
      <c r="C42" s="41"/>
      <c r="D42" s="22"/>
      <c r="E42" s="22"/>
      <c r="F42" s="22"/>
      <c r="G42" s="22"/>
      <c r="H42" s="22"/>
      <c r="I42" s="22"/>
      <c r="J42" s="41"/>
      <c r="L42" s="43"/>
    </row>
    <row r="43" spans="1:12" ht="15.75">
      <c r="A43" s="40"/>
      <c r="B43" s="41"/>
      <c r="C43" s="41"/>
      <c r="D43" s="46" t="s">
        <v>60</v>
      </c>
      <c r="E43" s="22"/>
      <c r="F43" s="22"/>
      <c r="G43" s="22"/>
      <c r="H43" s="22"/>
      <c r="I43" s="46" t="s">
        <v>61</v>
      </c>
      <c r="J43" s="41"/>
      <c r="L43" s="43"/>
    </row>
    <row r="44" spans="1:12" ht="15.75">
      <c r="A44" s="40"/>
      <c r="B44" s="41"/>
      <c r="C44" s="41"/>
      <c r="D44" s="22"/>
      <c r="E44" s="22"/>
      <c r="F44" s="22"/>
      <c r="G44" s="22"/>
      <c r="H44" s="22"/>
      <c r="I44" s="22"/>
      <c r="J44" s="41"/>
      <c r="L44" s="43"/>
    </row>
    <row r="45" spans="1:12" ht="15.75">
      <c r="A45" s="40">
        <v>18</v>
      </c>
      <c r="B45" s="41" t="s">
        <v>62</v>
      </c>
      <c r="C45" s="47" t="s">
        <v>63</v>
      </c>
      <c r="D45" s="22">
        <f>+D40/52</f>
        <v>0</v>
      </c>
      <c r="E45" s="22"/>
      <c r="F45" s="22"/>
      <c r="G45" s="22"/>
      <c r="H45" s="22"/>
      <c r="I45" s="22">
        <f>+D40/52</f>
        <v>0</v>
      </c>
      <c r="J45" s="41"/>
      <c r="L45" s="43"/>
    </row>
    <row r="46" spans="1:12" ht="15.75">
      <c r="A46" s="40">
        <v>19</v>
      </c>
      <c r="B46" s="41" t="s">
        <v>64</v>
      </c>
      <c r="C46" s="47" t="s">
        <v>65</v>
      </c>
      <c r="D46" s="22">
        <f>+D40/260</f>
        <v>0</v>
      </c>
      <c r="E46" s="22" t="s">
        <v>66</v>
      </c>
      <c r="F46" s="22"/>
      <c r="G46" s="22"/>
      <c r="H46" s="22"/>
      <c r="I46" s="22">
        <f>+D40/365</f>
        <v>0</v>
      </c>
      <c r="J46" s="41"/>
      <c r="L46" s="43"/>
    </row>
    <row r="47" spans="1:12" ht="15.75">
      <c r="A47" s="40">
        <v>20</v>
      </c>
      <c r="B47" s="41" t="s">
        <v>67</v>
      </c>
      <c r="C47" s="47" t="s">
        <v>68</v>
      </c>
      <c r="D47" s="22">
        <f>+D40/4160*1000</f>
        <v>0</v>
      </c>
      <c r="E47" s="22" t="s">
        <v>69</v>
      </c>
      <c r="F47" s="22"/>
      <c r="G47" s="22"/>
      <c r="H47" s="22"/>
      <c r="I47" s="22">
        <f>+D40/8760*1000</f>
        <v>0</v>
      </c>
      <c r="J47" s="41"/>
      <c r="L47" s="43" t="s">
        <v>9</v>
      </c>
    </row>
    <row r="48" spans="1:12" ht="15.75">
      <c r="A48" s="40"/>
      <c r="B48" s="41"/>
      <c r="C48" s="41" t="s">
        <v>70</v>
      </c>
      <c r="D48" s="22"/>
      <c r="E48" s="22" t="s">
        <v>71</v>
      </c>
      <c r="F48" s="22"/>
      <c r="G48" s="22"/>
      <c r="H48" s="22"/>
      <c r="I48" s="22"/>
      <c r="J48" s="41"/>
      <c r="L48" s="43" t="s">
        <v>9</v>
      </c>
    </row>
    <row r="49" spans="1:12" ht="15.75">
      <c r="A49" s="40"/>
      <c r="B49" s="41"/>
      <c r="C49" s="41"/>
      <c r="D49" s="22"/>
      <c r="E49" s="22"/>
      <c r="F49" s="22"/>
      <c r="G49" s="22"/>
      <c r="H49" s="22"/>
      <c r="I49" s="22"/>
      <c r="J49" s="41"/>
      <c r="L49" s="43" t="s">
        <v>9</v>
      </c>
    </row>
    <row r="50" spans="1:12" ht="15.75">
      <c r="A50" s="40">
        <v>21</v>
      </c>
      <c r="B50" s="41" t="s">
        <v>72</v>
      </c>
      <c r="C50" s="41" t="s">
        <v>73</v>
      </c>
      <c r="D50" s="48">
        <v>0</v>
      </c>
      <c r="E50" s="49" t="s">
        <v>74</v>
      </c>
      <c r="F50" s="49"/>
      <c r="G50" s="49"/>
      <c r="H50" s="49"/>
      <c r="I50" s="49">
        <f>D50</f>
        <v>0</v>
      </c>
      <c r="J50" s="50" t="s">
        <v>74</v>
      </c>
      <c r="L50" s="43"/>
    </row>
    <row r="51" spans="1:12" ht="15.75">
      <c r="A51" s="40">
        <v>22</v>
      </c>
      <c r="B51" s="41"/>
      <c r="C51" s="41"/>
      <c r="D51" s="48">
        <v>0</v>
      </c>
      <c r="E51" s="49" t="s">
        <v>75</v>
      </c>
      <c r="F51" s="49"/>
      <c r="G51" s="49"/>
      <c r="H51" s="49"/>
      <c r="I51" s="49">
        <f>D51</f>
        <v>0</v>
      </c>
      <c r="J51" s="50" t="s">
        <v>75</v>
      </c>
      <c r="L51" s="43"/>
    </row>
    <row r="52" spans="1:12" ht="15.75">
      <c r="A52" s="40"/>
      <c r="C52" s="41"/>
      <c r="D52" s="41"/>
      <c r="E52" s="50"/>
      <c r="F52" s="50"/>
      <c r="G52" s="50"/>
      <c r="H52" s="50"/>
      <c r="I52" s="50"/>
      <c r="J52" s="50"/>
      <c r="K52" s="50"/>
      <c r="L52" s="43"/>
    </row>
    <row r="53" spans="1:12">
      <c r="A53" s="7"/>
      <c r="B53" s="13"/>
      <c r="C53" s="13"/>
      <c r="D53" s="51"/>
      <c r="E53" s="51"/>
      <c r="F53" s="51"/>
      <c r="G53" s="51"/>
      <c r="H53" s="51"/>
      <c r="I53" s="51"/>
      <c r="J53" s="51"/>
      <c r="K53" s="52" t="str">
        <f>K1</f>
        <v>Attachment 9A-GLH</v>
      </c>
    </row>
    <row r="54" spans="1:12">
      <c r="A54" s="5"/>
      <c r="B54" s="13"/>
      <c r="C54" s="13"/>
      <c r="D54" s="13"/>
      <c r="E54" s="13"/>
      <c r="F54" s="13"/>
      <c r="G54" s="13"/>
      <c r="H54" s="13"/>
      <c r="I54" s="53"/>
      <c r="J54" s="13"/>
      <c r="K54" s="52" t="s">
        <v>76</v>
      </c>
    </row>
    <row r="55" spans="1:12">
      <c r="A55" s="5"/>
      <c r="B55" s="13"/>
      <c r="C55" s="13"/>
      <c r="D55" s="13"/>
      <c r="E55" s="13"/>
      <c r="F55" s="13"/>
      <c r="G55" s="13"/>
      <c r="H55" s="13"/>
      <c r="I55" s="13"/>
      <c r="J55" s="13"/>
      <c r="K55" s="13"/>
    </row>
    <row r="56" spans="1:12">
      <c r="A56" s="5"/>
      <c r="B56" s="13" t="s">
        <v>2</v>
      </c>
      <c r="C56" s="13"/>
      <c r="D56" s="7" t="str">
        <f>$D$3</f>
        <v>Non-MISO Rate Formula Template</v>
      </c>
      <c r="E56" s="13"/>
      <c r="F56" s="13"/>
      <c r="G56" s="13"/>
      <c r="H56" s="13"/>
      <c r="I56" s="1"/>
      <c r="J56" s="13"/>
      <c r="K56" s="52" t="str">
        <f>K3</f>
        <v>For the 12 months ended 12/31/2020</v>
      </c>
    </row>
    <row r="57" spans="1:12">
      <c r="A57" s="5"/>
      <c r="B57" s="54"/>
      <c r="C57" s="11"/>
      <c r="D57" s="12" t="s">
        <v>4</v>
      </c>
      <c r="E57" s="11"/>
      <c r="F57" s="11"/>
      <c r="G57" s="11"/>
      <c r="H57" s="11"/>
      <c r="I57" s="11"/>
      <c r="J57" s="11"/>
      <c r="K57" s="11"/>
    </row>
    <row r="58" spans="1:12">
      <c r="A58" s="5"/>
      <c r="B58" s="13"/>
      <c r="C58" s="11"/>
      <c r="D58" s="12" t="str">
        <f>+D5</f>
        <v>GridLiance Heartland LLC</v>
      </c>
      <c r="E58" s="11"/>
      <c r="F58" s="11"/>
      <c r="G58" s="11" t="s">
        <v>9</v>
      </c>
      <c r="H58" s="11"/>
      <c r="I58" s="11"/>
      <c r="J58" s="11"/>
      <c r="K58" s="11"/>
    </row>
    <row r="59" spans="1:12">
      <c r="A59" s="695"/>
      <c r="B59" s="695"/>
      <c r="C59" s="695"/>
      <c r="D59" s="695"/>
      <c r="E59" s="695"/>
      <c r="F59" s="695"/>
      <c r="G59" s="695"/>
      <c r="H59" s="695"/>
      <c r="I59" s="695"/>
      <c r="J59" s="695"/>
      <c r="K59" s="695"/>
    </row>
    <row r="60" spans="1:12">
      <c r="A60" s="5"/>
      <c r="B60" s="18" t="s">
        <v>6</v>
      </c>
      <c r="C60" s="18" t="s">
        <v>7</v>
      </c>
      <c r="D60" s="18" t="s">
        <v>8</v>
      </c>
      <c r="E60" s="11" t="s">
        <v>9</v>
      </c>
      <c r="F60" s="11"/>
      <c r="G60" s="17" t="s">
        <v>10</v>
      </c>
      <c r="H60" s="11"/>
      <c r="I60" s="17" t="s">
        <v>11</v>
      </c>
      <c r="J60" s="11"/>
      <c r="K60" s="18"/>
    </row>
    <row r="61" spans="1:12">
      <c r="A61" s="5"/>
      <c r="B61" s="13"/>
      <c r="C61" s="55"/>
      <c r="D61" s="11"/>
      <c r="E61" s="11"/>
      <c r="F61" s="11"/>
      <c r="G61" s="7"/>
      <c r="H61" s="11"/>
      <c r="I61" s="56" t="s">
        <v>77</v>
      </c>
      <c r="J61" s="11"/>
      <c r="K61" s="18"/>
    </row>
    <row r="62" spans="1:12">
      <c r="A62" s="7" t="s">
        <v>12</v>
      </c>
      <c r="B62" s="13"/>
      <c r="C62" s="57" t="s">
        <v>15</v>
      </c>
      <c r="D62" s="56" t="s">
        <v>78</v>
      </c>
      <c r="E62" s="58"/>
      <c r="F62" s="56" t="s">
        <v>79</v>
      </c>
      <c r="G62" s="5"/>
      <c r="H62" s="58"/>
      <c r="I62" s="7" t="s">
        <v>80</v>
      </c>
      <c r="J62" s="11"/>
      <c r="K62" s="18"/>
    </row>
    <row r="63" spans="1:12" ht="15.75" thickBot="1">
      <c r="A63" s="19" t="s">
        <v>14</v>
      </c>
      <c r="B63" s="59" t="s">
        <v>81</v>
      </c>
      <c r="C63" s="11"/>
      <c r="D63" s="11"/>
      <c r="E63" s="11"/>
      <c r="F63" s="11"/>
      <c r="G63" s="11"/>
      <c r="H63" s="11"/>
      <c r="I63" s="11"/>
      <c r="J63" s="11"/>
      <c r="K63" s="11"/>
    </row>
    <row r="64" spans="1:12">
      <c r="A64" s="7"/>
      <c r="B64" s="13" t="s">
        <v>82</v>
      </c>
      <c r="C64" s="11"/>
      <c r="D64" s="11"/>
      <c r="E64" s="11"/>
      <c r="F64" s="11"/>
      <c r="G64" s="11"/>
      <c r="H64" s="11"/>
      <c r="I64" s="11"/>
      <c r="J64" s="11"/>
      <c r="K64" s="11"/>
    </row>
    <row r="65" spans="1:11">
      <c r="A65" s="7">
        <v>1</v>
      </c>
      <c r="B65" s="13" t="s">
        <v>83</v>
      </c>
      <c r="C65" s="23" t="s">
        <v>84</v>
      </c>
      <c r="D65" s="4">
        <f>'4- Rate Base'!C23</f>
        <v>0</v>
      </c>
      <c r="E65" s="11"/>
      <c r="F65" s="11" t="s">
        <v>85</v>
      </c>
      <c r="G65" s="60">
        <v>0</v>
      </c>
      <c r="H65" s="11"/>
      <c r="I65" s="4">
        <f>+G65*D65</f>
        <v>0</v>
      </c>
      <c r="J65" s="11"/>
      <c r="K65" s="11"/>
    </row>
    <row r="66" spans="1:11">
      <c r="A66" s="7">
        <f>+A65+1</f>
        <v>2</v>
      </c>
      <c r="B66" s="13" t="s">
        <v>86</v>
      </c>
      <c r="C66" s="23" t="s">
        <v>87</v>
      </c>
      <c r="D66" s="4">
        <f>'4- Rate Base'!D23</f>
        <v>21966736.641538464</v>
      </c>
      <c r="E66" s="11"/>
      <c r="F66" s="11" t="s">
        <v>88</v>
      </c>
      <c r="G66" s="60">
        <f>I209</f>
        <v>0.23598582233179097</v>
      </c>
      <c r="H66" s="23"/>
      <c r="I66" s="4">
        <f>+G66*D66</f>
        <v>5183838.4102993384</v>
      </c>
      <c r="J66" s="11"/>
      <c r="K66" s="11"/>
    </row>
    <row r="67" spans="1:11">
      <c r="A67" s="7">
        <f>+A66+1</f>
        <v>3</v>
      </c>
      <c r="B67" s="13" t="s">
        <v>89</v>
      </c>
      <c r="C67" s="23" t="s">
        <v>90</v>
      </c>
      <c r="D67" s="4">
        <f>'4- Rate Base'!E23</f>
        <v>0</v>
      </c>
      <c r="E67" s="11"/>
      <c r="F67" s="11" t="s">
        <v>85</v>
      </c>
      <c r="G67" s="60">
        <v>0</v>
      </c>
      <c r="H67" s="23"/>
      <c r="I67" s="4">
        <f>+G67*D67</f>
        <v>0</v>
      </c>
      <c r="J67" s="11"/>
      <c r="K67" s="11"/>
    </row>
    <row r="68" spans="1:11">
      <c r="A68" s="7">
        <f>+A67+1</f>
        <v>4</v>
      </c>
      <c r="B68" s="13" t="s">
        <v>91</v>
      </c>
      <c r="C68" s="23" t="s">
        <v>92</v>
      </c>
      <c r="D68" s="4">
        <f>'4- Rate Base'!F23</f>
        <v>0</v>
      </c>
      <c r="E68" s="11"/>
      <c r="F68" s="11" t="s">
        <v>93</v>
      </c>
      <c r="G68" s="60">
        <f>I217</f>
        <v>0.23598582233179097</v>
      </c>
      <c r="H68" s="23"/>
      <c r="I68" s="4">
        <f>+G68*D68</f>
        <v>0</v>
      </c>
      <c r="J68" s="11"/>
      <c r="K68" s="11"/>
    </row>
    <row r="69" spans="1:11" ht="15.75" thickBot="1">
      <c r="A69" s="7">
        <f>+A68+1</f>
        <v>5</v>
      </c>
      <c r="B69" s="13" t="s">
        <v>94</v>
      </c>
      <c r="C69" s="23" t="s">
        <v>95</v>
      </c>
      <c r="D69" s="61">
        <f>'4- Rate Base'!G23</f>
        <v>0</v>
      </c>
      <c r="E69" s="11"/>
      <c r="F69" s="11" t="s">
        <v>96</v>
      </c>
      <c r="G69" s="60">
        <f>K221</f>
        <v>0.23598582233179097</v>
      </c>
      <c r="H69" s="23"/>
      <c r="I69" s="61">
        <f>+G69*D69</f>
        <v>0</v>
      </c>
      <c r="J69" s="11"/>
      <c r="K69" s="11"/>
    </row>
    <row r="70" spans="1:11">
      <c r="A70" s="7">
        <f>+A69+1</f>
        <v>6</v>
      </c>
      <c r="B70" s="6" t="s">
        <v>97</v>
      </c>
      <c r="C70" s="11" t="s">
        <v>98</v>
      </c>
      <c r="D70" s="4">
        <f>SUM(D65:D69)</f>
        <v>21966736.641538464</v>
      </c>
      <c r="E70" s="11"/>
      <c r="F70" s="11" t="s">
        <v>99</v>
      </c>
      <c r="G70" s="60">
        <f>IF(I70&gt;0,I70/D70,0)</f>
        <v>0.23598582233179097</v>
      </c>
      <c r="H70" s="23"/>
      <c r="I70" s="62">
        <f>SUM(I65:I69)</f>
        <v>5183838.4102993384</v>
      </c>
      <c r="J70" s="11"/>
      <c r="K70" s="63"/>
    </row>
    <row r="71" spans="1:11">
      <c r="A71" s="7"/>
      <c r="B71" s="13"/>
      <c r="C71" s="11"/>
      <c r="D71" s="4"/>
      <c r="E71" s="11"/>
      <c r="F71" s="11"/>
      <c r="G71" s="60"/>
      <c r="H71" s="11"/>
      <c r="I71" s="4"/>
      <c r="J71" s="11"/>
      <c r="K71" s="63"/>
    </row>
    <row r="72" spans="1:11">
      <c r="A72" s="7"/>
      <c r="B72" s="13" t="s">
        <v>100</v>
      </c>
      <c r="C72" s="11"/>
      <c r="D72" s="4"/>
      <c r="E72" s="11"/>
      <c r="F72" s="11"/>
      <c r="G72" s="60"/>
      <c r="H72" s="11"/>
      <c r="I72" s="4"/>
      <c r="J72" s="11"/>
      <c r="K72" s="11"/>
    </row>
    <row r="73" spans="1:11">
      <c r="A73" s="7">
        <f>+A70+1</f>
        <v>7</v>
      </c>
      <c r="B73" s="13" t="s">
        <v>83</v>
      </c>
      <c r="C73" s="23" t="s">
        <v>101</v>
      </c>
      <c r="D73" s="4">
        <f>'4- Rate Base'!L23</f>
        <v>0</v>
      </c>
      <c r="E73" s="11"/>
      <c r="F73" s="11" t="s">
        <v>85</v>
      </c>
      <c r="G73" s="60">
        <f>+G65</f>
        <v>0</v>
      </c>
      <c r="H73" s="11"/>
      <c r="I73" s="4">
        <f>+G73*D73</f>
        <v>0</v>
      </c>
      <c r="J73" s="11"/>
      <c r="K73" s="11"/>
    </row>
    <row r="74" spans="1:11">
      <c r="A74" s="7">
        <f>+A73+1</f>
        <v>8</v>
      </c>
      <c r="B74" s="13" t="s">
        <v>86</v>
      </c>
      <c r="C74" s="23" t="s">
        <v>102</v>
      </c>
      <c r="D74" s="4">
        <f>'4- Rate Base'!M23</f>
        <v>10672014.768461537</v>
      </c>
      <c r="E74" s="11"/>
      <c r="F74" s="11" t="s">
        <v>88</v>
      </c>
      <c r="G74" s="60">
        <f>+G66</f>
        <v>0.23598582233179097</v>
      </c>
      <c r="H74" s="23"/>
      <c r="I74" s="4">
        <f>+G74*D74</f>
        <v>2518444.1810724135</v>
      </c>
      <c r="J74" s="11"/>
      <c r="K74" s="11"/>
    </row>
    <row r="75" spans="1:11">
      <c r="A75" s="7">
        <f>+A74+1</f>
        <v>9</v>
      </c>
      <c r="B75" s="13" t="s">
        <v>89</v>
      </c>
      <c r="C75" s="23" t="s">
        <v>103</v>
      </c>
      <c r="D75" s="4">
        <f>'4- Rate Base'!N23</f>
        <v>0</v>
      </c>
      <c r="E75" s="11"/>
      <c r="F75" s="11" t="s">
        <v>85</v>
      </c>
      <c r="G75" s="60">
        <f>+G67</f>
        <v>0</v>
      </c>
      <c r="H75" s="23"/>
      <c r="I75" s="4">
        <f>+G75*D75</f>
        <v>0</v>
      </c>
      <c r="J75" s="11"/>
      <c r="K75" s="11"/>
    </row>
    <row r="76" spans="1:11">
      <c r="A76" s="7">
        <f>+A75+1</f>
        <v>10</v>
      </c>
      <c r="B76" s="13" t="s">
        <v>91</v>
      </c>
      <c r="C76" s="23" t="s">
        <v>104</v>
      </c>
      <c r="D76" s="4">
        <f>'4- Rate Base'!O23</f>
        <v>0</v>
      </c>
      <c r="E76" s="11"/>
      <c r="F76" s="11" t="s">
        <v>93</v>
      </c>
      <c r="G76" s="60">
        <f>+G68</f>
        <v>0.23598582233179097</v>
      </c>
      <c r="H76" s="23"/>
      <c r="I76" s="4">
        <f>+G76*D76</f>
        <v>0</v>
      </c>
      <c r="J76" s="11"/>
      <c r="K76" s="11"/>
    </row>
    <row r="77" spans="1:11" ht="15.75" thickBot="1">
      <c r="A77" s="7">
        <f>+A76+1</f>
        <v>11</v>
      </c>
      <c r="B77" s="13" t="s">
        <v>94</v>
      </c>
      <c r="C77" s="23" t="s">
        <v>105</v>
      </c>
      <c r="D77" s="61">
        <f>'4- Rate Base'!P23</f>
        <v>0</v>
      </c>
      <c r="E77" s="11"/>
      <c r="F77" s="11" t="s">
        <v>96</v>
      </c>
      <c r="G77" s="60">
        <f>+G69</f>
        <v>0.23598582233179097</v>
      </c>
      <c r="H77" s="23"/>
      <c r="I77" s="61">
        <f>+G77*D77</f>
        <v>0</v>
      </c>
      <c r="J77" s="11"/>
      <c r="K77" s="11"/>
    </row>
    <row r="78" spans="1:11">
      <c r="A78" s="7">
        <f>+A77+1</f>
        <v>12</v>
      </c>
      <c r="B78" s="13" t="s">
        <v>106</v>
      </c>
      <c r="C78" s="11" t="s">
        <v>107</v>
      </c>
      <c r="D78" s="4">
        <f>SUM(D73:D77)</f>
        <v>10672014.768461537</v>
      </c>
      <c r="E78" s="11"/>
      <c r="F78" s="11"/>
      <c r="G78" s="60"/>
      <c r="H78" s="23"/>
      <c r="I78" s="62">
        <f>SUM(I73:I77)</f>
        <v>2518444.1810724135</v>
      </c>
      <c r="J78" s="11"/>
      <c r="K78" s="11"/>
    </row>
    <row r="79" spans="1:11">
      <c r="A79" s="7"/>
      <c r="B79" s="5"/>
      <c r="C79" s="11" t="s">
        <v>9</v>
      </c>
      <c r="D79" s="4"/>
      <c r="E79" s="11"/>
      <c r="F79" s="11"/>
      <c r="G79" s="60"/>
      <c r="H79" s="11"/>
      <c r="I79" s="4"/>
      <c r="J79" s="11"/>
      <c r="K79" s="63"/>
    </row>
    <row r="80" spans="1:11">
      <c r="A80" s="7"/>
      <c r="B80" s="13" t="s">
        <v>108</v>
      </c>
      <c r="C80" s="11"/>
      <c r="D80" s="4"/>
      <c r="E80" s="11"/>
      <c r="F80" s="11"/>
      <c r="G80" s="60"/>
      <c r="H80" s="11"/>
      <c r="I80" s="4"/>
      <c r="J80" s="11"/>
      <c r="K80" s="11"/>
    </row>
    <row r="81" spans="1:11">
      <c r="A81" s="7">
        <f>+A78+1</f>
        <v>13</v>
      </c>
      <c r="B81" s="13" t="s">
        <v>83</v>
      </c>
      <c r="C81" s="11" t="str">
        <f>"(Line "&amp;A65&amp;" - Line "&amp;A73&amp;")"</f>
        <v>(Line 1 - Line 7)</v>
      </c>
      <c r="D81" s="4">
        <f>D65-D73</f>
        <v>0</v>
      </c>
      <c r="E81" s="23"/>
      <c r="F81" s="23"/>
      <c r="G81" s="60"/>
      <c r="H81" s="23"/>
      <c r="I81" s="4">
        <f>I65-I73</f>
        <v>0</v>
      </c>
      <c r="J81" s="11"/>
      <c r="K81" s="63"/>
    </row>
    <row r="82" spans="1:11">
      <c r="A82" s="7">
        <f>+A81+1</f>
        <v>14</v>
      </c>
      <c r="B82" s="13" t="s">
        <v>86</v>
      </c>
      <c r="C82" s="11" t="str">
        <f>"(Line "&amp;A66&amp;" - Line "&amp;A74&amp;")"</f>
        <v>(Line 2 - Line 8)</v>
      </c>
      <c r="D82" s="4">
        <f>D66-D74</f>
        <v>11294721.873076927</v>
      </c>
      <c r="E82" s="23"/>
      <c r="F82" s="23"/>
      <c r="G82" s="60"/>
      <c r="H82" s="23"/>
      <c r="I82" s="4">
        <f>I66-I74</f>
        <v>2665394.2292269249</v>
      </c>
      <c r="J82" s="11"/>
      <c r="K82" s="63"/>
    </row>
    <row r="83" spans="1:11">
      <c r="A83" s="7">
        <f>+A82+1</f>
        <v>15</v>
      </c>
      <c r="B83" s="13" t="s">
        <v>89</v>
      </c>
      <c r="C83" s="11" t="str">
        <f>"(Line "&amp;A67&amp;" - Line "&amp;A75&amp;")"</f>
        <v>(Line 3 - Line 9)</v>
      </c>
      <c r="D83" s="4">
        <f>D67-D75</f>
        <v>0</v>
      </c>
      <c r="E83" s="23"/>
      <c r="F83" s="23"/>
      <c r="G83" s="60"/>
      <c r="H83" s="23"/>
      <c r="I83" s="4">
        <f>I67-I75</f>
        <v>0</v>
      </c>
      <c r="J83" s="11"/>
      <c r="K83" s="63"/>
    </row>
    <row r="84" spans="1:11">
      <c r="A84" s="7">
        <f>+A83+1</f>
        <v>16</v>
      </c>
      <c r="B84" s="13" t="s">
        <v>91</v>
      </c>
      <c r="C84" s="11" t="str">
        <f>"(Line "&amp;A68&amp;" - Line "&amp;A76&amp;")"</f>
        <v>(Line 4 - Line 10)</v>
      </c>
      <c r="D84" s="4">
        <f>D68-D76</f>
        <v>0</v>
      </c>
      <c r="E84" s="23"/>
      <c r="F84" s="23"/>
      <c r="G84" s="60"/>
      <c r="H84" s="23"/>
      <c r="I84" s="4">
        <f>I68-I76</f>
        <v>0</v>
      </c>
      <c r="J84" s="11"/>
      <c r="K84" s="63"/>
    </row>
    <row r="85" spans="1:11" ht="15.75" thickBot="1">
      <c r="A85" s="7">
        <f>+A84+1</f>
        <v>17</v>
      </c>
      <c r="B85" s="13" t="s">
        <v>94</v>
      </c>
      <c r="C85" s="11" t="str">
        <f>"(Line "&amp;A69&amp;" - Line "&amp;A77&amp;")"</f>
        <v>(Line 5 - Line 11)</v>
      </c>
      <c r="D85" s="61">
        <f>D69-D77</f>
        <v>0</v>
      </c>
      <c r="E85" s="23"/>
      <c r="F85" s="23"/>
      <c r="G85" s="60"/>
      <c r="H85" s="23"/>
      <c r="I85" s="61">
        <f>I69-I77</f>
        <v>0</v>
      </c>
      <c r="J85" s="11"/>
      <c r="K85" s="63"/>
    </row>
    <row r="86" spans="1:11">
      <c r="A86" s="7">
        <f>+A85+1</f>
        <v>18</v>
      </c>
      <c r="B86" s="13" t="s">
        <v>109</v>
      </c>
      <c r="C86" s="11" t="s">
        <v>110</v>
      </c>
      <c r="D86" s="4">
        <f>SUM(D81:D85)</f>
        <v>11294721.873076927</v>
      </c>
      <c r="E86" s="23"/>
      <c r="F86" s="23" t="s">
        <v>111</v>
      </c>
      <c r="G86" s="60">
        <f>IF(I86&gt;0,I86/D86,0)</f>
        <v>0.23598582233179097</v>
      </c>
      <c r="H86" s="23"/>
      <c r="I86" s="4">
        <f>SUM(I81:I85)</f>
        <v>2665394.2292269249</v>
      </c>
      <c r="J86" s="11"/>
      <c r="K86" s="11"/>
    </row>
    <row r="87" spans="1:11">
      <c r="A87" s="7"/>
      <c r="B87" s="13"/>
      <c r="C87" s="11"/>
      <c r="D87" s="4"/>
      <c r="E87" s="23"/>
      <c r="F87" s="23"/>
      <c r="G87" s="60"/>
      <c r="H87" s="23"/>
      <c r="I87" s="4"/>
      <c r="J87" s="11"/>
      <c r="K87" s="11"/>
    </row>
    <row r="88" spans="1:11">
      <c r="A88" s="7" t="s">
        <v>112</v>
      </c>
      <c r="B88" s="35" t="s">
        <v>113</v>
      </c>
      <c r="C88" s="38" t="s">
        <v>114</v>
      </c>
      <c r="D88" s="4">
        <f>'4- Rate Base'!H23</f>
        <v>0</v>
      </c>
      <c r="E88" s="38"/>
      <c r="F88" s="38" t="s">
        <v>85</v>
      </c>
      <c r="G88" s="60">
        <v>0</v>
      </c>
      <c r="H88" s="38"/>
      <c r="I88" s="4">
        <f>+G88*D88</f>
        <v>0</v>
      </c>
      <c r="J88" s="11"/>
      <c r="K88" s="11"/>
    </row>
    <row r="89" spans="1:11">
      <c r="A89" s="7"/>
      <c r="B89" s="5"/>
      <c r="C89" s="11"/>
      <c r="D89" s="4"/>
      <c r="E89" s="11"/>
      <c r="F89" s="5"/>
      <c r="G89" s="60"/>
      <c r="H89" s="11"/>
      <c r="I89" s="4"/>
      <c r="J89" s="11"/>
      <c r="K89" s="63"/>
    </row>
    <row r="90" spans="1:11">
      <c r="A90" s="7"/>
      <c r="B90" s="6" t="s">
        <v>115</v>
      </c>
      <c r="C90" s="11"/>
      <c r="D90" s="4"/>
      <c r="E90" s="11"/>
      <c r="F90" s="11"/>
      <c r="G90" s="60"/>
      <c r="H90" s="11"/>
      <c r="I90" s="4"/>
      <c r="J90" s="11"/>
      <c r="K90" s="11"/>
    </row>
    <row r="91" spans="1:11">
      <c r="A91" s="7">
        <f>+A86+1</f>
        <v>19</v>
      </c>
      <c r="B91" s="13" t="s">
        <v>116</v>
      </c>
      <c r="C91" s="11"/>
      <c r="D91" s="4">
        <f>'4- Rate Base'!E42</f>
        <v>0</v>
      </c>
      <c r="E91" s="11"/>
      <c r="F91" s="11" t="s">
        <v>85</v>
      </c>
      <c r="G91" s="60" t="s">
        <v>117</v>
      </c>
      <c r="H91" s="23"/>
      <c r="I91" s="4">
        <v>0</v>
      </c>
      <c r="J91" s="11"/>
      <c r="K91" s="63"/>
    </row>
    <row r="92" spans="1:11">
      <c r="A92" s="7">
        <f>+A91+1</f>
        <v>20</v>
      </c>
      <c r="B92" s="13" t="s">
        <v>116</v>
      </c>
      <c r="C92" s="11"/>
      <c r="D92" s="4">
        <f>'4- Rate Base'!F42</f>
        <v>0</v>
      </c>
      <c r="E92" s="11"/>
      <c r="F92" s="11" t="s">
        <v>85</v>
      </c>
      <c r="G92" s="60" t="s">
        <v>117</v>
      </c>
      <c r="H92" s="23"/>
      <c r="I92" s="4">
        <v>0</v>
      </c>
      <c r="J92" s="11"/>
      <c r="K92" s="63"/>
    </row>
    <row r="93" spans="1:11">
      <c r="A93" s="7">
        <f>+A92+1</f>
        <v>21</v>
      </c>
      <c r="B93" s="13" t="s">
        <v>116</v>
      </c>
      <c r="C93" s="11"/>
      <c r="D93" s="4">
        <f>'4- Rate Base'!G42</f>
        <v>0</v>
      </c>
      <c r="E93" s="11"/>
      <c r="F93" s="11" t="s">
        <v>85</v>
      </c>
      <c r="G93" s="60" t="s">
        <v>117</v>
      </c>
      <c r="H93" s="23"/>
      <c r="I93" s="4">
        <v>0</v>
      </c>
      <c r="J93" s="11"/>
      <c r="K93" s="63"/>
    </row>
    <row r="94" spans="1:11">
      <c r="A94" s="7">
        <f>+A93+1</f>
        <v>22</v>
      </c>
      <c r="B94" s="13" t="s">
        <v>118</v>
      </c>
      <c r="C94" s="11" t="s">
        <v>119</v>
      </c>
      <c r="D94" s="4">
        <f>'8e-ADIT True-up'!H16</f>
        <v>88524.563013698629</v>
      </c>
      <c r="E94" s="11"/>
      <c r="F94" s="11" t="s">
        <v>120</v>
      </c>
      <c r="G94" s="60">
        <f>G86</f>
        <v>0.23598582233179097</v>
      </c>
      <c r="H94" s="23"/>
      <c r="I94" s="4">
        <f>D94*G94</f>
        <v>20890.541799350118</v>
      </c>
      <c r="J94" s="11"/>
      <c r="K94" s="63"/>
    </row>
    <row r="95" spans="1:11">
      <c r="A95" s="7">
        <f>+A94+1</f>
        <v>23</v>
      </c>
      <c r="B95" s="5" t="s">
        <v>121</v>
      </c>
      <c r="C95" s="5" t="s">
        <v>122</v>
      </c>
      <c r="D95" s="4">
        <f>'4- Rate Base'!I42</f>
        <v>0</v>
      </c>
      <c r="E95" s="11"/>
      <c r="F95" s="11" t="s">
        <v>120</v>
      </c>
      <c r="G95" s="534">
        <f>+G86</f>
        <v>0.23598582233179097</v>
      </c>
      <c r="H95" s="23"/>
      <c r="I95" s="4">
        <f>D95*G95</f>
        <v>0</v>
      </c>
      <c r="J95" s="11"/>
      <c r="K95" s="63"/>
    </row>
    <row r="96" spans="1:11">
      <c r="A96" s="7" t="s">
        <v>123</v>
      </c>
      <c r="B96" s="35" t="s">
        <v>124</v>
      </c>
      <c r="C96" s="38" t="s">
        <v>125</v>
      </c>
      <c r="D96" s="4">
        <f>'4- Rate Base'!C42</f>
        <v>0</v>
      </c>
      <c r="E96" s="38"/>
      <c r="F96" s="11" t="s">
        <v>85</v>
      </c>
      <c r="G96" s="60">
        <v>0</v>
      </c>
      <c r="H96" s="38"/>
      <c r="I96" s="4">
        <f>+G96*D96</f>
        <v>0</v>
      </c>
      <c r="K96" s="63"/>
    </row>
    <row r="97" spans="1:11">
      <c r="A97" s="7" t="s">
        <v>126</v>
      </c>
      <c r="B97" s="35" t="s">
        <v>127</v>
      </c>
      <c r="C97" s="38" t="s">
        <v>128</v>
      </c>
      <c r="D97" s="4">
        <f>'4- Rate Base'!D42</f>
        <v>0</v>
      </c>
      <c r="E97" s="38"/>
      <c r="F97" s="11" t="s">
        <v>85</v>
      </c>
      <c r="G97" s="60">
        <v>0</v>
      </c>
      <c r="H97" s="38"/>
      <c r="I97" s="4">
        <f>+G97*D97</f>
        <v>0</v>
      </c>
      <c r="K97" s="63"/>
    </row>
    <row r="98" spans="1:11" ht="15.75" thickBot="1">
      <c r="A98" s="7" t="s">
        <v>129</v>
      </c>
      <c r="B98" s="35" t="s">
        <v>130</v>
      </c>
      <c r="C98" s="38" t="s">
        <v>131</v>
      </c>
      <c r="D98" s="61">
        <f>'4- Rate Base'!I59</f>
        <v>0</v>
      </c>
      <c r="E98" s="38"/>
      <c r="F98" s="11" t="s">
        <v>85</v>
      </c>
      <c r="G98" s="60">
        <v>0</v>
      </c>
      <c r="H98" s="38"/>
      <c r="I98" s="61">
        <f>+D98*G98</f>
        <v>0</v>
      </c>
      <c r="K98" s="63"/>
    </row>
    <row r="99" spans="1:11">
      <c r="A99" s="7">
        <v>24</v>
      </c>
      <c r="B99" s="13" t="s">
        <v>132</v>
      </c>
      <c r="C99" s="11" t="s">
        <v>133</v>
      </c>
      <c r="D99" s="4">
        <f>SUM(D91:D98)</f>
        <v>88524.563013698629</v>
      </c>
      <c r="E99" s="11"/>
      <c r="F99" s="11"/>
      <c r="G99" s="60"/>
      <c r="H99" s="23"/>
      <c r="I99" s="4">
        <f>SUM(I91:I98)</f>
        <v>20890.541799350118</v>
      </c>
      <c r="J99" s="11"/>
      <c r="K99" s="11"/>
    </row>
    <row r="100" spans="1:11">
      <c r="A100" s="7"/>
      <c r="B100" s="5"/>
      <c r="C100" s="11"/>
      <c r="D100" s="4"/>
      <c r="E100" s="11"/>
      <c r="F100" s="11"/>
      <c r="G100" s="60"/>
      <c r="H100" s="11"/>
      <c r="I100" s="4"/>
      <c r="J100" s="11"/>
      <c r="K100" s="63"/>
    </row>
    <row r="101" spans="1:11">
      <c r="A101" s="7">
        <f>+A99+1</f>
        <v>25</v>
      </c>
      <c r="B101" s="6" t="s">
        <v>134</v>
      </c>
      <c r="C101" s="64" t="s">
        <v>135</v>
      </c>
      <c r="D101" s="4">
        <f>'4- Rate Base'!I23</f>
        <v>10709.692307692309</v>
      </c>
      <c r="E101" s="11"/>
      <c r="F101" s="11" t="s">
        <v>88</v>
      </c>
      <c r="G101" s="60">
        <f>+G74</f>
        <v>0.23598582233179097</v>
      </c>
      <c r="H101" s="23"/>
      <c r="I101" s="4">
        <f>+G101*D101</f>
        <v>2527.3355461512256</v>
      </c>
      <c r="J101" s="11"/>
      <c r="K101" s="11"/>
    </row>
    <row r="102" spans="1:11">
      <c r="A102" s="7"/>
      <c r="B102" s="13"/>
      <c r="C102" s="11"/>
      <c r="D102" s="4"/>
      <c r="E102" s="11"/>
      <c r="F102" s="11"/>
      <c r="G102" s="60"/>
      <c r="H102" s="23"/>
      <c r="I102" s="4"/>
      <c r="J102" s="11"/>
      <c r="K102" s="11"/>
    </row>
    <row r="103" spans="1:11">
      <c r="A103" s="7"/>
      <c r="B103" s="13" t="s">
        <v>136</v>
      </c>
      <c r="C103" s="11" t="s">
        <v>137</v>
      </c>
      <c r="D103" s="4"/>
      <c r="E103" s="11"/>
      <c r="F103" s="11"/>
      <c r="G103" s="60"/>
      <c r="H103" s="23"/>
      <c r="I103" s="4"/>
      <c r="J103" s="11"/>
      <c r="K103" s="11"/>
    </row>
    <row r="104" spans="1:11">
      <c r="A104" s="7">
        <f>+A101+1</f>
        <v>26</v>
      </c>
      <c r="B104" s="13" t="s">
        <v>138</v>
      </c>
      <c r="C104" s="5" t="s">
        <v>139</v>
      </c>
      <c r="D104" s="4">
        <f>(D138-D135)/8</f>
        <v>823439.5225000002</v>
      </c>
      <c r="E104" s="11"/>
      <c r="F104" s="11"/>
      <c r="G104" s="60"/>
      <c r="H104" s="23"/>
      <c r="I104" s="4">
        <f>(I138-I135)/8</f>
        <v>194320.05285765982</v>
      </c>
      <c r="J104" s="13"/>
      <c r="K104" s="63"/>
    </row>
    <row r="105" spans="1:11">
      <c r="A105" s="7">
        <f>+A104+1</f>
        <v>27</v>
      </c>
      <c r="B105" s="13" t="s">
        <v>140</v>
      </c>
      <c r="C105" s="64" t="s">
        <v>141</v>
      </c>
      <c r="D105" s="4">
        <f>'4- Rate Base'!J23</f>
        <v>276094.33461538458</v>
      </c>
      <c r="E105" s="11"/>
      <c r="F105" s="11" t="s">
        <v>88</v>
      </c>
      <c r="G105" s="60">
        <f>+G122</f>
        <v>0.23598582233179097</v>
      </c>
      <c r="H105" s="23"/>
      <c r="I105" s="4">
        <f>+G105*D105</f>
        <v>65154.348595360192</v>
      </c>
      <c r="J105" s="11" t="s">
        <v>9</v>
      </c>
      <c r="K105" s="63"/>
    </row>
    <row r="106" spans="1:11" ht="15.75" thickBot="1">
      <c r="A106" s="7">
        <f>+A105+1</f>
        <v>28</v>
      </c>
      <c r="B106" s="13" t="s">
        <v>142</v>
      </c>
      <c r="C106" s="23" t="s">
        <v>143</v>
      </c>
      <c r="D106" s="61">
        <f>'4- Rate Base'!K23</f>
        <v>1369365.2376923077</v>
      </c>
      <c r="E106" s="11"/>
      <c r="F106" s="11" t="s">
        <v>144</v>
      </c>
      <c r="G106" s="60">
        <f>+G70</f>
        <v>0.23598582233179097</v>
      </c>
      <c r="H106" s="23"/>
      <c r="I106" s="61">
        <f>+G106*D106</f>
        <v>323150.78168938763</v>
      </c>
      <c r="J106" s="11"/>
      <c r="K106" s="63"/>
    </row>
    <row r="107" spans="1:11">
      <c r="A107" s="7">
        <f>+A106+1</f>
        <v>29</v>
      </c>
      <c r="B107" s="13" t="s">
        <v>145</v>
      </c>
      <c r="C107" s="13" t="s">
        <v>146</v>
      </c>
      <c r="D107" s="4">
        <f>SUM(D104:D106)</f>
        <v>2468899.0948076923</v>
      </c>
      <c r="E107" s="13"/>
      <c r="F107" s="13"/>
      <c r="G107" s="1"/>
      <c r="H107" s="1"/>
      <c r="I107" s="4">
        <f>I104+I105+I106</f>
        <v>582625.18314240756</v>
      </c>
      <c r="J107" s="13"/>
      <c r="K107" s="13"/>
    </row>
    <row r="108" spans="1:11" ht="15.75" thickBot="1">
      <c r="A108" s="7"/>
      <c r="B108" s="5"/>
      <c r="C108" s="11"/>
      <c r="D108" s="61"/>
      <c r="E108" s="11"/>
      <c r="F108" s="11"/>
      <c r="G108" s="11"/>
      <c r="H108" s="11"/>
      <c r="I108" s="61"/>
      <c r="J108" s="11"/>
      <c r="K108" s="11"/>
    </row>
    <row r="109" spans="1:11" ht="15.75" thickBot="1">
      <c r="A109" s="7">
        <f>+A107+1</f>
        <v>30</v>
      </c>
      <c r="B109" s="13" t="s">
        <v>147</v>
      </c>
      <c r="C109" s="11" t="s">
        <v>148</v>
      </c>
      <c r="D109" s="65">
        <f>+D107+D101+D99+D86+D88</f>
        <v>13862855.22320601</v>
      </c>
      <c r="E109" s="23"/>
      <c r="F109" s="23"/>
      <c r="G109" s="66"/>
      <c r="H109" s="23"/>
      <c r="I109" s="65">
        <f>+I107+I101+I99+I86+I88</f>
        <v>3271437.2897148337</v>
      </c>
      <c r="J109" s="11"/>
      <c r="K109" s="63"/>
    </row>
    <row r="110" spans="1:11" ht="15.75" thickTop="1">
      <c r="A110" s="7"/>
      <c r="B110" s="13"/>
      <c r="C110" s="11"/>
      <c r="D110" s="23"/>
      <c r="E110" s="23"/>
      <c r="F110" s="23"/>
      <c r="G110" s="66"/>
      <c r="H110" s="23"/>
      <c r="I110" s="23"/>
      <c r="J110" s="11"/>
      <c r="K110" s="63"/>
    </row>
    <row r="111" spans="1:11">
      <c r="A111" s="7"/>
      <c r="B111" s="13"/>
      <c r="C111" s="11"/>
      <c r="D111" s="23"/>
      <c r="E111" s="23"/>
      <c r="F111" s="23"/>
      <c r="G111" s="66"/>
      <c r="H111" s="23"/>
      <c r="I111" s="23"/>
      <c r="J111" s="11"/>
      <c r="K111" s="63"/>
    </row>
    <row r="112" spans="1:11">
      <c r="A112" s="7"/>
      <c r="B112" s="13"/>
      <c r="C112" s="11"/>
      <c r="D112" s="11"/>
      <c r="E112" s="11"/>
      <c r="F112" s="11"/>
      <c r="G112" s="11"/>
      <c r="H112" s="11"/>
      <c r="I112" s="11"/>
      <c r="J112" s="11"/>
      <c r="K112" s="52" t="str">
        <f>$K$1</f>
        <v>Attachment 9A-GLH</v>
      </c>
    </row>
    <row r="113" spans="1:11">
      <c r="A113" s="7"/>
      <c r="B113" s="13"/>
      <c r="C113" s="11"/>
      <c r="D113" s="11"/>
      <c r="E113" s="11"/>
      <c r="F113" s="11"/>
      <c r="G113" s="11"/>
      <c r="H113" s="11"/>
      <c r="I113" s="11"/>
      <c r="J113" s="11"/>
      <c r="K113" s="52" t="s">
        <v>149</v>
      </c>
    </row>
    <row r="114" spans="1:11">
      <c r="A114" s="7"/>
      <c r="B114" s="13" t="s">
        <v>2</v>
      </c>
      <c r="C114" s="11"/>
      <c r="D114" s="7" t="str">
        <f>$D$3</f>
        <v>Non-MISO Rate Formula Template</v>
      </c>
      <c r="E114" s="11"/>
      <c r="F114" s="11"/>
      <c r="G114" s="11"/>
      <c r="H114" s="11"/>
      <c r="I114" s="1"/>
      <c r="J114" s="11"/>
      <c r="K114" s="67" t="str">
        <f>K3</f>
        <v>For the 12 months ended 12/31/2020</v>
      </c>
    </row>
    <row r="115" spans="1:11">
      <c r="A115" s="7"/>
      <c r="B115" s="13"/>
      <c r="C115" s="11"/>
      <c r="D115" s="12" t="s">
        <v>4</v>
      </c>
      <c r="E115" s="11"/>
      <c r="F115" s="11"/>
      <c r="G115" s="677"/>
      <c r="H115" s="11"/>
      <c r="I115" s="11"/>
      <c r="J115" s="11"/>
      <c r="K115" s="11"/>
    </row>
    <row r="116" spans="1:11">
      <c r="A116" s="7"/>
      <c r="B116" s="5"/>
      <c r="C116" s="11"/>
      <c r="D116" s="12" t="str">
        <f>+D58</f>
        <v>GridLiance Heartland LLC</v>
      </c>
      <c r="E116" s="11"/>
      <c r="F116" s="11"/>
      <c r="G116" s="11"/>
      <c r="H116" s="11"/>
      <c r="I116" s="11"/>
      <c r="J116" s="11"/>
      <c r="K116" s="11"/>
    </row>
    <row r="117" spans="1:11">
      <c r="A117" s="696"/>
      <c r="B117" s="696"/>
      <c r="C117" s="696"/>
      <c r="D117" s="696"/>
      <c r="E117" s="696"/>
      <c r="F117" s="696"/>
      <c r="G117" s="696"/>
      <c r="H117" s="696"/>
      <c r="I117" s="696"/>
      <c r="J117" s="696"/>
      <c r="K117" s="696"/>
    </row>
    <row r="118" spans="1:11">
      <c r="A118" s="7"/>
      <c r="B118" s="18" t="s">
        <v>6</v>
      </c>
      <c r="C118" s="18" t="s">
        <v>7</v>
      </c>
      <c r="D118" s="18" t="s">
        <v>8</v>
      </c>
      <c r="E118" s="11" t="s">
        <v>9</v>
      </c>
      <c r="F118" s="11"/>
      <c r="G118" s="17" t="s">
        <v>10</v>
      </c>
      <c r="H118" s="11"/>
      <c r="I118" s="17" t="s">
        <v>11</v>
      </c>
      <c r="J118" s="11"/>
      <c r="K118" s="11"/>
    </row>
    <row r="119" spans="1:11">
      <c r="A119" s="7" t="s">
        <v>12</v>
      </c>
      <c r="B119" s="13"/>
      <c r="C119" s="55"/>
      <c r="D119" s="11"/>
      <c r="E119" s="11"/>
      <c r="F119" s="11"/>
      <c r="G119" s="7"/>
      <c r="H119" s="11"/>
      <c r="I119" s="56" t="s">
        <v>77</v>
      </c>
      <c r="J119" s="11"/>
      <c r="K119" s="56"/>
    </row>
    <row r="120" spans="1:11" ht="15.75" thickBot="1">
      <c r="A120" s="19" t="s">
        <v>14</v>
      </c>
      <c r="B120" s="13"/>
      <c r="C120" s="57" t="s">
        <v>15</v>
      </c>
      <c r="D120" s="56" t="s">
        <v>78</v>
      </c>
      <c r="E120" s="58"/>
      <c r="F120" s="56" t="s">
        <v>79</v>
      </c>
      <c r="G120" s="5"/>
      <c r="H120" s="58"/>
      <c r="I120" s="7" t="s">
        <v>80</v>
      </c>
      <c r="J120" s="11"/>
      <c r="K120" s="56"/>
    </row>
    <row r="121" spans="1:11">
      <c r="A121" s="7"/>
      <c r="B121" s="13" t="s">
        <v>150</v>
      </c>
      <c r="C121" s="11" t="s">
        <v>151</v>
      </c>
      <c r="D121" s="11"/>
      <c r="E121" s="11"/>
      <c r="F121" s="11"/>
      <c r="G121" s="11"/>
      <c r="H121" s="11"/>
      <c r="I121" s="11"/>
      <c r="J121" s="11"/>
      <c r="K121" s="11"/>
    </row>
    <row r="122" spans="1:11">
      <c r="A122" s="7">
        <v>1</v>
      </c>
      <c r="B122" s="13" t="s">
        <v>152</v>
      </c>
      <c r="C122" s="11" t="s">
        <v>153</v>
      </c>
      <c r="D122" s="4">
        <f>'5-P3 Support'!C22</f>
        <v>4571071.2500000009</v>
      </c>
      <c r="E122" s="11"/>
      <c r="F122" s="11" t="s">
        <v>88</v>
      </c>
      <c r="G122" s="689">
        <f>+I209</f>
        <v>0.23598582233179097</v>
      </c>
      <c r="H122" s="23"/>
      <c r="I122" s="4">
        <f t="shared" ref="I122:I133" si="0">+G122*D122</f>
        <v>1078708.0078684578</v>
      </c>
      <c r="J122" s="13"/>
      <c r="K122" s="11"/>
    </row>
    <row r="123" spans="1:11" ht="12" customHeight="1">
      <c r="A123" s="68" t="s">
        <v>154</v>
      </c>
      <c r="B123" s="69" t="s">
        <v>155</v>
      </c>
      <c r="C123" s="11" t="s">
        <v>156</v>
      </c>
      <c r="D123" s="4">
        <f>'5-P3 Support'!N22</f>
        <v>1102459.3400000001</v>
      </c>
      <c r="E123" s="38"/>
      <c r="F123" s="38" t="str">
        <f>+F122</f>
        <v>TP</v>
      </c>
      <c r="G123" s="690">
        <f>+G122</f>
        <v>0.23598582233179097</v>
      </c>
      <c r="H123" s="38"/>
      <c r="I123" s="678">
        <f t="shared" si="0"/>
        <v>260164.77393726356</v>
      </c>
      <c r="K123" s="11"/>
    </row>
    <row r="124" spans="1:11">
      <c r="A124" s="34" t="s">
        <v>157</v>
      </c>
      <c r="B124" s="41" t="s">
        <v>158</v>
      </c>
      <c r="C124" s="11" t="s">
        <v>159</v>
      </c>
      <c r="D124" s="4">
        <f>'5-P3 Support'!D22</f>
        <v>0</v>
      </c>
      <c r="E124" s="38"/>
      <c r="F124" s="38" t="str">
        <f>+F123</f>
        <v>TP</v>
      </c>
      <c r="G124" s="60">
        <f>+G123</f>
        <v>0.23598582233179097</v>
      </c>
      <c r="H124" s="38"/>
      <c r="I124" s="4">
        <f t="shared" si="0"/>
        <v>0</v>
      </c>
      <c r="K124" s="11"/>
    </row>
    <row r="125" spans="1:11">
      <c r="A125" s="34">
        <v>2</v>
      </c>
      <c r="B125" s="13" t="s">
        <v>160</v>
      </c>
      <c r="C125" s="11" t="s">
        <v>161</v>
      </c>
      <c r="D125" s="4">
        <f>'5-P3 Support'!E22</f>
        <v>0</v>
      </c>
      <c r="E125" s="11"/>
      <c r="F125" s="11" t="str">
        <f>+F123</f>
        <v>TP</v>
      </c>
      <c r="G125" s="60">
        <f>+G124</f>
        <v>0.23598582233179097</v>
      </c>
      <c r="H125" s="23"/>
      <c r="I125" s="4">
        <f t="shared" si="0"/>
        <v>0</v>
      </c>
      <c r="J125" s="13"/>
      <c r="K125" s="11"/>
    </row>
    <row r="126" spans="1:11">
      <c r="A126" s="34">
        <f>+A125+1</f>
        <v>3</v>
      </c>
      <c r="B126" s="13" t="s">
        <v>162</v>
      </c>
      <c r="C126" s="11" t="s">
        <v>163</v>
      </c>
      <c r="D126" s="4">
        <f>'5-P3 Support'!F22-D149</f>
        <v>3118904.27</v>
      </c>
      <c r="E126" s="11"/>
      <c r="F126" s="11" t="s">
        <v>93</v>
      </c>
      <c r="G126" s="60">
        <f>+I217</f>
        <v>0.23598582233179097</v>
      </c>
      <c r="H126" s="23"/>
      <c r="I126" s="4">
        <f t="shared" si="0"/>
        <v>736017.18893008423</v>
      </c>
      <c r="J126" s="11"/>
      <c r="K126" s="11" t="s">
        <v>9</v>
      </c>
    </row>
    <row r="127" spans="1:11">
      <c r="A127" s="34">
        <f>+A126+1</f>
        <v>4</v>
      </c>
      <c r="B127" s="13" t="s">
        <v>164</v>
      </c>
      <c r="C127" s="11" t="s">
        <v>165</v>
      </c>
      <c r="D127" s="4">
        <f>'5-P3 Support'!G22</f>
        <v>0</v>
      </c>
      <c r="E127" s="11"/>
      <c r="F127" s="11" t="s">
        <v>93</v>
      </c>
      <c r="G127" s="60">
        <f>+G126</f>
        <v>0.23598582233179097</v>
      </c>
      <c r="H127" s="23"/>
      <c r="I127" s="4">
        <f t="shared" si="0"/>
        <v>0</v>
      </c>
      <c r="J127" s="11"/>
      <c r="K127" s="11"/>
    </row>
    <row r="128" spans="1:11">
      <c r="A128" s="34">
        <f>+A127+1</f>
        <v>5</v>
      </c>
      <c r="B128" s="13" t="s">
        <v>166</v>
      </c>
      <c r="C128" s="11" t="s">
        <v>167</v>
      </c>
      <c r="D128" s="4">
        <f>'5-P3 Support'!H22</f>
        <v>0</v>
      </c>
      <c r="E128" s="11"/>
      <c r="F128" s="11" t="s">
        <v>93</v>
      </c>
      <c r="G128" s="60">
        <f>+G127</f>
        <v>0.23598582233179097</v>
      </c>
      <c r="H128" s="23"/>
      <c r="I128" s="4">
        <f t="shared" si="0"/>
        <v>0</v>
      </c>
      <c r="J128" s="11"/>
      <c r="K128" s="11"/>
    </row>
    <row r="129" spans="1:96">
      <c r="A129" s="34" t="s">
        <v>168</v>
      </c>
      <c r="B129" s="13" t="s">
        <v>169</v>
      </c>
      <c r="C129" s="11" t="s">
        <v>170</v>
      </c>
      <c r="D129" s="4">
        <f>'5-P3 Support'!I22</f>
        <v>0</v>
      </c>
      <c r="E129" s="11"/>
      <c r="F129" s="70" t="s">
        <v>88</v>
      </c>
      <c r="G129" s="60">
        <f>+G122</f>
        <v>0.23598582233179097</v>
      </c>
      <c r="H129" s="23"/>
      <c r="I129" s="4">
        <f t="shared" si="0"/>
        <v>0</v>
      </c>
      <c r="J129" s="11"/>
      <c r="K129" s="11"/>
    </row>
    <row r="130" spans="1:96" s="71" customFormat="1">
      <c r="A130" s="34" t="s">
        <v>171</v>
      </c>
      <c r="B130" s="13" t="s">
        <v>172</v>
      </c>
      <c r="C130" s="11" t="s">
        <v>173</v>
      </c>
      <c r="D130" s="72">
        <f>'7 - PBOP'!D13</f>
        <v>0</v>
      </c>
      <c r="E130" s="73"/>
      <c r="F130" s="11" t="str">
        <f>+F128</f>
        <v>W/S</v>
      </c>
      <c r="G130" s="60">
        <f>+G128</f>
        <v>0.23598582233179097</v>
      </c>
      <c r="H130" s="74"/>
      <c r="I130" s="4">
        <f t="shared" si="0"/>
        <v>0</v>
      </c>
      <c r="J130" s="73"/>
      <c r="K130" s="73"/>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row>
    <row r="131" spans="1:96" s="71" customFormat="1">
      <c r="A131" s="34" t="s">
        <v>174</v>
      </c>
      <c r="B131" s="13" t="s">
        <v>175</v>
      </c>
      <c r="C131" s="11" t="s">
        <v>176</v>
      </c>
      <c r="D131" s="72">
        <f>'7 - PBOP'!D16</f>
        <v>0</v>
      </c>
      <c r="E131" s="73"/>
      <c r="F131" s="70" t="str">
        <f>+F128</f>
        <v>W/S</v>
      </c>
      <c r="G131" s="60">
        <f>+G128</f>
        <v>0.23598582233179097</v>
      </c>
      <c r="H131" s="74"/>
      <c r="I131" s="4">
        <f t="shared" si="0"/>
        <v>0</v>
      </c>
      <c r="J131" s="73"/>
      <c r="K131" s="73"/>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row>
    <row r="132" spans="1:96">
      <c r="A132" s="34">
        <v>6</v>
      </c>
      <c r="B132" s="13" t="s">
        <v>94</v>
      </c>
      <c r="C132" s="11" t="s">
        <v>177</v>
      </c>
      <c r="D132" s="75">
        <v>0</v>
      </c>
      <c r="E132" s="11"/>
      <c r="F132" s="11" t="s">
        <v>96</v>
      </c>
      <c r="G132" s="60">
        <f>+G77</f>
        <v>0.23598582233179097</v>
      </c>
      <c r="H132" s="23"/>
      <c r="I132" s="4">
        <f t="shared" si="0"/>
        <v>0</v>
      </c>
      <c r="J132" s="11"/>
      <c r="K132" s="11"/>
    </row>
    <row r="133" spans="1:96">
      <c r="A133" s="34">
        <f>+A132+1</f>
        <v>7</v>
      </c>
      <c r="B133" s="13" t="s">
        <v>178</v>
      </c>
      <c r="C133" s="11" t="s">
        <v>179</v>
      </c>
      <c r="D133" s="4">
        <f>'5-P3 Support'!J22</f>
        <v>0</v>
      </c>
      <c r="E133" s="11"/>
      <c r="F133" s="4" t="s">
        <v>85</v>
      </c>
      <c r="G133" s="60">
        <v>0</v>
      </c>
      <c r="H133" s="23"/>
      <c r="I133" s="4">
        <f t="shared" si="0"/>
        <v>0</v>
      </c>
      <c r="J133" s="11"/>
      <c r="K133" s="11"/>
    </row>
    <row r="134" spans="1:96">
      <c r="A134" s="34" t="s">
        <v>180</v>
      </c>
      <c r="B134" s="35" t="s">
        <v>181</v>
      </c>
      <c r="C134" s="38"/>
      <c r="D134" s="4"/>
      <c r="E134" s="38"/>
      <c r="F134" s="38"/>
      <c r="G134" s="60"/>
      <c r="H134" s="38"/>
      <c r="I134" s="4"/>
      <c r="K134" s="11"/>
    </row>
    <row r="135" spans="1:96">
      <c r="A135" s="34" t="s">
        <v>182</v>
      </c>
      <c r="B135" s="35" t="s">
        <v>183</v>
      </c>
      <c r="C135" s="38" t="s">
        <v>184</v>
      </c>
      <c r="D135" s="4">
        <f>'5-P3 Support'!K22</f>
        <v>0</v>
      </c>
      <c r="E135" s="38"/>
      <c r="F135" s="4" t="s">
        <v>85</v>
      </c>
      <c r="G135" s="60">
        <v>0</v>
      </c>
      <c r="H135" s="38"/>
      <c r="I135" s="4">
        <f>+G135*D135</f>
        <v>0</v>
      </c>
      <c r="K135" s="11"/>
    </row>
    <row r="136" spans="1:96">
      <c r="A136" s="34" t="s">
        <v>185</v>
      </c>
      <c r="B136" s="35" t="s">
        <v>186</v>
      </c>
      <c r="C136" s="11" t="s">
        <v>187</v>
      </c>
      <c r="D136" s="4">
        <f>'5-P3 Support'!L22</f>
        <v>0</v>
      </c>
      <c r="E136" s="38"/>
      <c r="F136" s="38" t="s">
        <v>88</v>
      </c>
      <c r="G136" s="60">
        <f>+G122</f>
        <v>0.23598582233179097</v>
      </c>
      <c r="H136" s="38"/>
      <c r="I136" s="4">
        <f>+G136*D136</f>
        <v>0</v>
      </c>
      <c r="K136" s="11"/>
    </row>
    <row r="137" spans="1:96" ht="15.75" thickBot="1">
      <c r="A137" s="34" t="s">
        <v>188</v>
      </c>
      <c r="B137" s="35" t="s">
        <v>189</v>
      </c>
      <c r="C137" s="38" t="s">
        <v>190</v>
      </c>
      <c r="D137" s="61">
        <f>SUM(D135:D136)</f>
        <v>0</v>
      </c>
      <c r="E137" s="38"/>
      <c r="F137" s="38"/>
      <c r="G137" s="60"/>
      <c r="H137" s="38"/>
      <c r="I137" s="61">
        <f>SUM(I135:I136)</f>
        <v>0</v>
      </c>
      <c r="K137" s="11"/>
    </row>
    <row r="138" spans="1:96" ht="25.5">
      <c r="A138" s="34">
        <v>8</v>
      </c>
      <c r="B138" s="76" t="s">
        <v>191</v>
      </c>
      <c r="C138" s="77" t="s">
        <v>192</v>
      </c>
      <c r="D138" s="4">
        <f>+D122-D125-D123+D126-D127-D128-D130+D129+D131+D132+D133+D137-D124</f>
        <v>6587516.1800000016</v>
      </c>
      <c r="E138" s="4"/>
      <c r="F138" s="4"/>
      <c r="G138" s="60"/>
      <c r="H138" s="4"/>
      <c r="I138" s="4">
        <f>+I122-I125-I123+I126-I127-I128-I130+I129+I131+I132+I133+I137-I124</f>
        <v>1554560.4228612785</v>
      </c>
      <c r="J138" s="11"/>
      <c r="K138" s="11"/>
    </row>
    <row r="139" spans="1:96">
      <c r="A139" s="34"/>
      <c r="B139" s="5"/>
      <c r="C139" s="11"/>
      <c r="D139" s="4"/>
      <c r="E139" s="4"/>
      <c r="F139" s="4"/>
      <c r="G139" s="60"/>
      <c r="H139" s="4"/>
      <c r="I139" s="4"/>
      <c r="J139" s="11"/>
      <c r="K139" s="11"/>
    </row>
    <row r="140" spans="1:96">
      <c r="A140" s="34"/>
      <c r="B140" s="13" t="s">
        <v>193</v>
      </c>
      <c r="C140" s="11" t="s">
        <v>194</v>
      </c>
      <c r="D140" s="4"/>
      <c r="E140" s="4"/>
      <c r="F140" s="4"/>
      <c r="G140" s="60"/>
      <c r="H140" s="4"/>
      <c r="I140" s="4"/>
      <c r="J140" s="11"/>
      <c r="K140" s="11"/>
    </row>
    <row r="141" spans="1:96">
      <c r="A141" s="34">
        <v>9</v>
      </c>
      <c r="B141" s="13" t="s">
        <v>152</v>
      </c>
      <c r="C141" s="64" t="s">
        <v>195</v>
      </c>
      <c r="D141" s="4">
        <f>'5-P3 Support'!M22</f>
        <v>416168.62000000005</v>
      </c>
      <c r="E141" s="4"/>
      <c r="F141" s="4" t="s">
        <v>88</v>
      </c>
      <c r="G141" s="60">
        <f>+G101</f>
        <v>0.23598582233179097</v>
      </c>
      <c r="H141" s="4"/>
      <c r="I141" s="4">
        <f>+G141*D141</f>
        <v>98209.894019386644</v>
      </c>
      <c r="J141" s="11"/>
      <c r="K141" s="63"/>
    </row>
    <row r="142" spans="1:96">
      <c r="A142" s="34">
        <f>+A141+1</f>
        <v>10</v>
      </c>
      <c r="B142" s="78" t="s">
        <v>91</v>
      </c>
      <c r="C142" s="64" t="s">
        <v>196</v>
      </c>
      <c r="D142" s="4">
        <f>'5-P3 Support'!C41</f>
        <v>0</v>
      </c>
      <c r="E142" s="4"/>
      <c r="F142" s="4" t="s">
        <v>93</v>
      </c>
      <c r="G142" s="60">
        <f>+G126</f>
        <v>0.23598582233179097</v>
      </c>
      <c r="H142" s="4"/>
      <c r="I142" s="4">
        <f>+G142*D142</f>
        <v>0</v>
      </c>
      <c r="J142" s="11"/>
      <c r="K142" s="63"/>
    </row>
    <row r="143" spans="1:96">
      <c r="A143" s="34">
        <f>+A142+1</f>
        <v>11</v>
      </c>
      <c r="B143" s="13" t="s">
        <v>94</v>
      </c>
      <c r="C143" s="64" t="s">
        <v>197</v>
      </c>
      <c r="D143" s="4">
        <f>'5-P3 Support'!N41</f>
        <v>0</v>
      </c>
      <c r="E143" s="4"/>
      <c r="F143" s="4" t="s">
        <v>96</v>
      </c>
      <c r="G143" s="60">
        <f>+G132</f>
        <v>0.23598582233179097</v>
      </c>
      <c r="H143" s="4"/>
      <c r="I143" s="4">
        <f>+G143*D143</f>
        <v>0</v>
      </c>
      <c r="J143" s="11"/>
      <c r="K143" s="63"/>
    </row>
    <row r="144" spans="1:96" ht="15.75" thickBot="1">
      <c r="A144" s="34" t="s">
        <v>198</v>
      </c>
      <c r="B144" s="35" t="s">
        <v>199</v>
      </c>
      <c r="C144" s="24" t="s">
        <v>200</v>
      </c>
      <c r="D144" s="61">
        <f>'5-P3 Support'!D41</f>
        <v>0</v>
      </c>
      <c r="E144" s="4"/>
      <c r="F144" s="4" t="s">
        <v>85</v>
      </c>
      <c r="G144" s="60">
        <v>0</v>
      </c>
      <c r="H144" s="4"/>
      <c r="I144" s="61">
        <f>+G144*D144</f>
        <v>0</v>
      </c>
      <c r="J144" s="11"/>
      <c r="K144" s="63"/>
    </row>
    <row r="145" spans="1:11">
      <c r="A145" s="34">
        <v>12</v>
      </c>
      <c r="B145" s="13" t="s">
        <v>201</v>
      </c>
      <c r="C145" s="11" t="s">
        <v>202</v>
      </c>
      <c r="D145" s="4">
        <f>SUM(D141:D144)</f>
        <v>416168.62000000005</v>
      </c>
      <c r="E145" s="4"/>
      <c r="F145" s="4"/>
      <c r="G145" s="60"/>
      <c r="H145" s="4"/>
      <c r="I145" s="62">
        <f>SUM(I141:I144)</f>
        <v>98209.894019386644</v>
      </c>
      <c r="J145" s="11"/>
      <c r="K145" s="11"/>
    </row>
    <row r="146" spans="1:11">
      <c r="A146" s="34"/>
      <c r="B146" s="13"/>
      <c r="C146" s="11"/>
      <c r="D146" s="4"/>
      <c r="E146" s="4"/>
      <c r="F146" s="4"/>
      <c r="G146" s="60"/>
      <c r="H146" s="4"/>
      <c r="I146" s="4"/>
      <c r="J146" s="11"/>
      <c r="K146" s="11"/>
    </row>
    <row r="147" spans="1:11">
      <c r="A147" s="34"/>
      <c r="B147" s="13" t="s">
        <v>203</v>
      </c>
      <c r="C147" s="5" t="s">
        <v>204</v>
      </c>
      <c r="D147" s="4"/>
      <c r="E147" s="4"/>
      <c r="F147" s="4"/>
      <c r="G147" s="60"/>
      <c r="H147" s="4"/>
      <c r="I147" s="4"/>
      <c r="J147" s="11"/>
      <c r="K147" s="11"/>
    </row>
    <row r="148" spans="1:11">
      <c r="A148" s="34"/>
      <c r="B148" s="13" t="s">
        <v>205</v>
      </c>
      <c r="C148" s="5"/>
      <c r="D148" s="4"/>
      <c r="E148" s="4"/>
      <c r="F148" s="4"/>
      <c r="G148" s="60"/>
      <c r="H148" s="4"/>
      <c r="I148" s="4"/>
      <c r="J148" s="11"/>
      <c r="K148" s="63"/>
    </row>
    <row r="149" spans="1:11">
      <c r="A149" s="34">
        <f>+A145+1</f>
        <v>13</v>
      </c>
      <c r="B149" s="13" t="s">
        <v>206</v>
      </c>
      <c r="C149" s="11" t="s">
        <v>207</v>
      </c>
      <c r="D149" s="4">
        <f>'5-P3 Support'!E41</f>
        <v>0</v>
      </c>
      <c r="E149" s="4"/>
      <c r="F149" s="4" t="s">
        <v>93</v>
      </c>
      <c r="G149" s="60">
        <f>+G142</f>
        <v>0.23598582233179097</v>
      </c>
      <c r="H149" s="4"/>
      <c r="I149" s="4">
        <f>+G149*D149</f>
        <v>0</v>
      </c>
      <c r="J149" s="11"/>
      <c r="K149" s="63"/>
    </row>
    <row r="150" spans="1:11">
      <c r="A150" s="34">
        <f t="shared" ref="A150:A156" si="1">+A149+1</f>
        <v>14</v>
      </c>
      <c r="B150" s="13" t="s">
        <v>208</v>
      </c>
      <c r="C150" s="11" t="s">
        <v>209</v>
      </c>
      <c r="D150" s="4">
        <f>'5-P3 Support'!F41</f>
        <v>0</v>
      </c>
      <c r="E150" s="4"/>
      <c r="F150" s="4" t="s">
        <v>93</v>
      </c>
      <c r="G150" s="60">
        <f>+G149</f>
        <v>0.23598582233179097</v>
      </c>
      <c r="H150" s="4"/>
      <c r="I150" s="4">
        <f>+G150*D150</f>
        <v>0</v>
      </c>
      <c r="J150" s="11"/>
      <c r="K150" s="63"/>
    </row>
    <row r="151" spans="1:11">
      <c r="A151" s="34">
        <f t="shared" si="1"/>
        <v>15</v>
      </c>
      <c r="B151" s="13" t="s">
        <v>210</v>
      </c>
      <c r="C151" s="11" t="s">
        <v>9</v>
      </c>
      <c r="D151" s="4"/>
      <c r="E151" s="4"/>
      <c r="F151" s="4"/>
      <c r="G151" s="60"/>
      <c r="H151" s="4"/>
      <c r="I151" s="4"/>
      <c r="J151" s="11"/>
      <c r="K151" s="63"/>
    </row>
    <row r="152" spans="1:11">
      <c r="A152" s="34">
        <f t="shared" si="1"/>
        <v>16</v>
      </c>
      <c r="B152" s="13" t="s">
        <v>211</v>
      </c>
      <c r="C152" s="11" t="s">
        <v>212</v>
      </c>
      <c r="D152" s="4">
        <f>'5-P3 Support'!G41</f>
        <v>0</v>
      </c>
      <c r="E152" s="4"/>
      <c r="F152" s="4" t="s">
        <v>144</v>
      </c>
      <c r="G152" s="60">
        <f>+G70</f>
        <v>0.23598582233179097</v>
      </c>
      <c r="H152" s="4"/>
      <c r="I152" s="4">
        <f>+G152*D152</f>
        <v>0</v>
      </c>
      <c r="J152" s="11"/>
      <c r="K152" s="63"/>
    </row>
    <row r="153" spans="1:11">
      <c r="A153" s="34">
        <f t="shared" si="1"/>
        <v>17</v>
      </c>
      <c r="B153" s="13" t="s">
        <v>213</v>
      </c>
      <c r="C153" s="11" t="s">
        <v>214</v>
      </c>
      <c r="D153" s="4">
        <f>'5-P3 Support'!H41</f>
        <v>0</v>
      </c>
      <c r="E153" s="4"/>
      <c r="F153" s="4" t="s">
        <v>85</v>
      </c>
      <c r="G153" s="60" t="s">
        <v>117</v>
      </c>
      <c r="H153" s="4"/>
      <c r="I153" s="4">
        <v>0</v>
      </c>
      <c r="J153" s="11"/>
      <c r="K153" s="63"/>
    </row>
    <row r="154" spans="1:11">
      <c r="A154" s="34">
        <f t="shared" si="1"/>
        <v>18</v>
      </c>
      <c r="B154" s="13" t="s">
        <v>215</v>
      </c>
      <c r="C154" s="11" t="s">
        <v>216</v>
      </c>
      <c r="D154" s="4">
        <f>'5-P3 Support'!I41</f>
        <v>2893.6000000000004</v>
      </c>
      <c r="E154" s="4"/>
      <c r="F154" s="4" t="s">
        <v>144</v>
      </c>
      <c r="G154" s="60">
        <f>+G152</f>
        <v>0.23598582233179097</v>
      </c>
      <c r="H154" s="4"/>
      <c r="I154" s="4">
        <f>+G154*D154</f>
        <v>682.8485754992704</v>
      </c>
      <c r="J154" s="11"/>
      <c r="K154" s="63"/>
    </row>
    <row r="155" spans="1:11" ht="15.75" thickBot="1">
      <c r="A155" s="34">
        <f t="shared" si="1"/>
        <v>19</v>
      </c>
      <c r="B155" s="13" t="s">
        <v>217</v>
      </c>
      <c r="C155" s="11" t="s">
        <v>218</v>
      </c>
      <c r="D155" s="61">
        <f>'5-P3 Support'!J41</f>
        <v>0</v>
      </c>
      <c r="E155" s="4"/>
      <c r="F155" s="4" t="s">
        <v>144</v>
      </c>
      <c r="G155" s="60">
        <f>+G152</f>
        <v>0.23598582233179097</v>
      </c>
      <c r="H155" s="4"/>
      <c r="I155" s="61">
        <f>+G155*D155</f>
        <v>0</v>
      </c>
      <c r="J155" s="11"/>
      <c r="K155" s="63"/>
    </row>
    <row r="156" spans="1:11">
      <c r="A156" s="34">
        <f t="shared" si="1"/>
        <v>20</v>
      </c>
      <c r="B156" s="13" t="s">
        <v>219</v>
      </c>
      <c r="C156" s="11" t="s">
        <v>220</v>
      </c>
      <c r="D156" s="4">
        <f>SUM(D149:D155)</f>
        <v>2893.6000000000004</v>
      </c>
      <c r="E156" s="4"/>
      <c r="F156" s="4"/>
      <c r="G156" s="60"/>
      <c r="H156" s="4"/>
      <c r="I156" s="4">
        <f>SUM(I149:I155)</f>
        <v>682.8485754992704</v>
      </c>
      <c r="J156" s="11"/>
      <c r="K156" s="11"/>
    </row>
    <row r="157" spans="1:11">
      <c r="A157" s="34"/>
      <c r="B157" s="13"/>
      <c r="C157" s="11"/>
      <c r="D157" s="11"/>
      <c r="E157" s="11"/>
      <c r="F157" s="11"/>
      <c r="G157" s="60"/>
      <c r="H157" s="11"/>
      <c r="I157" s="11"/>
      <c r="J157" s="11"/>
      <c r="K157" s="11"/>
    </row>
    <row r="158" spans="1:11">
      <c r="A158" s="34"/>
      <c r="B158" s="13" t="s">
        <v>221</v>
      </c>
      <c r="C158" s="11" t="str">
        <f>"(Note "&amp;A$278&amp;")"</f>
        <v>(Note K)</v>
      </c>
      <c r="D158" s="11"/>
      <c r="E158" s="11"/>
      <c r="F158" s="5"/>
      <c r="G158" s="60"/>
      <c r="H158" s="11"/>
      <c r="I158" s="5"/>
      <c r="J158" s="11"/>
      <c r="K158" s="5"/>
    </row>
    <row r="159" spans="1:11">
      <c r="A159" s="34">
        <v>21</v>
      </c>
      <c r="B159" s="79" t="s">
        <v>222</v>
      </c>
      <c r="C159" s="11" t="s">
        <v>223</v>
      </c>
      <c r="D159" s="80">
        <f>'10 - Income Tax Allowance '!M28</f>
        <v>0.18849587296573275</v>
      </c>
      <c r="E159" s="11"/>
      <c r="F159" s="5"/>
      <c r="G159" s="81"/>
      <c r="H159" s="11"/>
      <c r="I159" s="5"/>
      <c r="J159" s="11"/>
      <c r="K159" s="5"/>
    </row>
    <row r="160" spans="1:11">
      <c r="A160" s="34">
        <f>+A159+1</f>
        <v>22</v>
      </c>
      <c r="B160" s="5" t="s">
        <v>224</v>
      </c>
      <c r="C160" s="11" t="s">
        <v>225</v>
      </c>
      <c r="D160" s="80">
        <f>IF(I228&gt;0,(D159/(1-D159))*(1-I228/I231),0)</f>
        <v>0.19926546442350523</v>
      </c>
      <c r="E160" s="11"/>
      <c r="F160" s="5"/>
      <c r="G160" s="81"/>
      <c r="H160" s="11"/>
      <c r="I160" s="5"/>
      <c r="J160" s="11"/>
      <c r="K160" s="5"/>
    </row>
    <row r="161" spans="1:12" ht="14.25" customHeight="1">
      <c r="A161" s="34"/>
      <c r="B161" s="13" t="s">
        <v>226</v>
      </c>
      <c r="C161" s="11" t="s">
        <v>227</v>
      </c>
      <c r="D161" s="11"/>
      <c r="E161" s="11"/>
      <c r="F161" s="5"/>
      <c r="G161" s="81"/>
      <c r="H161" s="11"/>
      <c r="I161" s="5"/>
      <c r="J161" s="11"/>
      <c r="K161" s="5"/>
    </row>
    <row r="162" spans="1:12">
      <c r="A162" s="34"/>
      <c r="B162" s="13"/>
      <c r="D162" s="11"/>
      <c r="E162" s="11"/>
      <c r="F162" s="5"/>
      <c r="G162" s="81"/>
      <c r="H162" s="11"/>
      <c r="I162" s="5"/>
      <c r="J162" s="11"/>
      <c r="K162" s="5"/>
    </row>
    <row r="163" spans="1:12">
      <c r="A163" s="34">
        <f>+A160+1</f>
        <v>23</v>
      </c>
      <c r="B163" s="79" t="str">
        <f>"      1 / (1 - T)  =  (from Line "&amp;A159&amp;")"</f>
        <v xml:space="preserve">      1 / (1 - T)  =  (from Line 21)</v>
      </c>
      <c r="C163" s="11" t="s">
        <v>228</v>
      </c>
      <c r="D163" s="80">
        <f>IF(D159&gt;0,1/(1-D159),0)</f>
        <v>1.2322796233392084</v>
      </c>
      <c r="E163" s="11"/>
      <c r="F163" s="5"/>
      <c r="G163" s="81"/>
      <c r="H163" s="11"/>
      <c r="I163" s="62"/>
      <c r="J163" s="11"/>
      <c r="K163" s="5"/>
    </row>
    <row r="164" spans="1:12">
      <c r="A164" s="34">
        <f>+A163+1</f>
        <v>24</v>
      </c>
      <c r="B164" s="13" t="s">
        <v>229</v>
      </c>
      <c r="C164" s="11" t="s">
        <v>230</v>
      </c>
      <c r="D164" s="62">
        <f>-'5-P3 Support'!K41</f>
        <v>0</v>
      </c>
      <c r="E164" s="11"/>
      <c r="F164" s="5"/>
      <c r="G164" s="81"/>
      <c r="H164" s="11"/>
      <c r="I164" s="62"/>
      <c r="J164" s="11"/>
      <c r="K164" s="5"/>
    </row>
    <row r="165" spans="1:12">
      <c r="A165" s="34" t="s">
        <v>231</v>
      </c>
      <c r="B165" s="13" t="s">
        <v>232</v>
      </c>
      <c r="C165" s="11" t="s">
        <v>233</v>
      </c>
      <c r="D165" s="62">
        <f>-'5-P3 Support'!L41</f>
        <v>0</v>
      </c>
      <c r="E165" s="11"/>
      <c r="F165" s="5"/>
      <c r="G165" s="81"/>
      <c r="H165" s="11"/>
      <c r="I165" s="62"/>
      <c r="J165" s="11"/>
      <c r="K165" s="5"/>
    </row>
    <row r="166" spans="1:12">
      <c r="A166" s="34" t="s">
        <v>234</v>
      </c>
      <c r="B166" s="13" t="s">
        <v>235</v>
      </c>
      <c r="C166" s="11" t="s">
        <v>236</v>
      </c>
      <c r="D166" s="62">
        <f>'5-P3 Support'!M41</f>
        <v>1302</v>
      </c>
      <c r="E166" s="11"/>
      <c r="F166" s="5"/>
      <c r="G166" s="81"/>
      <c r="H166" s="11"/>
      <c r="I166" s="62"/>
      <c r="J166" s="11"/>
      <c r="K166" s="5"/>
    </row>
    <row r="167" spans="1:12">
      <c r="A167" s="34">
        <v>25</v>
      </c>
      <c r="B167" s="79" t="s">
        <v>237</v>
      </c>
      <c r="C167" s="82" t="s">
        <v>238</v>
      </c>
      <c r="D167" s="83">
        <f>(I231)*D109*D160</f>
        <v>189339.45683155349</v>
      </c>
      <c r="E167" s="23"/>
      <c r="F167" s="23"/>
      <c r="G167" s="81"/>
      <c r="H167" s="23"/>
      <c r="I167" s="83">
        <f>($I$231)*I109*$D$160</f>
        <v>44681.427420248787</v>
      </c>
      <c r="J167" s="11"/>
      <c r="K167" s="24" t="s">
        <v>9</v>
      </c>
    </row>
    <row r="168" spans="1:12">
      <c r="A168" s="34">
        <v>26</v>
      </c>
      <c r="B168" s="5" t="s">
        <v>239</v>
      </c>
      <c r="C168" s="82" t="s">
        <v>240</v>
      </c>
      <c r="D168" s="72">
        <f>+D$163*D164</f>
        <v>0</v>
      </c>
      <c r="E168" s="23"/>
      <c r="F168" s="1" t="s">
        <v>120</v>
      </c>
      <c r="G168" s="60">
        <f>G86</f>
        <v>0.23598582233179097</v>
      </c>
      <c r="H168" s="23"/>
      <c r="I168" s="72">
        <f>+D168*G168</f>
        <v>0</v>
      </c>
      <c r="J168" s="11"/>
      <c r="K168" s="24"/>
      <c r="L168" s="84"/>
    </row>
    <row r="169" spans="1:12">
      <c r="A169" s="34" t="s">
        <v>241</v>
      </c>
      <c r="B169" s="5" t="s">
        <v>242</v>
      </c>
      <c r="C169" s="82" t="s">
        <v>243</v>
      </c>
      <c r="D169" s="72">
        <f>+D$163*D165</f>
        <v>0</v>
      </c>
      <c r="E169" s="23"/>
      <c r="F169" s="1" t="s">
        <v>120</v>
      </c>
      <c r="G169" s="60">
        <f>G168</f>
        <v>0.23598582233179097</v>
      </c>
      <c r="H169" s="23"/>
      <c r="I169" s="72">
        <f>+D169*G169</f>
        <v>0</v>
      </c>
      <c r="J169" s="11"/>
      <c r="K169" s="24"/>
      <c r="L169" s="85"/>
    </row>
    <row r="170" spans="1:12" ht="15.75" thickBot="1">
      <c r="A170" s="34" t="s">
        <v>244</v>
      </c>
      <c r="B170" s="5" t="s">
        <v>245</v>
      </c>
      <c r="C170" s="82" t="s">
        <v>246</v>
      </c>
      <c r="D170" s="86">
        <f>+D$163*D166</f>
        <v>1604.4280695876494</v>
      </c>
      <c r="E170" s="23"/>
      <c r="F170" s="1" t="s">
        <v>120</v>
      </c>
      <c r="G170" s="60">
        <f>G169</f>
        <v>0.23598582233179097</v>
      </c>
      <c r="H170" s="23"/>
      <c r="I170" s="86">
        <f>+D170*G170</f>
        <v>378.62227737384939</v>
      </c>
      <c r="J170" s="11"/>
      <c r="K170" s="24"/>
    </row>
    <row r="171" spans="1:12">
      <c r="A171" s="34">
        <v>27</v>
      </c>
      <c r="B171" s="87" t="s">
        <v>247</v>
      </c>
      <c r="C171" s="5" t="s">
        <v>248</v>
      </c>
      <c r="D171" s="72">
        <f>SUM(D167:D170)</f>
        <v>190943.88490114114</v>
      </c>
      <c r="E171" s="23"/>
      <c r="F171" s="23" t="s">
        <v>9</v>
      </c>
      <c r="G171" s="27" t="s">
        <v>9</v>
      </c>
      <c r="H171" s="23"/>
      <c r="I171" s="72">
        <f>SUM(I167:I170)</f>
        <v>45060.049697622635</v>
      </c>
      <c r="J171" s="11"/>
      <c r="K171" s="11"/>
    </row>
    <row r="172" spans="1:12">
      <c r="A172" s="34"/>
      <c r="B172" s="5"/>
      <c r="C172" s="88"/>
      <c r="D172" s="4"/>
      <c r="E172" s="11"/>
      <c r="F172" s="11"/>
      <c r="G172" s="28"/>
      <c r="H172" s="11"/>
      <c r="I172" s="4"/>
      <c r="J172" s="11"/>
      <c r="K172" s="11"/>
    </row>
    <row r="173" spans="1:12">
      <c r="A173" s="34"/>
      <c r="B173" s="13" t="s">
        <v>249</v>
      </c>
      <c r="J173" s="11"/>
      <c r="K173" s="5"/>
    </row>
    <row r="174" spans="1:12">
      <c r="A174" s="34">
        <v>28</v>
      </c>
      <c r="B174" s="87" t="s">
        <v>250</v>
      </c>
      <c r="C174" s="79" t="s">
        <v>251</v>
      </c>
      <c r="D174" s="62">
        <f>+$I231*D109</f>
        <v>950187.01499194221</v>
      </c>
      <c r="E174" s="23"/>
      <c r="F174" s="23" t="s">
        <v>85</v>
      </c>
      <c r="G174" s="89"/>
      <c r="H174" s="23"/>
      <c r="I174" s="4">
        <f>+$I231*I109</f>
        <v>224230.66410186328</v>
      </c>
      <c r="K174" s="63"/>
    </row>
    <row r="175" spans="1:12">
      <c r="A175" s="34"/>
      <c r="B175" s="13"/>
      <c r="C175" s="5"/>
      <c r="D175" s="4"/>
      <c r="E175" s="23"/>
      <c r="F175" s="23"/>
      <c r="G175" s="89"/>
      <c r="H175" s="23"/>
      <c r="I175" s="4"/>
      <c r="J175" s="11"/>
      <c r="K175" s="63"/>
    </row>
    <row r="176" spans="1:12" ht="15.75" thickBot="1">
      <c r="A176" s="34">
        <f>A174+1</f>
        <v>29</v>
      </c>
      <c r="B176" s="13" t="s">
        <v>252</v>
      </c>
      <c r="C176" s="11" t="s">
        <v>253</v>
      </c>
      <c r="D176" s="90">
        <f>+D138+D145+D156+D171+D174</f>
        <v>8147709.299893084</v>
      </c>
      <c r="E176" s="23"/>
      <c r="F176" s="23"/>
      <c r="G176" s="23"/>
      <c r="H176" s="23"/>
      <c r="I176" s="90">
        <f>+I174+I171+I156+I145+I138</f>
        <v>1922743.8792556503</v>
      </c>
      <c r="J176" s="13"/>
      <c r="K176" s="13"/>
    </row>
    <row r="177" spans="1:13" ht="15.75" thickTop="1">
      <c r="A177" s="34"/>
      <c r="B177" s="13"/>
      <c r="C177" s="11"/>
      <c r="D177" s="23"/>
      <c r="E177" s="23"/>
      <c r="F177" s="23"/>
      <c r="G177" s="23"/>
      <c r="H177" s="23"/>
      <c r="I177" s="4"/>
      <c r="J177" s="13"/>
      <c r="K177" s="13"/>
    </row>
    <row r="178" spans="1:13">
      <c r="A178" s="40">
        <v>30</v>
      </c>
      <c r="B178" s="41" t="s">
        <v>254</v>
      </c>
      <c r="C178" s="42"/>
      <c r="D178" s="4"/>
      <c r="E178" s="4"/>
      <c r="F178" s="4"/>
      <c r="G178" s="4"/>
      <c r="H178" s="4"/>
      <c r="I178" s="4"/>
      <c r="K178" s="41"/>
    </row>
    <row r="179" spans="1:13" ht="13.5" customHeight="1">
      <c r="B179" s="47" t="s">
        <v>255</v>
      </c>
      <c r="C179" s="91"/>
      <c r="D179" s="4"/>
      <c r="E179" s="4"/>
      <c r="F179" s="4"/>
      <c r="G179" s="4"/>
      <c r="H179" s="4"/>
      <c r="I179" s="4"/>
      <c r="K179" s="41"/>
    </row>
    <row r="180" spans="1:13">
      <c r="A180" s="40"/>
      <c r="B180" s="41" t="s">
        <v>256</v>
      </c>
      <c r="C180" s="42"/>
      <c r="D180" s="92">
        <v>0</v>
      </c>
      <c r="E180" s="4"/>
      <c r="F180" s="23" t="s">
        <v>85</v>
      </c>
      <c r="G180" s="60">
        <v>0</v>
      </c>
      <c r="H180" s="4"/>
      <c r="I180" s="75">
        <f>+D180</f>
        <v>0</v>
      </c>
      <c r="K180" s="41"/>
    </row>
    <row r="181" spans="1:13">
      <c r="A181" s="40"/>
      <c r="B181" s="41"/>
      <c r="C181" s="42"/>
      <c r="D181" s="4"/>
      <c r="E181" s="4"/>
      <c r="F181" s="4"/>
      <c r="G181" s="22"/>
      <c r="H181" s="4"/>
      <c r="I181" s="4"/>
      <c r="K181" s="41"/>
    </row>
    <row r="182" spans="1:13">
      <c r="A182" s="40" t="s">
        <v>257</v>
      </c>
      <c r="B182" s="41" t="s">
        <v>258</v>
      </c>
      <c r="C182" s="42"/>
      <c r="D182" s="4"/>
      <c r="E182" s="4"/>
      <c r="F182" s="4"/>
      <c r="G182" s="22"/>
      <c r="H182" s="4"/>
      <c r="I182" s="4"/>
      <c r="K182" s="41"/>
    </row>
    <row r="183" spans="1:13" ht="15.75" customHeight="1">
      <c r="B183" s="47" t="s">
        <v>255</v>
      </c>
      <c r="C183" s="91"/>
      <c r="D183" s="4"/>
      <c r="E183" s="4"/>
      <c r="F183" s="4"/>
      <c r="G183" s="22"/>
      <c r="H183" s="4"/>
      <c r="I183" s="4"/>
      <c r="K183" s="41"/>
    </row>
    <row r="184" spans="1:13">
      <c r="A184" s="40"/>
      <c r="B184" s="41" t="s">
        <v>259</v>
      </c>
      <c r="C184" s="42"/>
      <c r="D184" s="92">
        <v>0</v>
      </c>
      <c r="E184" s="4"/>
      <c r="F184" s="23" t="s">
        <v>85</v>
      </c>
      <c r="G184" s="60">
        <v>0</v>
      </c>
      <c r="H184" s="4"/>
      <c r="I184" s="75">
        <f>+D184</f>
        <v>0</v>
      </c>
      <c r="K184" s="41"/>
    </row>
    <row r="185" spans="1:13">
      <c r="A185" s="40"/>
      <c r="B185" s="41"/>
      <c r="C185" s="42"/>
      <c r="D185" s="4"/>
      <c r="E185" s="4"/>
      <c r="F185" s="4"/>
      <c r="G185" s="46"/>
      <c r="H185" s="4"/>
      <c r="I185" s="4"/>
      <c r="K185" s="41"/>
    </row>
    <row r="186" spans="1:13">
      <c r="A186" s="40" t="s">
        <v>260</v>
      </c>
      <c r="B186" s="41" t="s">
        <v>261</v>
      </c>
      <c r="C186" s="42" t="s">
        <v>262</v>
      </c>
      <c r="D186" s="4">
        <f>+'9B-Non-MISO Project Rev Req'!R99</f>
        <v>0</v>
      </c>
      <c r="E186" s="4"/>
      <c r="F186" s="4"/>
      <c r="G186" s="93"/>
      <c r="H186" s="4"/>
      <c r="I186" s="4">
        <f>+'9B-Non-MISO Project Rev Req'!R99</f>
        <v>0</v>
      </c>
      <c r="K186" s="41"/>
    </row>
    <row r="187" spans="1:13">
      <c r="A187" s="40"/>
      <c r="B187" s="41" t="s">
        <v>263</v>
      </c>
      <c r="C187" s="42"/>
      <c r="D187" s="4"/>
      <c r="E187" s="4"/>
      <c r="F187" s="4"/>
      <c r="G187" s="93"/>
      <c r="H187" s="4"/>
      <c r="I187" s="4"/>
      <c r="K187" s="41"/>
    </row>
    <row r="188" spans="1:13" ht="15.75" thickBot="1">
      <c r="A188" s="40"/>
      <c r="B188" s="41"/>
      <c r="C188" s="42"/>
      <c r="D188" s="4"/>
      <c r="E188" s="4"/>
      <c r="F188" s="4"/>
      <c r="G188" s="93"/>
      <c r="H188" s="4"/>
      <c r="I188" s="4"/>
      <c r="K188" s="41"/>
    </row>
    <row r="189" spans="1:13" ht="15.75" thickBot="1">
      <c r="A189" s="40">
        <v>31</v>
      </c>
      <c r="B189" s="41" t="s">
        <v>264</v>
      </c>
      <c r="C189" s="42"/>
      <c r="D189" s="94">
        <f>+D176-D180-D184+D186</f>
        <v>8147709.299893084</v>
      </c>
      <c r="E189" s="4"/>
      <c r="F189" s="4"/>
      <c r="G189" s="4"/>
      <c r="H189" s="4"/>
      <c r="I189" s="94">
        <f>+I176-I180-I184+I186</f>
        <v>1922743.8792556503</v>
      </c>
      <c r="K189" s="41"/>
    </row>
    <row r="190" spans="1:13" ht="15.75" thickTop="1">
      <c r="A190" s="40"/>
      <c r="B190" s="41" t="s">
        <v>265</v>
      </c>
      <c r="C190" s="42"/>
      <c r="D190" s="4"/>
      <c r="E190" s="4"/>
      <c r="F190" s="4"/>
      <c r="G190" s="4"/>
      <c r="H190" s="4"/>
      <c r="I190" s="4"/>
      <c r="K190" s="41"/>
    </row>
    <row r="191" spans="1:13">
      <c r="A191" s="34"/>
      <c r="B191" s="13"/>
      <c r="C191" s="11"/>
      <c r="D191" s="23"/>
      <c r="E191" s="23"/>
      <c r="F191" s="23"/>
      <c r="G191" s="23"/>
      <c r="H191" s="23"/>
      <c r="I191" s="4"/>
      <c r="J191" s="13"/>
      <c r="K191" s="13"/>
      <c r="L191" s="96"/>
      <c r="M191" s="96"/>
    </row>
    <row r="192" spans="1:13">
      <c r="A192" s="34"/>
      <c r="B192" s="1"/>
      <c r="C192" s="23"/>
      <c r="D192" s="23"/>
      <c r="E192" s="23"/>
      <c r="F192" s="23"/>
      <c r="G192" s="23"/>
      <c r="H192" s="23"/>
      <c r="I192" s="23"/>
      <c r="J192" s="13"/>
      <c r="K192" s="13"/>
    </row>
    <row r="193" spans="1:96">
      <c r="A193" s="7"/>
      <c r="B193" s="5"/>
      <c r="C193" s="5"/>
      <c r="D193" s="5"/>
      <c r="E193" s="5"/>
      <c r="F193" s="5"/>
      <c r="G193" s="5"/>
      <c r="H193" s="5"/>
      <c r="I193" s="5"/>
      <c r="J193" s="11"/>
      <c r="K193" s="52" t="str">
        <f>$K$1</f>
        <v>Attachment 9A-GLH</v>
      </c>
    </row>
    <row r="194" spans="1:96">
      <c r="A194" s="7"/>
      <c r="B194" s="5"/>
      <c r="C194" s="5"/>
      <c r="D194" s="5"/>
      <c r="E194" s="5"/>
      <c r="F194" s="5"/>
      <c r="G194" s="5"/>
      <c r="H194" s="5"/>
      <c r="I194" s="5"/>
      <c r="J194" s="11"/>
      <c r="K194" s="67" t="s">
        <v>266</v>
      </c>
    </row>
    <row r="195" spans="1:96">
      <c r="A195" s="7"/>
      <c r="B195" s="13" t="s">
        <v>2</v>
      </c>
      <c r="C195" s="5"/>
      <c r="D195" s="7" t="str">
        <f>$D$3</f>
        <v>Non-MISO Rate Formula Template</v>
      </c>
      <c r="E195" s="5"/>
      <c r="F195" s="5"/>
      <c r="G195" s="5"/>
      <c r="H195" s="5"/>
      <c r="I195" s="1"/>
      <c r="J195" s="11"/>
      <c r="K195" s="97" t="str">
        <f>K3</f>
        <v>For the 12 months ended 12/31/2020</v>
      </c>
    </row>
    <row r="196" spans="1:96">
      <c r="A196" s="7"/>
      <c r="B196" s="13"/>
      <c r="C196" s="5"/>
      <c r="D196" s="98" t="s">
        <v>4</v>
      </c>
      <c r="E196" s="5"/>
      <c r="F196" s="5"/>
      <c r="G196" s="5"/>
      <c r="H196" s="5"/>
      <c r="I196" s="5"/>
      <c r="J196" s="11"/>
      <c r="K196" s="11"/>
    </row>
    <row r="197" spans="1:96">
      <c r="A197" s="7"/>
      <c r="B197" s="5"/>
      <c r="C197" s="5"/>
      <c r="D197" s="98" t="str">
        <f>+D116</f>
        <v>GridLiance Heartland LLC</v>
      </c>
      <c r="E197" s="5"/>
      <c r="F197" s="5"/>
      <c r="G197" s="5"/>
      <c r="H197" s="5"/>
      <c r="I197" s="5"/>
      <c r="J197" s="11"/>
      <c r="K197" s="11"/>
    </row>
    <row r="198" spans="1:96">
      <c r="A198" s="696"/>
      <c r="B198" s="696"/>
      <c r="C198" s="696"/>
      <c r="D198" s="696"/>
      <c r="E198" s="696"/>
      <c r="F198" s="696"/>
      <c r="G198" s="696"/>
      <c r="H198" s="696"/>
      <c r="I198" s="696"/>
      <c r="J198" s="696"/>
      <c r="K198" s="696"/>
    </row>
    <row r="199" spans="1:96" s="71" customFormat="1">
      <c r="A199" s="99"/>
      <c r="B199" s="18" t="s">
        <v>6</v>
      </c>
      <c r="C199" s="18" t="s">
        <v>7</v>
      </c>
      <c r="D199" s="18" t="s">
        <v>8</v>
      </c>
      <c r="E199" s="11" t="s">
        <v>9</v>
      </c>
      <c r="F199" s="11"/>
      <c r="G199" s="17" t="s">
        <v>10</v>
      </c>
      <c r="H199" s="11"/>
      <c r="I199" s="17" t="s">
        <v>11</v>
      </c>
      <c r="J199" s="73"/>
      <c r="K199" s="73"/>
      <c r="L199" s="2"/>
      <c r="M199" s="2"/>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row>
    <row r="200" spans="1:96">
      <c r="A200" s="7"/>
      <c r="B200" s="5"/>
      <c r="C200" s="13"/>
      <c r="D200" s="13"/>
      <c r="E200" s="13"/>
      <c r="F200" s="13"/>
      <c r="G200" s="13"/>
      <c r="H200" s="13"/>
      <c r="I200" s="13"/>
      <c r="J200" s="13"/>
      <c r="K200" s="13"/>
    </row>
    <row r="201" spans="1:96">
      <c r="A201" s="7"/>
      <c r="B201" s="5"/>
      <c r="C201" s="59" t="s">
        <v>267</v>
      </c>
      <c r="D201" s="5"/>
      <c r="E201" s="13"/>
      <c r="F201" s="13"/>
      <c r="G201" s="13"/>
      <c r="H201" s="13"/>
      <c r="I201" s="13"/>
      <c r="J201" s="11"/>
      <c r="K201" s="11"/>
      <c r="L201" s="71"/>
      <c r="M201" s="71"/>
    </row>
    <row r="202" spans="1:96">
      <c r="A202" s="7" t="s">
        <v>12</v>
      </c>
      <c r="B202" s="59"/>
      <c r="C202" s="13"/>
      <c r="D202" s="13"/>
      <c r="E202" s="13"/>
      <c r="F202" s="13"/>
      <c r="G202" s="13"/>
      <c r="H202" s="13"/>
      <c r="I202" s="13"/>
      <c r="J202" s="11"/>
      <c r="K202" s="11"/>
    </row>
    <row r="203" spans="1:96" ht="15.75" thickBot="1">
      <c r="A203" s="19" t="s">
        <v>14</v>
      </c>
      <c r="B203" s="6" t="s">
        <v>268</v>
      </c>
      <c r="C203" s="13"/>
      <c r="D203" s="13"/>
      <c r="E203" s="13"/>
      <c r="F203" s="13"/>
      <c r="G203" s="13"/>
      <c r="H203" s="5"/>
      <c r="I203" s="5"/>
      <c r="J203" s="11"/>
      <c r="K203" s="11"/>
    </row>
    <row r="204" spans="1:96">
      <c r="A204" s="7">
        <v>1</v>
      </c>
      <c r="B204" s="6" t="s">
        <v>269</v>
      </c>
      <c r="C204" s="13" t="s">
        <v>270</v>
      </c>
      <c r="D204" s="11"/>
      <c r="E204" s="11"/>
      <c r="F204" s="11"/>
      <c r="G204" s="11"/>
      <c r="H204" s="11"/>
      <c r="I204" s="4">
        <f>D66</f>
        <v>21966736.641538464</v>
      </c>
      <c r="J204" s="11"/>
      <c r="K204" s="11"/>
    </row>
    <row r="205" spans="1:96">
      <c r="A205" s="7">
        <f>+A204+1</f>
        <v>2</v>
      </c>
      <c r="B205" s="6" t="s">
        <v>271</v>
      </c>
      <c r="C205" s="5" t="s">
        <v>272</v>
      </c>
      <c r="D205" s="5"/>
      <c r="E205" s="5"/>
      <c r="F205" s="5"/>
      <c r="G205" s="5"/>
      <c r="H205" s="5"/>
      <c r="I205" s="679">
        <v>16782898.231239125</v>
      </c>
      <c r="J205" s="11"/>
      <c r="K205" s="11"/>
    </row>
    <row r="206" spans="1:96" ht="15.75" thickBot="1">
      <c r="A206" s="7">
        <f>+A205+1</f>
        <v>3</v>
      </c>
      <c r="B206" s="100" t="s">
        <v>273</v>
      </c>
      <c r="C206" s="101" t="s">
        <v>274</v>
      </c>
      <c r="D206" s="1"/>
      <c r="E206" s="11"/>
      <c r="F206" s="11"/>
      <c r="G206" s="12"/>
      <c r="H206" s="11"/>
      <c r="I206" s="102">
        <v>0</v>
      </c>
      <c r="J206" s="11"/>
      <c r="K206" s="11"/>
    </row>
    <row r="207" spans="1:96">
      <c r="A207" s="7">
        <f>+A206+1</f>
        <v>4</v>
      </c>
      <c r="B207" s="6" t="s">
        <v>275</v>
      </c>
      <c r="C207" s="13" t="s">
        <v>276</v>
      </c>
      <c r="D207" s="11"/>
      <c r="E207" s="11"/>
      <c r="F207" s="11"/>
      <c r="G207" s="12"/>
      <c r="H207" s="11"/>
      <c r="I207" s="4">
        <f>I204-I205+I206</f>
        <v>5183838.4102993384</v>
      </c>
      <c r="J207" s="11"/>
      <c r="K207" s="11"/>
    </row>
    <row r="208" spans="1:96">
      <c r="A208" s="7"/>
      <c r="B208" s="5"/>
      <c r="C208" s="13"/>
      <c r="D208" s="11"/>
      <c r="E208" s="11"/>
      <c r="F208" s="11"/>
      <c r="G208" s="12"/>
      <c r="H208" s="11"/>
      <c r="I208" s="4"/>
      <c r="J208" s="11"/>
      <c r="K208" s="11"/>
    </row>
    <row r="209" spans="1:11">
      <c r="A209" s="7">
        <f>+A207+1</f>
        <v>5</v>
      </c>
      <c r="B209" s="6" t="s">
        <v>277</v>
      </c>
      <c r="C209" s="16" t="s">
        <v>278</v>
      </c>
      <c r="D209" s="16"/>
      <c r="E209" s="16"/>
      <c r="F209" s="16"/>
      <c r="G209" s="17"/>
      <c r="H209" s="11" t="s">
        <v>279</v>
      </c>
      <c r="I209" s="103">
        <f>IF(I207&gt;0,I207/I204,0)</f>
        <v>0.23598582233179097</v>
      </c>
      <c r="J209" s="11"/>
      <c r="K209" s="11"/>
    </row>
    <row r="210" spans="1:11">
      <c r="A210" s="7"/>
      <c r="B210" s="5"/>
      <c r="C210" s="5"/>
      <c r="D210" s="5"/>
      <c r="E210" s="5"/>
      <c r="F210" s="5"/>
      <c r="G210" s="5"/>
      <c r="H210" s="5"/>
      <c r="I210" s="5"/>
      <c r="J210" s="5"/>
      <c r="K210" s="5"/>
    </row>
    <row r="211" spans="1:11">
      <c r="A211" s="104" t="s">
        <v>280</v>
      </c>
      <c r="B211" s="13" t="s">
        <v>281</v>
      </c>
      <c r="C211" s="11"/>
      <c r="D211" s="11"/>
      <c r="E211" s="11"/>
      <c r="F211" s="11"/>
      <c r="G211" s="11"/>
      <c r="H211" s="11"/>
      <c r="I211" s="11"/>
      <c r="J211" s="11"/>
      <c r="K211" s="11"/>
    </row>
    <row r="212" spans="1:11" ht="15.75" thickBot="1">
      <c r="A212" s="7"/>
      <c r="B212" s="13"/>
      <c r="C212" s="105" t="s">
        <v>282</v>
      </c>
      <c r="D212" s="106" t="s">
        <v>283</v>
      </c>
      <c r="E212" s="106" t="s">
        <v>88</v>
      </c>
      <c r="F212" s="11"/>
      <c r="G212" s="106" t="s">
        <v>284</v>
      </c>
      <c r="H212" s="11"/>
      <c r="I212" s="11"/>
      <c r="J212" s="11"/>
      <c r="K212" s="11"/>
    </row>
    <row r="213" spans="1:11">
      <c r="A213" s="7">
        <v>12</v>
      </c>
      <c r="B213" s="13" t="s">
        <v>83</v>
      </c>
      <c r="C213" s="11" t="s">
        <v>285</v>
      </c>
      <c r="D213" s="92">
        <v>0</v>
      </c>
      <c r="E213" s="22">
        <v>0</v>
      </c>
      <c r="F213" s="107"/>
      <c r="G213" s="4">
        <f>D213*E213</f>
        <v>0</v>
      </c>
      <c r="H213" s="23"/>
      <c r="I213" s="23"/>
      <c r="J213" s="11"/>
      <c r="K213" s="11"/>
    </row>
    <row r="214" spans="1:11">
      <c r="A214" s="7">
        <f>+A213+1</f>
        <v>13</v>
      </c>
      <c r="B214" s="13" t="s">
        <v>286</v>
      </c>
      <c r="C214" s="11" t="s">
        <v>287</v>
      </c>
      <c r="D214" s="679">
        <v>1</v>
      </c>
      <c r="E214" s="22">
        <f>+I209</f>
        <v>0.23598582233179097</v>
      </c>
      <c r="F214" s="107"/>
      <c r="G214" s="4">
        <f>D214*E214</f>
        <v>0.23598582233179097</v>
      </c>
      <c r="H214" s="23"/>
      <c r="I214" s="23"/>
      <c r="J214" s="11"/>
      <c r="K214" s="11"/>
    </row>
    <row r="215" spans="1:11">
      <c r="A215" s="7">
        <f>+A214+1</f>
        <v>14</v>
      </c>
      <c r="B215" s="13" t="s">
        <v>89</v>
      </c>
      <c r="C215" s="11" t="s">
        <v>288</v>
      </c>
      <c r="D215" s="92">
        <v>0</v>
      </c>
      <c r="E215" s="22">
        <v>0</v>
      </c>
      <c r="F215" s="107"/>
      <c r="G215" s="4">
        <f>D215*E215</f>
        <v>0</v>
      </c>
      <c r="H215" s="23"/>
      <c r="I215" s="108" t="s">
        <v>144</v>
      </c>
      <c r="J215" s="11"/>
      <c r="K215" s="11"/>
    </row>
    <row r="216" spans="1:11" ht="15.75" thickBot="1">
      <c r="A216" s="7">
        <f>+A215+1</f>
        <v>15</v>
      </c>
      <c r="B216" s="13" t="s">
        <v>289</v>
      </c>
      <c r="C216" s="11" t="s">
        <v>290</v>
      </c>
      <c r="D216" s="102">
        <v>0</v>
      </c>
      <c r="E216" s="22">
        <v>0</v>
      </c>
      <c r="F216" s="107"/>
      <c r="G216" s="61">
        <f>D216*E216</f>
        <v>0</v>
      </c>
      <c r="H216" s="23"/>
      <c r="I216" s="109" t="s">
        <v>291</v>
      </c>
      <c r="J216" s="11"/>
      <c r="K216" s="11"/>
    </row>
    <row r="217" spans="1:11">
      <c r="A217" s="7">
        <f>+A216+1</f>
        <v>16</v>
      </c>
      <c r="B217" s="35" t="s">
        <v>292</v>
      </c>
      <c r="C217" s="11"/>
      <c r="D217" s="4">
        <f>SUM(D213:D216)</f>
        <v>1</v>
      </c>
      <c r="E217" s="11"/>
      <c r="F217" s="11"/>
      <c r="G217" s="4">
        <f>SUM(G213:G216)</f>
        <v>0.23598582233179097</v>
      </c>
      <c r="H217" s="110" t="s">
        <v>293</v>
      </c>
      <c r="I217" s="22">
        <f>IF(G217&gt;0,G217/D217,0)</f>
        <v>0.23598582233179097</v>
      </c>
      <c r="J217" s="12" t="s">
        <v>293</v>
      </c>
      <c r="K217" s="11" t="s">
        <v>294</v>
      </c>
    </row>
    <row r="218" spans="1:11">
      <c r="A218" s="7"/>
      <c r="B218" s="13" t="s">
        <v>9</v>
      </c>
      <c r="C218" s="11" t="s">
        <v>9</v>
      </c>
      <c r="D218" s="5"/>
      <c r="E218" s="11"/>
      <c r="F218" s="11"/>
      <c r="G218" s="5"/>
      <c r="H218" s="5"/>
      <c r="I218" s="5"/>
      <c r="J218" s="5"/>
      <c r="K218" s="11"/>
    </row>
    <row r="219" spans="1:11">
      <c r="A219" s="7"/>
      <c r="B219" s="13" t="s">
        <v>295</v>
      </c>
      <c r="C219" s="11"/>
      <c r="D219" s="55" t="s">
        <v>283</v>
      </c>
      <c r="E219" s="11"/>
      <c r="F219" s="11"/>
      <c r="G219" s="12" t="s">
        <v>296</v>
      </c>
      <c r="H219" s="111"/>
      <c r="I219" s="63" t="s">
        <v>297</v>
      </c>
      <c r="J219" s="11"/>
      <c r="K219" s="11"/>
    </row>
    <row r="220" spans="1:11">
      <c r="A220" s="7">
        <f>+A217+1</f>
        <v>17</v>
      </c>
      <c r="B220" s="13" t="s">
        <v>298</v>
      </c>
      <c r="C220" s="11" t="s">
        <v>299</v>
      </c>
      <c r="D220" s="92">
        <f>'4- Rate Base'!D22</f>
        <v>26511471.009999998</v>
      </c>
      <c r="E220" s="11"/>
      <c r="F220" s="5"/>
      <c r="G220" s="7" t="s">
        <v>300</v>
      </c>
      <c r="H220" s="112"/>
      <c r="I220" s="7" t="s">
        <v>301</v>
      </c>
      <c r="J220" s="11"/>
      <c r="K220" s="18" t="s">
        <v>96</v>
      </c>
    </row>
    <row r="221" spans="1:11">
      <c r="A221" s="7">
        <f>+A220+1</f>
        <v>18</v>
      </c>
      <c r="B221" s="13" t="s">
        <v>302</v>
      </c>
      <c r="C221" s="11" t="s">
        <v>303</v>
      </c>
      <c r="D221" s="92">
        <v>0</v>
      </c>
      <c r="E221" s="11"/>
      <c r="F221" s="5"/>
      <c r="G221" s="113">
        <f>IF(D223&gt;0,D220/D223,0)</f>
        <v>1</v>
      </c>
      <c r="H221" s="114" t="s">
        <v>304</v>
      </c>
      <c r="I221" s="113">
        <f>I217</f>
        <v>0.23598582233179097</v>
      </c>
      <c r="J221" s="114" t="s">
        <v>293</v>
      </c>
      <c r="K221" s="113">
        <f>I221*G221</f>
        <v>0.23598582233179097</v>
      </c>
    </row>
    <row r="222" spans="1:11" ht="15.75" thickBot="1">
      <c r="A222" s="7">
        <f>+A221+1</f>
        <v>19</v>
      </c>
      <c r="B222" s="101" t="s">
        <v>305</v>
      </c>
      <c r="C222" s="105" t="s">
        <v>306</v>
      </c>
      <c r="D222" s="102">
        <v>0</v>
      </c>
      <c r="E222" s="11"/>
      <c r="F222" s="11"/>
      <c r="G222" s="11" t="s">
        <v>9</v>
      </c>
      <c r="H222" s="11"/>
      <c r="I222" s="11"/>
      <c r="J222" s="11"/>
      <c r="K222" s="11"/>
    </row>
    <row r="223" spans="1:11">
      <c r="A223" s="7">
        <f>+A222+1</f>
        <v>20</v>
      </c>
      <c r="B223" s="13" t="s">
        <v>307</v>
      </c>
      <c r="C223" s="11" t="s">
        <v>308</v>
      </c>
      <c r="D223" s="4">
        <f>D220+D221+D222</f>
        <v>26511471.009999998</v>
      </c>
      <c r="E223" s="11"/>
      <c r="F223" s="11"/>
      <c r="G223" s="11"/>
      <c r="H223" s="11"/>
      <c r="I223" s="11"/>
      <c r="J223" s="11"/>
      <c r="K223" s="11"/>
    </row>
    <row r="224" spans="1:11">
      <c r="A224" s="7"/>
      <c r="B224" s="13"/>
      <c r="C224" s="11"/>
      <c r="D224" s="5"/>
      <c r="E224" s="11"/>
      <c r="F224" s="11"/>
      <c r="G224" s="11"/>
      <c r="H224" s="11"/>
      <c r="I224" s="11"/>
      <c r="J224" s="11"/>
      <c r="K224" s="11"/>
    </row>
    <row r="225" spans="1:13" ht="15.75" thickBot="1">
      <c r="A225" s="7" t="s">
        <v>309</v>
      </c>
      <c r="B225" s="6" t="s">
        <v>310</v>
      </c>
      <c r="C225" s="11"/>
      <c r="D225" s="11"/>
      <c r="E225" s="11"/>
      <c r="F225" s="11"/>
      <c r="G225" s="11"/>
      <c r="H225" s="11"/>
      <c r="I225" s="106" t="s">
        <v>283</v>
      </c>
      <c r="J225" s="11"/>
      <c r="K225" s="11"/>
    </row>
    <row r="226" spans="1:13">
      <c r="A226" s="7"/>
      <c r="B226" s="13"/>
      <c r="C226" s="11"/>
      <c r="D226" s="11"/>
      <c r="E226" s="11"/>
      <c r="F226" s="11"/>
      <c r="G226" s="12" t="s">
        <v>311</v>
      </c>
      <c r="H226" s="11"/>
      <c r="I226" s="11"/>
      <c r="J226" s="11"/>
      <c r="K226" s="11"/>
    </row>
    <row r="227" spans="1:13" ht="15.75" thickBot="1">
      <c r="A227" s="7"/>
      <c r="B227" s="13"/>
      <c r="C227" s="11"/>
      <c r="D227" s="19" t="s">
        <v>283</v>
      </c>
      <c r="E227" s="19" t="s">
        <v>312</v>
      </c>
      <c r="F227" s="11"/>
      <c r="G227" s="98"/>
      <c r="H227" s="11"/>
      <c r="I227" s="19" t="s">
        <v>313</v>
      </c>
      <c r="J227" s="11"/>
      <c r="K227" s="11"/>
    </row>
    <row r="228" spans="1:13">
      <c r="A228" s="7">
        <v>27</v>
      </c>
      <c r="B228" s="6" t="s">
        <v>314</v>
      </c>
      <c r="C228" s="5" t="s">
        <v>315</v>
      </c>
      <c r="D228" s="115">
        <f>'5-P3 Support'!F62</f>
        <v>0.4</v>
      </c>
      <c r="E228" s="116">
        <f>'5-P3 Support'!G62</f>
        <v>0.4</v>
      </c>
      <c r="F228" s="117"/>
      <c r="G228" s="118">
        <f>'5-P3 Support'!I62</f>
        <v>2.435485433789954E-2</v>
      </c>
      <c r="H228" s="22"/>
      <c r="I228" s="84">
        <f>'5-P3 Support'!K62</f>
        <v>9.7419417351598172E-3</v>
      </c>
      <c r="J228" s="119" t="s">
        <v>316</v>
      </c>
      <c r="K228" s="5"/>
    </row>
    <row r="229" spans="1:13">
      <c r="A229" s="7">
        <f>+A228+1</f>
        <v>28</v>
      </c>
      <c r="B229" s="6" t="s">
        <v>317</v>
      </c>
      <c r="C229" s="5" t="s">
        <v>318</v>
      </c>
      <c r="D229" s="115">
        <f>'5-P3 Support'!F63</f>
        <v>0</v>
      </c>
      <c r="E229" s="116">
        <f>'5-P3 Support'!G63</f>
        <v>0</v>
      </c>
      <c r="F229" s="22"/>
      <c r="G229" s="118">
        <f>'5-P3 Support'!I63</f>
        <v>0</v>
      </c>
      <c r="H229" s="22"/>
      <c r="I229" s="84">
        <f>'5-P3 Support'!K63</f>
        <v>0</v>
      </c>
      <c r="J229" s="11"/>
      <c r="K229" s="5"/>
    </row>
    <row r="230" spans="1:13" ht="15.75" thickBot="1">
      <c r="A230" s="7">
        <f>+A229+1</f>
        <v>29</v>
      </c>
      <c r="B230" s="6" t="s">
        <v>319</v>
      </c>
      <c r="C230" s="5" t="s">
        <v>320</v>
      </c>
      <c r="D230" s="121">
        <f>'5-P3 Support'!F64</f>
        <v>0.6</v>
      </c>
      <c r="E230" s="669">
        <f>1-SUM(E228:E229)</f>
        <v>0.6</v>
      </c>
      <c r="F230" s="22"/>
      <c r="G230" s="681">
        <v>9.8000000000000004E-2</v>
      </c>
      <c r="H230" s="5"/>
      <c r="I230" s="122">
        <f>E230*G230</f>
        <v>5.8799999999999998E-2</v>
      </c>
      <c r="J230" s="11"/>
      <c r="K230" s="5"/>
    </row>
    <row r="231" spans="1:13">
      <c r="A231" s="7">
        <f>+A230+1</f>
        <v>30</v>
      </c>
      <c r="B231" s="13" t="s">
        <v>321</v>
      </c>
      <c r="C231" s="5" t="s">
        <v>322</v>
      </c>
      <c r="D231" s="115">
        <f>SUM(D228:D230)</f>
        <v>1</v>
      </c>
      <c r="E231" s="22" t="s">
        <v>9</v>
      </c>
      <c r="F231" s="22"/>
      <c r="G231" s="11"/>
      <c r="H231" s="11"/>
      <c r="I231" s="123">
        <f>SUM(I228:I230)</f>
        <v>6.8541941735159817E-2</v>
      </c>
      <c r="J231" s="119" t="s">
        <v>323</v>
      </c>
      <c r="K231" s="5"/>
      <c r="L231"/>
      <c r="M231"/>
    </row>
    <row r="232" spans="1:13">
      <c r="A232" s="7"/>
      <c r="B232" s="5"/>
      <c r="C232" s="5"/>
      <c r="D232" s="5"/>
      <c r="E232" s="11"/>
      <c r="F232" s="11"/>
      <c r="G232" s="11"/>
      <c r="H232" s="11"/>
      <c r="I232" s="5"/>
      <c r="J232" s="5"/>
      <c r="K232" s="5"/>
      <c r="L232"/>
      <c r="M232"/>
    </row>
    <row r="233" spans="1:13">
      <c r="A233" s="7"/>
      <c r="B233" s="6" t="s">
        <v>324</v>
      </c>
      <c r="C233" s="6"/>
      <c r="D233" s="6"/>
      <c r="E233" s="6"/>
      <c r="F233" s="6"/>
      <c r="G233" s="6"/>
      <c r="H233" s="6"/>
      <c r="I233" s="6"/>
      <c r="J233" s="6"/>
      <c r="K233" s="6"/>
      <c r="L233"/>
      <c r="M233"/>
    </row>
    <row r="234" spans="1:13" ht="15.75" thickBot="1">
      <c r="A234" s="7"/>
      <c r="B234" s="6"/>
      <c r="C234" s="6"/>
      <c r="D234" s="6"/>
      <c r="E234" s="6"/>
      <c r="F234" s="6"/>
      <c r="G234" s="6"/>
      <c r="H234" s="6"/>
      <c r="I234" s="19" t="s">
        <v>325</v>
      </c>
      <c r="J234" s="7"/>
      <c r="K234" s="5"/>
      <c r="L234"/>
      <c r="M234"/>
    </row>
    <row r="235" spans="1:13">
      <c r="A235" s="7"/>
      <c r="B235" s="6" t="s">
        <v>326</v>
      </c>
      <c r="C235" s="6" t="s">
        <v>327</v>
      </c>
      <c r="D235" s="6"/>
      <c r="E235" s="6"/>
      <c r="F235" s="6"/>
      <c r="G235" s="124" t="s">
        <v>9</v>
      </c>
      <c r="H235" s="125"/>
      <c r="I235" s="5"/>
      <c r="J235" s="5"/>
      <c r="K235" s="5"/>
      <c r="L235"/>
      <c r="M235"/>
    </row>
    <row r="236" spans="1:13">
      <c r="A236" s="7">
        <v>31</v>
      </c>
      <c r="B236" s="5" t="s">
        <v>328</v>
      </c>
      <c r="C236" s="6" t="s">
        <v>329</v>
      </c>
      <c r="D236" s="6"/>
      <c r="E236" s="5"/>
      <c r="F236" s="6"/>
      <c r="G236" s="5"/>
      <c r="H236" s="125"/>
      <c r="I236" s="126">
        <v>0</v>
      </c>
      <c r="J236" s="127"/>
      <c r="K236" s="5"/>
      <c r="L236"/>
      <c r="M236"/>
    </row>
    <row r="237" spans="1:13" ht="15.75" thickBot="1">
      <c r="A237" s="7">
        <f>+A236+1</f>
        <v>32</v>
      </c>
      <c r="B237" s="128" t="s">
        <v>330</v>
      </c>
      <c r="C237" s="11"/>
      <c r="D237" s="5"/>
      <c r="E237" s="6"/>
      <c r="F237" s="6"/>
      <c r="G237" s="6"/>
      <c r="H237" s="6"/>
      <c r="I237" s="129">
        <v>0</v>
      </c>
      <c r="J237" s="127"/>
      <c r="K237" s="5"/>
      <c r="L237"/>
      <c r="M237"/>
    </row>
    <row r="238" spans="1:13">
      <c r="A238" s="7">
        <f>+A237+1</f>
        <v>33</v>
      </c>
      <c r="B238" s="5" t="s">
        <v>331</v>
      </c>
      <c r="C238" s="13" t="s">
        <v>332</v>
      </c>
      <c r="D238" s="5"/>
      <c r="E238" s="6"/>
      <c r="F238" s="6"/>
      <c r="G238" s="6"/>
      <c r="H238" s="6"/>
      <c r="I238" s="130">
        <f>I236-I237</f>
        <v>0</v>
      </c>
      <c r="J238" s="127"/>
      <c r="K238" s="5"/>
      <c r="L238"/>
      <c r="M238"/>
    </row>
    <row r="239" spans="1:13">
      <c r="A239" s="7"/>
      <c r="B239" s="5"/>
      <c r="C239" s="13"/>
      <c r="D239" s="5"/>
      <c r="E239" s="6"/>
      <c r="F239" s="6"/>
      <c r="G239" s="6"/>
      <c r="H239" s="6"/>
      <c r="I239" s="131"/>
      <c r="J239" s="5"/>
      <c r="K239" s="5"/>
    </row>
    <row r="240" spans="1:13">
      <c r="A240" s="7">
        <f>+A238+1</f>
        <v>34</v>
      </c>
      <c r="B240" s="6" t="s">
        <v>333</v>
      </c>
      <c r="C240" s="13" t="s">
        <v>334</v>
      </c>
      <c r="D240" s="5"/>
      <c r="E240" s="6"/>
      <c r="F240" s="6"/>
      <c r="G240" s="132"/>
      <c r="H240" s="6"/>
      <c r="I240" s="92"/>
      <c r="J240" s="5"/>
      <c r="K240" s="133"/>
    </row>
    <row r="241" spans="1:11">
      <c r="A241" s="7"/>
      <c r="B241" s="5"/>
      <c r="C241" s="6"/>
      <c r="D241" s="6"/>
      <c r="E241" s="6"/>
      <c r="F241" s="6"/>
      <c r="G241" s="6"/>
      <c r="H241" s="6"/>
      <c r="I241" s="131"/>
      <c r="J241" s="5"/>
      <c r="K241" s="133"/>
    </row>
    <row r="242" spans="1:11">
      <c r="A242" s="7" t="s">
        <v>335</v>
      </c>
      <c r="B242" s="6" t="s">
        <v>336</v>
      </c>
      <c r="C242" s="13" t="s">
        <v>337</v>
      </c>
      <c r="D242" s="5"/>
      <c r="E242" s="6"/>
      <c r="F242" s="6"/>
      <c r="G242" s="132"/>
      <c r="H242" s="6"/>
      <c r="I242" s="92">
        <v>0</v>
      </c>
      <c r="J242" s="5"/>
      <c r="K242" s="133"/>
    </row>
    <row r="243" spans="1:11">
      <c r="A243" s="7"/>
      <c r="B243" s="5"/>
      <c r="C243" s="6"/>
      <c r="D243" s="6"/>
      <c r="E243" s="6"/>
      <c r="F243" s="6"/>
      <c r="G243" s="6"/>
      <c r="H243" s="6"/>
      <c r="I243" s="131"/>
      <c r="J243" s="5"/>
      <c r="K243" s="133"/>
    </row>
    <row r="244" spans="1:11">
      <c r="A244" s="7"/>
      <c r="B244" s="6" t="s">
        <v>338</v>
      </c>
      <c r="C244" s="6" t="s">
        <v>339</v>
      </c>
      <c r="D244" s="6"/>
      <c r="E244" s="6"/>
      <c r="F244" s="6"/>
      <c r="G244" s="6"/>
      <c r="H244" s="6"/>
      <c r="I244" s="5"/>
      <c r="J244" s="5"/>
      <c r="K244" s="133"/>
    </row>
    <row r="245" spans="1:11">
      <c r="A245" s="7">
        <v>35</v>
      </c>
      <c r="B245" s="134" t="s">
        <v>340</v>
      </c>
      <c r="C245" s="11"/>
      <c r="D245" s="11"/>
      <c r="E245" s="11"/>
      <c r="F245" s="11"/>
      <c r="G245" s="11"/>
      <c r="H245" s="11"/>
      <c r="I245" s="135">
        <v>0</v>
      </c>
      <c r="J245" s="11"/>
      <c r="K245" s="133"/>
    </row>
    <row r="246" spans="1:11">
      <c r="A246" s="7">
        <v>36</v>
      </c>
      <c r="B246" s="134" t="s">
        <v>341</v>
      </c>
      <c r="C246" s="11"/>
      <c r="D246" s="11"/>
      <c r="E246" s="11"/>
      <c r="F246" s="11"/>
      <c r="G246" s="11"/>
      <c r="H246" s="11"/>
      <c r="I246" s="135"/>
      <c r="J246" s="11"/>
      <c r="K246" s="133"/>
    </row>
    <row r="247" spans="1:11">
      <c r="A247" s="7" t="s">
        <v>342</v>
      </c>
      <c r="B247" s="134" t="s">
        <v>343</v>
      </c>
      <c r="C247" s="11" t="s">
        <v>344</v>
      </c>
      <c r="D247" s="11"/>
      <c r="E247" s="11"/>
      <c r="F247" s="11"/>
      <c r="G247" s="11"/>
      <c r="H247" s="11"/>
      <c r="I247" s="135"/>
      <c r="J247" s="11"/>
      <c r="K247" s="133"/>
    </row>
    <row r="248" spans="1:11" ht="15.75" thickBot="1">
      <c r="A248" s="7" t="s">
        <v>345</v>
      </c>
      <c r="B248" s="134" t="s">
        <v>346</v>
      </c>
      <c r="C248" s="11" t="s">
        <v>347</v>
      </c>
      <c r="D248" s="11"/>
      <c r="E248" s="11"/>
      <c r="F248" s="11"/>
      <c r="G248" s="11"/>
      <c r="H248" s="11"/>
      <c r="I248" s="136"/>
      <c r="J248" s="11"/>
      <c r="K248" s="133"/>
    </row>
    <row r="249" spans="1:11">
      <c r="A249" s="7">
        <v>37</v>
      </c>
      <c r="B249" s="137" t="s">
        <v>348</v>
      </c>
      <c r="C249" s="7"/>
      <c r="D249" s="11"/>
      <c r="E249" s="11"/>
      <c r="F249" s="11"/>
      <c r="G249" s="11"/>
      <c r="H249" s="6"/>
      <c r="I249" s="4">
        <f>+I245-I246-I247-I248</f>
        <v>0</v>
      </c>
      <c r="J249" s="11"/>
      <c r="K249" s="11"/>
    </row>
    <row r="250" spans="1:11">
      <c r="A250" s="7"/>
      <c r="B250" s="137"/>
      <c r="C250" s="7"/>
      <c r="D250" s="11"/>
      <c r="E250" s="11"/>
      <c r="F250" s="11"/>
      <c r="G250" s="11"/>
      <c r="H250" s="6"/>
      <c r="I250" s="4"/>
      <c r="J250" s="11"/>
      <c r="K250" s="11"/>
    </row>
    <row r="251" spans="1:11">
      <c r="A251" s="7"/>
      <c r="B251" s="110"/>
      <c r="C251" s="15"/>
      <c r="D251" s="7"/>
      <c r="E251" s="12"/>
      <c r="F251" s="12"/>
      <c r="H251" s="138"/>
      <c r="I251" s="62"/>
      <c r="J251" s="11"/>
      <c r="K251" s="11"/>
    </row>
    <row r="252" spans="1:11">
      <c r="A252" s="7"/>
      <c r="B252" s="1"/>
      <c r="C252" s="139"/>
      <c r="D252" s="11"/>
      <c r="E252" s="11"/>
      <c r="H252" s="140"/>
      <c r="I252" s="62"/>
      <c r="J252" s="11"/>
      <c r="K252" s="11"/>
    </row>
    <row r="253" spans="1:11">
      <c r="A253" s="7"/>
      <c r="B253" s="1"/>
      <c r="C253" s="141"/>
      <c r="D253" s="37"/>
      <c r="E253" s="11"/>
      <c r="I253" s="62"/>
      <c r="J253" s="11"/>
      <c r="K253" s="11"/>
    </row>
    <row r="254" spans="1:11">
      <c r="A254" s="7"/>
      <c r="B254" s="1"/>
      <c r="C254" s="142"/>
      <c r="D254" s="62"/>
      <c r="E254" s="62"/>
      <c r="F254" s="62"/>
      <c r="H254" s="62"/>
      <c r="I254" s="62"/>
      <c r="J254" s="11"/>
      <c r="K254" s="11"/>
    </row>
    <row r="255" spans="1:11">
      <c r="A255" s="7"/>
      <c r="B255" s="5"/>
      <c r="C255" s="142"/>
      <c r="D255" s="143"/>
      <c r="E255" s="62"/>
      <c r="F255" s="62"/>
      <c r="I255" s="144"/>
      <c r="J255" s="11"/>
      <c r="K255" s="11"/>
    </row>
    <row r="256" spans="1:11">
      <c r="A256" s="7"/>
      <c r="C256" s="7"/>
      <c r="D256" s="11"/>
      <c r="E256" s="11"/>
      <c r="F256" s="11"/>
      <c r="G256" s="11"/>
      <c r="H256" s="6"/>
      <c r="I256" s="131"/>
      <c r="J256" s="11"/>
      <c r="K256" s="11"/>
    </row>
    <row r="257" spans="1:13">
      <c r="A257" s="7"/>
      <c r="B257" s="137"/>
      <c r="C257" s="13"/>
      <c r="D257" s="11"/>
      <c r="E257" s="11"/>
      <c r="F257" s="11"/>
      <c r="G257" s="11"/>
      <c r="H257" s="13"/>
      <c r="I257" s="11"/>
      <c r="J257" s="13"/>
      <c r="K257" s="52" t="str">
        <f>$K$1</f>
        <v>Attachment 9A-GLH</v>
      </c>
    </row>
    <row r="258" spans="1:13">
      <c r="A258" s="7"/>
      <c r="B258" s="13"/>
      <c r="C258" s="13"/>
      <c r="D258" s="11"/>
      <c r="E258" s="11"/>
      <c r="F258" s="11"/>
      <c r="G258" s="11"/>
      <c r="H258" s="13"/>
      <c r="I258" s="11"/>
      <c r="J258" s="13"/>
      <c r="K258" s="67" t="s">
        <v>349</v>
      </c>
    </row>
    <row r="259" spans="1:13">
      <c r="A259" s="7"/>
      <c r="B259" s="145" t="s">
        <v>2</v>
      </c>
      <c r="C259" s="7"/>
      <c r="D259" s="7" t="str">
        <f>$D$3</f>
        <v>Non-MISO Rate Formula Template</v>
      </c>
      <c r="E259" s="11"/>
      <c r="F259" s="11"/>
      <c r="G259" s="11"/>
      <c r="H259" s="6"/>
      <c r="I259" s="1"/>
      <c r="J259" s="5"/>
      <c r="K259" s="146" t="str">
        <f>K3</f>
        <v>For the 12 months ended 12/31/2020</v>
      </c>
    </row>
    <row r="260" spans="1:13">
      <c r="A260" s="7"/>
      <c r="B260" s="145"/>
      <c r="C260" s="7"/>
      <c r="D260" s="12" t="s">
        <v>4</v>
      </c>
      <c r="E260" s="11"/>
      <c r="F260" s="11"/>
      <c r="G260" s="11"/>
      <c r="H260" s="6"/>
      <c r="I260" s="147"/>
      <c r="J260" s="5"/>
      <c r="K260" s="11"/>
    </row>
    <row r="261" spans="1:13">
      <c r="A261" s="7"/>
      <c r="B261" s="145"/>
      <c r="C261" s="7"/>
      <c r="D261" s="12" t="str">
        <f>+D197</f>
        <v>GridLiance Heartland LLC</v>
      </c>
      <c r="E261" s="11"/>
      <c r="F261" s="11"/>
      <c r="G261" s="11"/>
      <c r="H261" s="6"/>
      <c r="I261" s="147"/>
      <c r="J261" s="5"/>
      <c r="K261" s="11"/>
    </row>
    <row r="262" spans="1:13">
      <c r="A262" s="696"/>
      <c r="B262" s="696"/>
      <c r="C262" s="696"/>
      <c r="D262" s="696"/>
      <c r="E262" s="696"/>
      <c r="F262" s="696"/>
      <c r="G262" s="696"/>
      <c r="H262" s="696"/>
      <c r="I262" s="696"/>
      <c r="J262" s="696"/>
      <c r="K262" s="696"/>
    </row>
    <row r="263" spans="1:13">
      <c r="A263" s="7"/>
      <c r="B263" s="145"/>
      <c r="C263" s="7"/>
      <c r="D263" s="11"/>
      <c r="E263" s="11"/>
      <c r="F263" s="11"/>
      <c r="G263" s="11"/>
      <c r="H263" s="6"/>
      <c r="I263" s="147"/>
      <c r="J263" s="5"/>
      <c r="K263" s="11"/>
    </row>
    <row r="264" spans="1:13">
      <c r="A264" s="7"/>
      <c r="B264" s="6" t="s">
        <v>350</v>
      </c>
      <c r="C264" s="7"/>
      <c r="D264" s="11"/>
      <c r="E264" s="11"/>
      <c r="F264" s="11"/>
      <c r="G264" s="11"/>
      <c r="H264" s="6"/>
      <c r="I264" s="11"/>
      <c r="J264" s="6"/>
      <c r="K264" s="11"/>
    </row>
    <row r="265" spans="1:13">
      <c r="A265" s="7"/>
      <c r="B265" s="148" t="s">
        <v>351</v>
      </c>
      <c r="C265" s="7"/>
      <c r="D265" s="11"/>
      <c r="E265" s="11"/>
      <c r="F265" s="11"/>
      <c r="G265" s="11"/>
      <c r="H265" s="6"/>
      <c r="I265" s="11"/>
      <c r="J265" s="6"/>
      <c r="K265" s="11"/>
    </row>
    <row r="266" spans="1:13">
      <c r="A266" s="7" t="s">
        <v>352</v>
      </c>
      <c r="B266" s="6"/>
      <c r="C266" s="6"/>
      <c r="D266" s="11"/>
      <c r="E266" s="11"/>
      <c r="F266" s="11"/>
      <c r="G266" s="11"/>
      <c r="H266" s="6"/>
      <c r="I266" s="11"/>
      <c r="J266" s="6"/>
      <c r="K266" s="11"/>
    </row>
    <row r="267" spans="1:13" ht="15.75" thickBot="1">
      <c r="A267" s="19" t="s">
        <v>353</v>
      </c>
      <c r="B267" s="697"/>
      <c r="C267" s="697"/>
      <c r="D267" s="149"/>
      <c r="E267" s="149"/>
      <c r="F267" s="149"/>
      <c r="G267" s="149"/>
      <c r="H267" s="150"/>
      <c r="I267" s="149"/>
      <c r="J267" s="150"/>
      <c r="K267" s="149"/>
    </row>
    <row r="268" spans="1:13">
      <c r="A268" s="151" t="s">
        <v>354</v>
      </c>
      <c r="B268" s="152" t="s">
        <v>355</v>
      </c>
      <c r="C268" s="152"/>
      <c r="D268" s="153"/>
      <c r="E268" s="153"/>
      <c r="F268" s="153"/>
      <c r="G268" s="153"/>
      <c r="H268" s="152"/>
      <c r="I268" s="153"/>
      <c r="J268" s="152"/>
      <c r="K268" s="153"/>
    </row>
    <row r="269" spans="1:13">
      <c r="A269" s="151" t="s">
        <v>356</v>
      </c>
      <c r="B269" s="152" t="s">
        <v>357</v>
      </c>
      <c r="C269" s="152"/>
      <c r="D269" s="153"/>
      <c r="E269" s="153"/>
      <c r="F269" s="153"/>
      <c r="G269" s="153"/>
      <c r="H269" s="152"/>
      <c r="I269" s="153"/>
      <c r="J269" s="152"/>
      <c r="K269" s="153"/>
    </row>
    <row r="270" spans="1:13">
      <c r="A270" s="151" t="s">
        <v>358</v>
      </c>
      <c r="B270" s="152" t="s">
        <v>359</v>
      </c>
      <c r="C270" s="152"/>
      <c r="D270" s="152"/>
      <c r="E270" s="152"/>
      <c r="F270" s="152"/>
      <c r="G270" s="152"/>
      <c r="H270" s="152"/>
      <c r="I270" s="153"/>
      <c r="J270" s="152"/>
      <c r="K270" s="152"/>
      <c r="L270" s="150"/>
      <c r="M270" s="150"/>
    </row>
    <row r="271" spans="1:13">
      <c r="A271" s="151" t="s">
        <v>360</v>
      </c>
      <c r="B271" s="152" t="s">
        <v>361</v>
      </c>
      <c r="C271" s="152"/>
      <c r="D271" s="152"/>
      <c r="E271" s="152"/>
      <c r="F271" s="152"/>
      <c r="G271" s="152"/>
      <c r="H271" s="152"/>
      <c r="I271" s="153"/>
      <c r="J271" s="152"/>
      <c r="K271" s="152"/>
      <c r="L271" s="150"/>
    </row>
    <row r="272" spans="1:13">
      <c r="A272" s="151" t="s">
        <v>362</v>
      </c>
      <c r="B272" s="152" t="s">
        <v>363</v>
      </c>
      <c r="C272" s="152"/>
      <c r="D272" s="152"/>
      <c r="E272" s="152"/>
      <c r="F272" s="152"/>
      <c r="G272" s="152"/>
      <c r="H272" s="152"/>
      <c r="I272" s="152"/>
      <c r="J272" s="152"/>
      <c r="K272" s="152"/>
      <c r="L272" s="150"/>
      <c r="M272" s="150"/>
    </row>
    <row r="273" spans="1:96" ht="30.75" customHeight="1">
      <c r="A273" s="151" t="s">
        <v>364</v>
      </c>
      <c r="B273" s="693" t="s">
        <v>365</v>
      </c>
      <c r="C273" s="693"/>
      <c r="D273" s="693"/>
      <c r="E273" s="693"/>
      <c r="F273" s="693"/>
      <c r="G273" s="693"/>
      <c r="H273" s="693"/>
      <c r="I273" s="693"/>
      <c r="J273" s="150"/>
      <c r="K273" s="150"/>
      <c r="L273" s="150"/>
      <c r="M273" s="150"/>
    </row>
    <row r="274" spans="1:96">
      <c r="A274" s="151" t="s">
        <v>366</v>
      </c>
      <c r="B274" s="152" t="s">
        <v>367</v>
      </c>
      <c r="C274" s="152"/>
      <c r="D274" s="152"/>
      <c r="E274" s="152"/>
      <c r="F274" s="152"/>
      <c r="G274" s="152"/>
      <c r="H274" s="152"/>
      <c r="I274" s="152"/>
      <c r="J274" s="152"/>
      <c r="K274" s="152"/>
      <c r="L274" s="150"/>
      <c r="M274" s="150"/>
    </row>
    <row r="275" spans="1:96" ht="28.5" customHeight="1">
      <c r="A275" s="151" t="s">
        <v>368</v>
      </c>
      <c r="B275" s="694" t="s">
        <v>369</v>
      </c>
      <c r="C275" s="694"/>
      <c r="D275" s="694"/>
      <c r="E275" s="694"/>
      <c r="F275" s="694"/>
      <c r="G275" s="694"/>
      <c r="H275" s="694"/>
      <c r="I275" s="694"/>
      <c r="J275" s="152"/>
      <c r="K275" s="152"/>
      <c r="L275" s="150"/>
      <c r="M275" s="150"/>
    </row>
    <row r="276" spans="1:96" ht="30" customHeight="1">
      <c r="A276" s="151" t="s">
        <v>370</v>
      </c>
      <c r="B276" s="694" t="s">
        <v>371</v>
      </c>
      <c r="C276" s="694"/>
      <c r="D276" s="694"/>
      <c r="E276" s="694"/>
      <c r="F276" s="694"/>
      <c r="G276" s="694"/>
      <c r="H276" s="694"/>
      <c r="I276" s="694"/>
      <c r="J276" s="152"/>
      <c r="K276" s="152"/>
      <c r="L276" s="698"/>
      <c r="M276" s="150"/>
    </row>
    <row r="277" spans="1:96" ht="29.25" customHeight="1">
      <c r="A277" s="151" t="s">
        <v>372</v>
      </c>
      <c r="B277" s="694" t="s">
        <v>373</v>
      </c>
      <c r="C277" s="694"/>
      <c r="D277" s="694"/>
      <c r="E277" s="694"/>
      <c r="F277" s="694"/>
      <c r="G277" s="694"/>
      <c r="H277" s="694"/>
      <c r="I277" s="694"/>
      <c r="J277" s="152"/>
      <c r="K277" s="152"/>
      <c r="L277" s="698"/>
      <c r="M277" s="154"/>
    </row>
    <row r="278" spans="1:96" ht="41.25" customHeight="1">
      <c r="A278" s="151" t="s">
        <v>374</v>
      </c>
      <c r="B278" s="694" t="s">
        <v>375</v>
      </c>
      <c r="C278" s="694"/>
      <c r="D278" s="694"/>
      <c r="E278" s="694"/>
      <c r="F278" s="694"/>
      <c r="G278" s="694"/>
      <c r="H278" s="694"/>
      <c r="I278" s="694"/>
      <c r="J278" s="152"/>
      <c r="K278" s="152"/>
      <c r="L278" s="698"/>
      <c r="M278" s="154"/>
    </row>
    <row r="279" spans="1:96">
      <c r="A279" s="151" t="s">
        <v>9</v>
      </c>
      <c r="B279" s="152" t="s">
        <v>376</v>
      </c>
      <c r="C279" s="152" t="s">
        <v>377</v>
      </c>
      <c r="D279" s="155" t="s">
        <v>378</v>
      </c>
      <c r="E279" s="152" t="s">
        <v>379</v>
      </c>
      <c r="F279" s="152"/>
      <c r="G279" s="152"/>
      <c r="H279" s="152"/>
      <c r="I279" s="152"/>
      <c r="J279" s="152"/>
      <c r="K279" s="152"/>
      <c r="L279" s="150"/>
      <c r="M279" s="150"/>
    </row>
    <row r="280" spans="1:96">
      <c r="A280" s="151"/>
      <c r="B280" s="152"/>
      <c r="C280" s="152" t="s">
        <v>380</v>
      </c>
      <c r="D280" s="155" t="s">
        <v>378</v>
      </c>
      <c r="E280" s="152" t="s">
        <v>381</v>
      </c>
      <c r="F280" s="152"/>
      <c r="G280" s="152"/>
      <c r="H280" s="152"/>
      <c r="I280" s="152"/>
      <c r="J280" s="152"/>
      <c r="K280" s="152"/>
      <c r="L280" s="150"/>
    </row>
    <row r="281" spans="1:96" s="71" customFormat="1">
      <c r="A281" s="151"/>
      <c r="B281" s="152"/>
      <c r="C281" s="152" t="s">
        <v>382</v>
      </c>
      <c r="D281" s="155" t="s">
        <v>378</v>
      </c>
      <c r="E281" s="152" t="s">
        <v>383</v>
      </c>
      <c r="F281" s="152"/>
      <c r="G281" s="152"/>
      <c r="H281" s="152"/>
      <c r="I281" s="152"/>
      <c r="J281" s="152"/>
      <c r="K281" s="152"/>
      <c r="L281" s="156"/>
      <c r="M281" s="2"/>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row>
    <row r="282" spans="1:96" s="71" customFormat="1">
      <c r="A282" s="151" t="s">
        <v>384</v>
      </c>
      <c r="B282" s="694" t="s">
        <v>385</v>
      </c>
      <c r="C282" s="694"/>
      <c r="D282" s="694"/>
      <c r="E282" s="694"/>
      <c r="F282" s="694"/>
      <c r="G282" s="694"/>
      <c r="H282" s="694"/>
      <c r="I282" s="694"/>
      <c r="J282" s="152"/>
      <c r="K282" s="152"/>
      <c r="L282" s="156"/>
      <c r="M282" s="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row>
    <row r="283" spans="1:96" ht="30.75" customHeight="1">
      <c r="A283" s="151" t="s">
        <v>386</v>
      </c>
      <c r="B283" s="694" t="s">
        <v>387</v>
      </c>
      <c r="C283" s="694"/>
      <c r="D283" s="694"/>
      <c r="E283" s="694"/>
      <c r="F283" s="694"/>
      <c r="G283" s="694"/>
      <c r="H283" s="694"/>
      <c r="I283" s="694"/>
      <c r="J283" s="152"/>
      <c r="K283" s="152"/>
      <c r="L283" s="156"/>
      <c r="M283" s="71"/>
    </row>
    <row r="284" spans="1:96">
      <c r="A284" s="151" t="s">
        <v>388</v>
      </c>
      <c r="B284" s="152" t="s">
        <v>389</v>
      </c>
      <c r="C284" s="157"/>
      <c r="D284" s="152"/>
      <c r="E284" s="152"/>
      <c r="F284" s="152"/>
      <c r="G284" s="152"/>
      <c r="H284" s="152"/>
      <c r="I284" s="152"/>
      <c r="J284" s="152"/>
      <c r="K284" s="152"/>
      <c r="L284" s="156"/>
      <c r="M284" s="71"/>
    </row>
    <row r="285" spans="1:96" ht="12.75" customHeight="1">
      <c r="A285" s="151" t="s">
        <v>390</v>
      </c>
      <c r="B285" s="693" t="s">
        <v>391</v>
      </c>
      <c r="C285" s="693"/>
      <c r="D285" s="693"/>
      <c r="E285" s="693"/>
      <c r="F285" s="693"/>
      <c r="G285" s="693"/>
      <c r="H285" s="693"/>
      <c r="I285" s="693"/>
      <c r="J285" s="150"/>
      <c r="K285" s="150"/>
    </row>
    <row r="286" spans="1:96" ht="12.75" customHeight="1">
      <c r="A286" s="151" t="s">
        <v>392</v>
      </c>
      <c r="B286" s="698" t="s">
        <v>393</v>
      </c>
      <c r="C286" s="698"/>
      <c r="D286" s="698"/>
      <c r="E286" s="698"/>
      <c r="F286" s="698"/>
      <c r="G286" s="698"/>
      <c r="H286" s="698"/>
      <c r="I286" s="698"/>
      <c r="J286" s="698"/>
      <c r="K286" s="698"/>
    </row>
    <row r="287" spans="1:96" ht="30" customHeight="1">
      <c r="A287" s="151" t="s">
        <v>394</v>
      </c>
      <c r="B287" s="694" t="s">
        <v>395</v>
      </c>
      <c r="C287" s="694"/>
      <c r="D287" s="694"/>
      <c r="E287" s="694"/>
      <c r="F287" s="694"/>
      <c r="G287" s="694"/>
      <c r="H287" s="694"/>
      <c r="I287" s="694"/>
      <c r="J287" s="152"/>
      <c r="K287" s="152"/>
    </row>
    <row r="288" spans="1:96" ht="56.25" customHeight="1">
      <c r="A288" s="151" t="s">
        <v>396</v>
      </c>
      <c r="B288" s="694" t="s">
        <v>397</v>
      </c>
      <c r="C288" s="694"/>
      <c r="D288" s="694"/>
      <c r="E288" s="694"/>
      <c r="F288" s="694"/>
      <c r="G288" s="694"/>
      <c r="H288" s="694"/>
      <c r="I288" s="694"/>
      <c r="J288" s="157"/>
      <c r="K288" s="157"/>
    </row>
    <row r="289" spans="1:11" ht="59.25" customHeight="1">
      <c r="A289" s="151" t="s">
        <v>398</v>
      </c>
      <c r="B289" s="700" t="s">
        <v>399</v>
      </c>
      <c r="C289" s="700"/>
      <c r="D289" s="700"/>
      <c r="E289" s="700"/>
      <c r="F289" s="700"/>
      <c r="G289" s="700"/>
      <c r="H289" s="700"/>
      <c r="I289" s="700"/>
      <c r="J289" s="152"/>
      <c r="K289" s="152"/>
    </row>
    <row r="290" spans="1:11" ht="31.5" customHeight="1">
      <c r="A290" s="158" t="s">
        <v>400</v>
      </c>
      <c r="B290" s="701" t="s">
        <v>401</v>
      </c>
      <c r="C290" s="701"/>
      <c r="D290" s="701"/>
      <c r="E290" s="701"/>
      <c r="F290" s="701"/>
      <c r="G290" s="701"/>
      <c r="H290" s="701"/>
      <c r="I290" s="701"/>
      <c r="J290" s="156"/>
      <c r="K290" s="156"/>
    </row>
    <row r="291" spans="1:11">
      <c r="A291" s="158" t="s">
        <v>402</v>
      </c>
      <c r="B291" s="159" t="s">
        <v>403</v>
      </c>
      <c r="C291" s="159"/>
      <c r="D291" s="159"/>
      <c r="E291" s="159"/>
      <c r="F291" s="159"/>
      <c r="G291" s="159"/>
      <c r="H291" s="159"/>
      <c r="I291" s="159"/>
      <c r="J291" s="159"/>
      <c r="K291" s="159"/>
    </row>
    <row r="292" spans="1:11">
      <c r="A292" s="158" t="s">
        <v>404</v>
      </c>
      <c r="B292" s="699" t="s">
        <v>405</v>
      </c>
      <c r="C292" s="699"/>
      <c r="D292" s="699"/>
      <c r="E292" s="699"/>
      <c r="F292" s="699"/>
      <c r="G292" s="699"/>
      <c r="H292" s="699"/>
      <c r="I292" s="699"/>
      <c r="J292" s="159"/>
      <c r="K292" s="159"/>
    </row>
    <row r="293" spans="1:11" ht="28.5" customHeight="1">
      <c r="A293" s="158" t="s">
        <v>406</v>
      </c>
      <c r="B293" s="702" t="s">
        <v>407</v>
      </c>
      <c r="C293" s="702"/>
      <c r="D293" s="702"/>
      <c r="E293" s="702"/>
      <c r="F293" s="702"/>
      <c r="G293" s="702"/>
      <c r="H293" s="702"/>
      <c r="I293" s="702"/>
      <c r="J293" s="159"/>
      <c r="K293" s="159"/>
    </row>
    <row r="294" spans="1:11" ht="27.75" customHeight="1">
      <c r="A294" s="158" t="s">
        <v>408</v>
      </c>
      <c r="B294" s="702" t="s">
        <v>409</v>
      </c>
      <c r="C294" s="702"/>
      <c r="D294" s="702"/>
      <c r="E294" s="702"/>
      <c r="F294" s="702"/>
      <c r="G294" s="702"/>
      <c r="H294" s="702"/>
      <c r="I294" s="702"/>
      <c r="J294" s="159"/>
      <c r="K294" s="159"/>
    </row>
    <row r="295" spans="1:11" ht="47.25" customHeight="1">
      <c r="A295" s="158" t="s">
        <v>410</v>
      </c>
      <c r="B295" s="703" t="s">
        <v>411</v>
      </c>
      <c r="C295" s="703"/>
      <c r="D295" s="703"/>
      <c r="E295" s="703"/>
      <c r="F295" s="703"/>
      <c r="G295" s="703"/>
      <c r="H295" s="703"/>
      <c r="I295" s="703"/>
      <c r="J295" s="159"/>
      <c r="K295" s="159"/>
    </row>
    <row r="296" spans="1:11">
      <c r="A296" s="158" t="s">
        <v>412</v>
      </c>
      <c r="B296" s="699" t="s">
        <v>413</v>
      </c>
      <c r="C296" s="699"/>
      <c r="D296" s="699"/>
      <c r="E296" s="699"/>
      <c r="F296" s="699"/>
      <c r="G296" s="699"/>
      <c r="H296" s="699"/>
      <c r="I296" s="699"/>
      <c r="J296" s="159"/>
      <c r="K296" s="159"/>
    </row>
    <row r="297" spans="1:11" ht="29.25" customHeight="1">
      <c r="A297" s="158" t="s">
        <v>414</v>
      </c>
      <c r="B297" s="702" t="s">
        <v>415</v>
      </c>
      <c r="C297" s="702"/>
      <c r="D297" s="702"/>
      <c r="E297" s="702"/>
      <c r="F297" s="702"/>
      <c r="G297" s="702"/>
      <c r="H297" s="702"/>
      <c r="I297" s="702"/>
      <c r="J297" s="159"/>
      <c r="K297" s="159"/>
    </row>
    <row r="298" spans="1:11">
      <c r="A298" s="158" t="s">
        <v>416</v>
      </c>
      <c r="B298" s="160" t="s">
        <v>417</v>
      </c>
      <c r="C298" s="159"/>
      <c r="D298" s="159"/>
      <c r="E298" s="159"/>
      <c r="F298" s="159"/>
      <c r="G298" s="159"/>
      <c r="H298" s="159"/>
      <c r="I298" s="159"/>
      <c r="J298" s="159"/>
      <c r="K298" s="159"/>
    </row>
    <row r="299" spans="1:11">
      <c r="A299" s="161" t="s">
        <v>418</v>
      </c>
      <c r="B299" s="160" t="s">
        <v>419</v>
      </c>
      <c r="C299" s="157"/>
      <c r="D299" s="157"/>
      <c r="E299" s="157"/>
      <c r="F299" s="157"/>
      <c r="G299" s="157"/>
      <c r="H299" s="157"/>
      <c r="I299" s="157"/>
      <c r="J299" s="157"/>
      <c r="K299" s="157"/>
    </row>
    <row r="300" spans="1:11">
      <c r="A300" s="161" t="s">
        <v>420</v>
      </c>
      <c r="B300" s="157" t="s">
        <v>421</v>
      </c>
      <c r="C300" s="157"/>
      <c r="D300" s="157"/>
      <c r="E300" s="157"/>
      <c r="F300" s="157"/>
      <c r="G300" s="157"/>
      <c r="H300" s="157"/>
      <c r="I300" s="157"/>
      <c r="J300" s="157"/>
      <c r="K300" s="157"/>
    </row>
    <row r="301" spans="1:11" ht="68.25" customHeight="1">
      <c r="A301" s="158" t="s">
        <v>422</v>
      </c>
      <c r="B301" s="704" t="s">
        <v>423</v>
      </c>
      <c r="C301" s="704"/>
      <c r="D301" s="704"/>
      <c r="E301" s="704"/>
      <c r="F301" s="704"/>
      <c r="G301" s="704"/>
      <c r="H301" s="704"/>
      <c r="I301" s="704"/>
      <c r="J301" s="162"/>
      <c r="K301" s="162"/>
    </row>
    <row r="302" spans="1:11" ht="14.25" customHeight="1">
      <c r="A302" s="158" t="s">
        <v>424</v>
      </c>
      <c r="B302" s="705" t="s">
        <v>425</v>
      </c>
      <c r="C302" s="705"/>
      <c r="D302" s="705"/>
      <c r="E302" s="705"/>
      <c r="F302" s="705"/>
      <c r="G302" s="705"/>
      <c r="H302" s="705"/>
      <c r="I302" s="705"/>
      <c r="J302" s="705"/>
      <c r="K302" s="705"/>
    </row>
    <row r="303" spans="1:11" ht="29.25" customHeight="1">
      <c r="A303" s="158" t="s">
        <v>426</v>
      </c>
      <c r="B303" s="706" t="s">
        <v>427</v>
      </c>
      <c r="C303" s="706"/>
      <c r="D303" s="706"/>
      <c r="E303" s="706"/>
      <c r="F303" s="706"/>
      <c r="G303" s="706"/>
      <c r="H303" s="706"/>
      <c r="I303" s="706"/>
      <c r="J303" s="156"/>
      <c r="K303" s="156"/>
    </row>
    <row r="304" spans="1:11">
      <c r="A304" s="158" t="s">
        <v>428</v>
      </c>
      <c r="B304" s="163" t="s">
        <v>429</v>
      </c>
      <c r="C304" s="163"/>
      <c r="D304" s="163"/>
      <c r="E304" s="163"/>
      <c r="F304" s="163"/>
      <c r="G304" s="163"/>
      <c r="H304" s="154"/>
      <c r="I304" s="164"/>
      <c r="J304" s="165"/>
      <c r="K304" s="165"/>
    </row>
    <row r="305" spans="1:11" ht="12.75" customHeight="1">
      <c r="A305" s="158" t="s">
        <v>430</v>
      </c>
      <c r="B305" s="703" t="s">
        <v>431</v>
      </c>
      <c r="C305" s="703"/>
      <c r="D305" s="703"/>
      <c r="E305" s="703"/>
      <c r="F305" s="703"/>
      <c r="G305" s="703"/>
      <c r="H305" s="703"/>
      <c r="I305" s="703"/>
      <c r="J305" s="157"/>
      <c r="K305" s="157"/>
    </row>
    <row r="306" spans="1:11">
      <c r="A306" s="158" t="s">
        <v>432</v>
      </c>
      <c r="B306" s="157" t="s">
        <v>433</v>
      </c>
      <c r="C306" s="157"/>
      <c r="D306" s="157"/>
      <c r="E306" s="157"/>
      <c r="F306" s="157"/>
      <c r="G306" s="157"/>
      <c r="H306" s="157"/>
      <c r="I306" s="157"/>
      <c r="J306" s="157"/>
      <c r="K306" s="157"/>
    </row>
    <row r="307" spans="1:11">
      <c r="A307" s="158" t="s">
        <v>434</v>
      </c>
      <c r="B307" s="157" t="s">
        <v>435</v>
      </c>
      <c r="C307" s="157"/>
      <c r="D307" s="157"/>
      <c r="E307" s="157"/>
      <c r="F307" s="157"/>
      <c r="G307" s="157"/>
      <c r="H307" s="157"/>
      <c r="I307" s="157"/>
      <c r="J307" s="157"/>
      <c r="K307" s="157"/>
    </row>
    <row r="308" spans="1:11">
      <c r="A308" s="158" t="s">
        <v>436</v>
      </c>
      <c r="B308" s="157" t="s">
        <v>437</v>
      </c>
      <c r="C308" s="157"/>
      <c r="D308" s="157"/>
      <c r="E308" s="157"/>
      <c r="F308" s="157"/>
      <c r="G308" s="157"/>
      <c r="H308" s="157"/>
      <c r="I308" s="157"/>
      <c r="J308" s="157"/>
      <c r="K308" s="157"/>
    </row>
    <row r="309" spans="1:11" ht="12.75" customHeight="1">
      <c r="A309" s="158" t="s">
        <v>438</v>
      </c>
      <c r="B309" s="707" t="s">
        <v>439</v>
      </c>
      <c r="C309" s="707"/>
      <c r="D309" s="707"/>
      <c r="E309" s="707"/>
      <c r="F309" s="707"/>
      <c r="G309" s="707"/>
      <c r="H309" s="707"/>
      <c r="I309" s="707"/>
      <c r="J309" s="157"/>
      <c r="K309" s="157"/>
    </row>
    <row r="310" spans="1:11" ht="29.25" customHeight="1">
      <c r="A310" s="166" t="s">
        <v>440</v>
      </c>
      <c r="B310" s="694" t="s">
        <v>441</v>
      </c>
      <c r="C310" s="694"/>
      <c r="D310" s="694"/>
      <c r="E310" s="694"/>
      <c r="F310" s="694"/>
      <c r="G310" s="694"/>
      <c r="H310" s="694"/>
      <c r="I310" s="694"/>
      <c r="J310" s="157"/>
      <c r="K310" s="157"/>
    </row>
    <row r="311" spans="1:11" ht="15.75">
      <c r="A311" s="15" t="s">
        <v>442</v>
      </c>
      <c r="B311" s="167"/>
    </row>
    <row r="312" spans="1:11">
      <c r="A312" s="7"/>
      <c r="B312" s="1"/>
      <c r="D312" s="7"/>
      <c r="E312" s="11"/>
      <c r="F312" s="11"/>
      <c r="G312" s="11"/>
    </row>
    <row r="313" spans="1:11">
      <c r="A313" s="7"/>
      <c r="B313" s="1"/>
      <c r="C313" s="139"/>
      <c r="D313" s="11"/>
      <c r="E313" s="11"/>
      <c r="F313" s="11"/>
    </row>
    <row r="314" spans="1:11">
      <c r="A314" s="7"/>
      <c r="B314" s="1"/>
      <c r="C314" s="139"/>
      <c r="D314" s="22"/>
      <c r="E314" s="11"/>
      <c r="F314" s="11"/>
    </row>
    <row r="315" spans="1:11">
      <c r="A315" s="7"/>
      <c r="B315" s="1"/>
      <c r="C315" s="168"/>
      <c r="D315" s="4"/>
      <c r="E315" s="4"/>
      <c r="F315" s="4"/>
      <c r="G315" s="4"/>
    </row>
    <row r="316" spans="1:11">
      <c r="A316" s="7"/>
      <c r="B316" s="5"/>
      <c r="C316" s="168"/>
      <c r="D316" s="169"/>
      <c r="E316" s="4"/>
      <c r="F316" s="4"/>
      <c r="G316" s="4"/>
    </row>
    <row r="317" spans="1:11">
      <c r="A317" s="7"/>
      <c r="B317" s="1"/>
      <c r="C317" s="7"/>
      <c r="D317" s="11"/>
      <c r="E317" s="11"/>
      <c r="F317" s="11"/>
      <c r="G317" s="11"/>
    </row>
  </sheetData>
  <mergeCells count="31">
    <mergeCell ref="B310:I310"/>
    <mergeCell ref="B297:I297"/>
    <mergeCell ref="B301:I301"/>
    <mergeCell ref="B302:K302"/>
    <mergeCell ref="B303:I303"/>
    <mergeCell ref="B305:I305"/>
    <mergeCell ref="B309:I309"/>
    <mergeCell ref="L276:L278"/>
    <mergeCell ref="B277:I277"/>
    <mergeCell ref="B278:I278"/>
    <mergeCell ref="B296:I296"/>
    <mergeCell ref="B283:I283"/>
    <mergeCell ref="B285:I285"/>
    <mergeCell ref="B286:K286"/>
    <mergeCell ref="B287:I287"/>
    <mergeCell ref="B288:I288"/>
    <mergeCell ref="B289:I289"/>
    <mergeCell ref="B290:I290"/>
    <mergeCell ref="B292:I292"/>
    <mergeCell ref="B293:I293"/>
    <mergeCell ref="B294:I294"/>
    <mergeCell ref="B295:I295"/>
    <mergeCell ref="B282:I282"/>
    <mergeCell ref="B273:I273"/>
    <mergeCell ref="B275:I275"/>
    <mergeCell ref="B276:I276"/>
    <mergeCell ref="A59:K59"/>
    <mergeCell ref="A117:K117"/>
    <mergeCell ref="A198:K198"/>
    <mergeCell ref="A262:K262"/>
    <mergeCell ref="B267:C267"/>
  </mergeCells>
  <pageMargins left="0.25" right="0.25" top="0.5" bottom="0.5" header="0.3" footer="0.3"/>
  <pageSetup paperSize="17" scale="45" fitToHeight="0" orientation="landscape" r:id="rId1"/>
  <rowBreaks count="4" manualBreakCount="4">
    <brk id="52" max="10" man="1"/>
    <brk id="110" max="10" man="1"/>
    <brk id="190" max="10" man="1"/>
    <brk id="2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EBB3-8802-4504-8055-1A57A1BC6C51}">
  <sheetPr>
    <pageSetUpPr fitToPage="1"/>
  </sheetPr>
  <dimension ref="A1:G73"/>
  <sheetViews>
    <sheetView view="pageBreakPreview" zoomScaleNormal="100" zoomScaleSheetLayoutView="100" workbookViewId="0">
      <selection activeCell="U42" sqref="U42"/>
    </sheetView>
  </sheetViews>
  <sheetFormatPr defaultColWidth="8.88671875" defaultRowHeight="12.75"/>
  <cols>
    <col min="1" max="1" width="32.77734375" style="41" customWidth="1"/>
    <col min="2" max="2" width="28.44140625" style="2" bestFit="1" customWidth="1"/>
    <col min="3" max="3" width="13.109375" style="84" bestFit="1" customWidth="1"/>
    <col min="4" max="4" width="6.6640625" style="2" bestFit="1" customWidth="1"/>
    <col min="5" max="5" width="5.77734375" style="2" bestFit="1" customWidth="1"/>
    <col min="6" max="6" width="9.6640625" style="2" bestFit="1" customWidth="1"/>
    <col min="7" max="16384" width="8.88671875" style="2"/>
  </cols>
  <sheetData>
    <row r="1" spans="1:7" ht="15" customHeight="1">
      <c r="A1" s="728" t="s">
        <v>1062</v>
      </c>
      <c r="B1" s="728"/>
      <c r="C1" s="728"/>
      <c r="D1" s="728"/>
      <c r="E1" s="728"/>
      <c r="F1" s="728"/>
      <c r="G1" s="728"/>
    </row>
    <row r="2" spans="1:7" ht="15" customHeight="1">
      <c r="A2" s="729" t="s">
        <v>1063</v>
      </c>
      <c r="B2" s="729"/>
      <c r="C2" s="729"/>
      <c r="D2" s="729"/>
      <c r="E2" s="729"/>
      <c r="F2" s="729"/>
      <c r="G2" s="729"/>
    </row>
    <row r="3" spans="1:7" ht="15" customHeight="1">
      <c r="A3" s="730" t="str">
        <f>+'Attachment O'!D5</f>
        <v>GridLiance Heartland LLC</v>
      </c>
      <c r="B3" s="730"/>
      <c r="C3" s="730"/>
      <c r="D3" s="730"/>
      <c r="E3" s="730"/>
      <c r="F3" s="730"/>
      <c r="G3" s="730"/>
    </row>
    <row r="5" spans="1:7" ht="15">
      <c r="A5" s="540" t="s">
        <v>1064</v>
      </c>
      <c r="B5" s="541" t="s">
        <v>1065</v>
      </c>
      <c r="C5" s="541" t="s">
        <v>1066</v>
      </c>
    </row>
    <row r="6" spans="1:7" ht="15">
      <c r="A6" s="542"/>
      <c r="B6" s="542"/>
      <c r="C6" s="542"/>
    </row>
    <row r="7" spans="1:7" ht="15">
      <c r="A7" s="540" t="s">
        <v>1067</v>
      </c>
      <c r="B7" s="543"/>
      <c r="C7" s="544"/>
    </row>
    <row r="8" spans="1:7" ht="15">
      <c r="A8" s="545">
        <v>350</v>
      </c>
      <c r="B8" s="543" t="s">
        <v>1068</v>
      </c>
      <c r="C8" s="546" t="s">
        <v>1069</v>
      </c>
    </row>
    <row r="9" spans="1:7" ht="15">
      <c r="A9" s="545">
        <v>352</v>
      </c>
      <c r="B9" s="543" t="s">
        <v>1070</v>
      </c>
      <c r="C9" s="546">
        <v>1.5396999999999999E-2</v>
      </c>
    </row>
    <row r="10" spans="1:7" ht="15">
      <c r="A10" s="545">
        <v>353</v>
      </c>
      <c r="B10" s="543" t="s">
        <v>1071</v>
      </c>
      <c r="C10" s="546">
        <v>2.0285000000000001E-2</v>
      </c>
      <c r="D10" s="528"/>
      <c r="E10" s="528"/>
    </row>
    <row r="11" spans="1:7" ht="15">
      <c r="A11" s="545">
        <v>354</v>
      </c>
      <c r="B11" s="543" t="s">
        <v>1072</v>
      </c>
      <c r="C11" s="546">
        <v>1.8846999999999999E-2</v>
      </c>
      <c r="D11" s="528"/>
      <c r="E11" s="528"/>
    </row>
    <row r="12" spans="1:7" ht="15">
      <c r="A12" s="545">
        <v>355</v>
      </c>
      <c r="B12" s="543" t="s">
        <v>1073</v>
      </c>
      <c r="C12" s="546">
        <v>2.1496000000000001E-2</v>
      </c>
      <c r="D12" s="528"/>
      <c r="E12" s="528"/>
    </row>
    <row r="13" spans="1:7" ht="15">
      <c r="A13" s="545">
        <v>356</v>
      </c>
      <c r="B13" s="543" t="s">
        <v>1074</v>
      </c>
      <c r="C13" s="546">
        <v>2.0972999999999999E-2</v>
      </c>
      <c r="D13" s="528"/>
      <c r="E13" s="528"/>
    </row>
    <row r="14" spans="1:7" ht="15">
      <c r="A14" s="545">
        <v>357</v>
      </c>
      <c r="B14" s="543" t="s">
        <v>1075</v>
      </c>
      <c r="C14" s="546">
        <v>1.3665E-2</v>
      </c>
      <c r="D14" s="528"/>
      <c r="E14" s="528"/>
    </row>
    <row r="15" spans="1:7" ht="15">
      <c r="A15" s="545">
        <v>358</v>
      </c>
      <c r="B15" s="543" t="s">
        <v>1076</v>
      </c>
      <c r="C15" s="546">
        <v>1.8415999999999998E-2</v>
      </c>
      <c r="D15" s="528"/>
      <c r="E15" s="528"/>
    </row>
    <row r="16" spans="1:7" ht="15">
      <c r="A16" s="545">
        <v>359</v>
      </c>
      <c r="B16" s="543" t="s">
        <v>1077</v>
      </c>
      <c r="C16" s="546">
        <v>0</v>
      </c>
      <c r="D16" s="528"/>
      <c r="E16" s="528"/>
    </row>
    <row r="17" spans="1:5" ht="15">
      <c r="A17" s="545"/>
      <c r="B17" s="543"/>
      <c r="C17" s="546"/>
      <c r="D17" s="528"/>
      <c r="E17" s="528"/>
    </row>
    <row r="18" spans="1:5" ht="15">
      <c r="A18" s="547" t="s">
        <v>1078</v>
      </c>
      <c r="B18" s="543"/>
      <c r="C18" s="548"/>
      <c r="D18" s="528"/>
      <c r="E18" s="528"/>
    </row>
    <row r="19" spans="1:5" ht="15">
      <c r="A19" s="545">
        <v>302</v>
      </c>
      <c r="B19" s="543" t="s">
        <v>1079</v>
      </c>
      <c r="C19" s="546" t="s">
        <v>1069</v>
      </c>
      <c r="D19" s="528"/>
      <c r="E19" s="528"/>
    </row>
    <row r="20" spans="1:5" ht="15">
      <c r="A20" s="545">
        <v>303</v>
      </c>
      <c r="B20" s="543" t="s">
        <v>1080</v>
      </c>
      <c r="C20" s="546">
        <v>0.2</v>
      </c>
      <c r="D20" s="528"/>
      <c r="E20" s="528"/>
    </row>
    <row r="21" spans="1:5" ht="15">
      <c r="A21" s="545">
        <v>390</v>
      </c>
      <c r="B21" s="549" t="s">
        <v>1070</v>
      </c>
      <c r="C21" s="546">
        <v>2.1194000000000001E-2</v>
      </c>
      <c r="D21" s="528"/>
      <c r="E21" s="528"/>
    </row>
    <row r="22" spans="1:5" ht="15">
      <c r="A22" s="545">
        <v>391</v>
      </c>
      <c r="B22" s="549" t="s">
        <v>1081</v>
      </c>
      <c r="C22" s="546">
        <v>5.0671000000000001E-2</v>
      </c>
      <c r="D22" s="528"/>
      <c r="E22" s="528"/>
    </row>
    <row r="23" spans="1:5" ht="15">
      <c r="A23" s="545">
        <v>391</v>
      </c>
      <c r="B23" s="549" t="s">
        <v>1082</v>
      </c>
      <c r="C23" s="546">
        <v>0.25</v>
      </c>
      <c r="D23" s="528"/>
      <c r="E23" s="528"/>
    </row>
    <row r="24" spans="1:5" ht="15">
      <c r="A24" s="545">
        <v>392</v>
      </c>
      <c r="B24" s="549" t="s">
        <v>1083</v>
      </c>
      <c r="C24" s="546">
        <v>0.109667</v>
      </c>
      <c r="D24" s="528"/>
      <c r="E24" s="528"/>
    </row>
    <row r="25" spans="1:5" ht="15">
      <c r="A25" s="545">
        <v>392</v>
      </c>
      <c r="B25" s="549" t="s">
        <v>1084</v>
      </c>
      <c r="C25" s="546">
        <v>8.4139000000000005E-2</v>
      </c>
      <c r="D25" s="528"/>
      <c r="E25" s="528"/>
    </row>
    <row r="26" spans="1:5" ht="15">
      <c r="A26" s="545">
        <v>392</v>
      </c>
      <c r="B26" s="549" t="s">
        <v>1085</v>
      </c>
      <c r="C26" s="546">
        <v>6.9486000000000006E-2</v>
      </c>
      <c r="D26" s="528"/>
      <c r="E26" s="528"/>
    </row>
    <row r="27" spans="1:5" ht="15">
      <c r="A27" s="545">
        <v>392</v>
      </c>
      <c r="B27" s="549" t="s">
        <v>1086</v>
      </c>
      <c r="C27" s="546">
        <v>7.2363999999999998E-2</v>
      </c>
      <c r="D27" s="528"/>
      <c r="E27" s="528"/>
    </row>
    <row r="28" spans="1:5" ht="15">
      <c r="A28" s="545">
        <v>393</v>
      </c>
      <c r="B28" s="549" t="s">
        <v>1087</v>
      </c>
      <c r="C28" s="546">
        <v>0.05</v>
      </c>
    </row>
    <row r="29" spans="1:5" ht="15">
      <c r="A29" s="545">
        <v>394</v>
      </c>
      <c r="B29" s="549" t="s">
        <v>1088</v>
      </c>
      <c r="C29" s="546">
        <v>6.6671999999999995E-2</v>
      </c>
    </row>
    <row r="30" spans="1:5" ht="15">
      <c r="A30" s="545">
        <v>395</v>
      </c>
      <c r="B30" s="549" t="s">
        <v>1089</v>
      </c>
      <c r="C30" s="546">
        <v>0.1</v>
      </c>
    </row>
    <row r="31" spans="1:5" ht="15">
      <c r="A31" s="545">
        <v>396</v>
      </c>
      <c r="B31" s="549" t="s">
        <v>1090</v>
      </c>
      <c r="C31" s="546">
        <v>8.4139000000000005E-2</v>
      </c>
    </row>
    <row r="32" spans="1:5" ht="15">
      <c r="A32" s="545">
        <v>397</v>
      </c>
      <c r="B32" s="543" t="s">
        <v>1091</v>
      </c>
      <c r="C32" s="546">
        <v>0.11111</v>
      </c>
    </row>
    <row r="33" spans="1:5" ht="15">
      <c r="A33" s="545">
        <v>398</v>
      </c>
      <c r="B33" s="549" t="s">
        <v>1092</v>
      </c>
      <c r="C33" s="546">
        <v>6.6671999999999995E-2</v>
      </c>
    </row>
    <row r="34" spans="1:5" ht="15">
      <c r="A34" s="543"/>
      <c r="B34" s="543"/>
      <c r="C34" s="543"/>
      <c r="D34" s="550"/>
      <c r="E34" s="551"/>
    </row>
    <row r="35" spans="1:5" ht="15">
      <c r="A35" s="552" t="s">
        <v>1093</v>
      </c>
      <c r="B35" s="543"/>
      <c r="C35" s="543"/>
      <c r="D35" s="550"/>
      <c r="E35" s="553"/>
    </row>
    <row r="36" spans="1:5" ht="15">
      <c r="A36" s="543" t="s">
        <v>1094</v>
      </c>
      <c r="B36" s="543"/>
      <c r="C36" s="543"/>
      <c r="D36" s="550"/>
      <c r="E36" s="553"/>
    </row>
    <row r="37" spans="1:5" ht="15">
      <c r="A37" s="552" t="s">
        <v>1095</v>
      </c>
      <c r="B37" s="543"/>
      <c r="C37" s="549"/>
      <c r="D37" s="554"/>
      <c r="E37" s="553"/>
    </row>
    <row r="38" spans="1:5" ht="15">
      <c r="A38" s="552" t="s">
        <v>1096</v>
      </c>
      <c r="B38" s="555"/>
      <c r="C38" s="543"/>
      <c r="D38" s="553"/>
      <c r="E38" s="553"/>
    </row>
    <row r="39" spans="1:5" ht="15">
      <c r="A39" s="731" t="s">
        <v>1097</v>
      </c>
      <c r="B39" s="732"/>
      <c r="C39" s="732"/>
    </row>
    <row r="40" spans="1:5" ht="15">
      <c r="A40" s="556" t="s">
        <v>1098</v>
      </c>
      <c r="B40" s="557"/>
      <c r="C40" s="558"/>
    </row>
    <row r="41" spans="1:5">
      <c r="A41" s="559"/>
      <c r="B41" s="203"/>
      <c r="C41" s="118"/>
    </row>
    <row r="42" spans="1:5">
      <c r="A42" s="559"/>
      <c r="B42" s="203"/>
      <c r="C42" s="118"/>
    </row>
    <row r="43" spans="1:5">
      <c r="A43" s="559"/>
      <c r="B43" s="203"/>
      <c r="C43" s="118"/>
    </row>
    <row r="44" spans="1:5">
      <c r="A44" s="559"/>
      <c r="B44" s="203"/>
      <c r="C44" s="118"/>
    </row>
    <row r="45" spans="1:5">
      <c r="A45" s="559"/>
      <c r="B45" s="203"/>
      <c r="C45" s="118"/>
    </row>
    <row r="46" spans="1:5">
      <c r="A46" s="559"/>
      <c r="B46" s="203"/>
      <c r="C46" s="118"/>
    </row>
    <row r="47" spans="1:5">
      <c r="A47" s="559"/>
      <c r="B47" s="203"/>
      <c r="C47" s="118"/>
    </row>
    <row r="48" spans="1:5">
      <c r="A48" s="559"/>
      <c r="B48" s="203"/>
      <c r="C48" s="118"/>
    </row>
    <row r="49" spans="1:3">
      <c r="A49" s="559"/>
      <c r="B49" s="203"/>
      <c r="C49" s="118"/>
    </row>
    <row r="50" spans="1:3">
      <c r="A50" s="559"/>
      <c r="B50" s="203"/>
    </row>
    <row r="51" spans="1:3">
      <c r="A51" s="560"/>
      <c r="B51" s="203"/>
    </row>
    <row r="52" spans="1:3">
      <c r="A52" s="560"/>
      <c r="B52" s="203"/>
    </row>
    <row r="53" spans="1:3">
      <c r="A53" s="560"/>
    </row>
    <row r="54" spans="1:3">
      <c r="A54" s="560"/>
    </row>
    <row r="55" spans="1:3">
      <c r="A55" s="560"/>
    </row>
    <row r="56" spans="1:3">
      <c r="A56" s="560"/>
    </row>
    <row r="57" spans="1:3">
      <c r="A57" s="560"/>
    </row>
    <row r="58" spans="1:3">
      <c r="A58" s="560"/>
    </row>
    <row r="59" spans="1:3">
      <c r="A59" s="560"/>
    </row>
    <row r="60" spans="1:3">
      <c r="A60" s="560"/>
    </row>
    <row r="61" spans="1:3">
      <c r="A61" s="560"/>
    </row>
    <row r="62" spans="1:3">
      <c r="A62" s="560"/>
    </row>
    <row r="63" spans="1:3">
      <c r="A63" s="560"/>
    </row>
    <row r="64" spans="1:3">
      <c r="A64" s="560"/>
    </row>
    <row r="65" spans="1:1">
      <c r="A65" s="560"/>
    </row>
    <row r="66" spans="1:1">
      <c r="A66" s="560"/>
    </row>
    <row r="67" spans="1:1">
      <c r="A67" s="560"/>
    </row>
    <row r="68" spans="1:1">
      <c r="A68" s="560"/>
    </row>
    <row r="69" spans="1:1">
      <c r="A69" s="560"/>
    </row>
    <row r="70" spans="1:1">
      <c r="A70" s="560"/>
    </row>
    <row r="71" spans="1:1">
      <c r="A71" s="560"/>
    </row>
    <row r="72" spans="1:1">
      <c r="A72" s="560"/>
    </row>
    <row r="73" spans="1:1">
      <c r="A73" s="560"/>
    </row>
  </sheetData>
  <mergeCells count="4">
    <mergeCell ref="A1:G1"/>
    <mergeCell ref="A2:G2"/>
    <mergeCell ref="A3:G3"/>
    <mergeCell ref="A39:C39"/>
  </mergeCells>
  <pageMargins left="0.5" right="0"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489C2-1D16-411A-8A3A-929C5B9FA852}">
  <sheetPr>
    <pageSetUpPr fitToPage="1"/>
  </sheetPr>
  <dimension ref="A1:O62"/>
  <sheetViews>
    <sheetView view="pageBreakPreview" zoomScaleNormal="100" zoomScaleSheetLayoutView="100" workbookViewId="0">
      <selection activeCell="U42" sqref="U42"/>
    </sheetView>
  </sheetViews>
  <sheetFormatPr defaultColWidth="8.77734375" defaultRowHeight="15"/>
  <cols>
    <col min="1" max="1" width="7.44140625" style="2" customWidth="1"/>
    <col min="2" max="2" width="43.77734375" style="2" customWidth="1"/>
    <col min="3" max="3" width="16.44140625" style="2" customWidth="1"/>
    <col min="4" max="4" width="14.88671875" style="2" bestFit="1" customWidth="1"/>
    <col min="5" max="5" width="14.33203125" style="2" bestFit="1" customWidth="1"/>
    <col min="6" max="6" width="12.88671875" style="2" bestFit="1" customWidth="1"/>
    <col min="7" max="7" width="9.21875" customWidth="1"/>
  </cols>
  <sheetData>
    <row r="1" spans="1:15">
      <c r="A1" s="714" t="s">
        <v>1099</v>
      </c>
      <c r="B1" s="714"/>
      <c r="C1" s="714"/>
      <c r="D1" s="714"/>
      <c r="E1" s="714"/>
      <c r="F1" s="714"/>
      <c r="G1" s="714"/>
    </row>
    <row r="2" spans="1:15">
      <c r="A2" s="733" t="s">
        <v>1100</v>
      </c>
      <c r="B2" s="733"/>
      <c r="C2" s="733"/>
      <c r="D2" s="733"/>
      <c r="E2" s="733"/>
      <c r="F2" s="733"/>
      <c r="G2" s="733"/>
    </row>
    <row r="3" spans="1:15" ht="15.75" customHeight="1">
      <c r="A3" s="714" t="str">
        <f>+'Attachment O'!D5</f>
        <v>GridLiance Heartland LLC</v>
      </c>
      <c r="B3" s="714"/>
      <c r="C3" s="714"/>
      <c r="D3" s="714"/>
      <c r="E3" s="714"/>
      <c r="F3" s="714"/>
      <c r="G3" s="714"/>
      <c r="I3" s="561"/>
      <c r="J3" s="562"/>
      <c r="K3" s="563"/>
      <c r="L3" s="561"/>
      <c r="M3" s="564"/>
    </row>
    <row r="4" spans="1:15">
      <c r="C4" s="565"/>
      <c r="E4" s="566"/>
      <c r="I4" s="561"/>
      <c r="J4" s="562"/>
      <c r="K4" s="563"/>
    </row>
    <row r="5" spans="1:15">
      <c r="A5" s="305"/>
      <c r="B5" s="567" t="s">
        <v>1101</v>
      </c>
      <c r="C5" s="304"/>
      <c r="D5" s="305"/>
      <c r="E5" s="568"/>
      <c r="I5" s="561"/>
      <c r="J5" s="563"/>
      <c r="K5" s="563"/>
      <c r="L5" s="569"/>
      <c r="M5" s="569"/>
    </row>
    <row r="6" spans="1:15" ht="39" customHeight="1">
      <c r="A6" s="305"/>
      <c r="B6" s="567"/>
      <c r="C6" s="304"/>
      <c r="D6" s="570"/>
      <c r="E6" s="570"/>
      <c r="F6" s="571"/>
      <c r="I6" s="561"/>
      <c r="K6" s="572"/>
      <c r="L6" s="573"/>
      <c r="M6" s="573"/>
      <c r="N6" s="573"/>
    </row>
    <row r="7" spans="1:15" ht="16.5" customHeight="1">
      <c r="A7" s="321" t="s">
        <v>527</v>
      </c>
      <c r="B7" s="304"/>
      <c r="C7" s="304"/>
      <c r="D7" s="571"/>
      <c r="E7" s="571"/>
      <c r="F7" s="571"/>
      <c r="I7" s="561"/>
      <c r="J7" s="574"/>
      <c r="K7" s="574"/>
      <c r="L7" s="575"/>
      <c r="M7" s="576"/>
    </row>
    <row r="8" spans="1:15" ht="25.5">
      <c r="A8" s="305">
        <v>1</v>
      </c>
      <c r="C8" s="577"/>
      <c r="D8" s="578" t="s">
        <v>1102</v>
      </c>
      <c r="E8" s="570"/>
      <c r="F8" s="571"/>
      <c r="I8" s="561"/>
      <c r="J8" s="574"/>
      <c r="K8" s="574"/>
      <c r="L8" s="579"/>
      <c r="M8" s="576"/>
    </row>
    <row r="9" spans="1:15">
      <c r="A9" s="305">
        <v>2</v>
      </c>
      <c r="B9" s="580" t="s">
        <v>1103</v>
      </c>
      <c r="C9" s="580" t="s">
        <v>853</v>
      </c>
      <c r="D9" s="72">
        <v>0</v>
      </c>
      <c r="E9" s="210"/>
      <c r="I9" s="561"/>
      <c r="J9" s="574"/>
      <c r="K9" s="574"/>
      <c r="L9" s="581"/>
      <c r="M9" s="581"/>
    </row>
    <row r="10" spans="1:15">
      <c r="A10" s="305">
        <v>3</v>
      </c>
      <c r="B10" s="580" t="s">
        <v>1104</v>
      </c>
      <c r="C10" s="580" t="str">
        <f>+C9</f>
        <v>Note A</v>
      </c>
      <c r="D10" s="72">
        <v>0</v>
      </c>
      <c r="E10" s="210"/>
      <c r="I10" s="561"/>
      <c r="J10" s="574"/>
      <c r="K10" s="574"/>
      <c r="L10" s="574"/>
      <c r="M10" s="582"/>
    </row>
    <row r="11" spans="1:15">
      <c r="A11" s="305">
        <v>4</v>
      </c>
      <c r="B11" s="580" t="s">
        <v>1105</v>
      </c>
      <c r="C11" s="580" t="s">
        <v>1106</v>
      </c>
      <c r="D11" s="22">
        <f>IF(D10=0,0,D9/D10)</f>
        <v>0</v>
      </c>
      <c r="E11" s="583"/>
      <c r="F11" s="583"/>
      <c r="I11" s="561"/>
    </row>
    <row r="12" spans="1:15">
      <c r="A12" s="305">
        <v>5</v>
      </c>
      <c r="B12" s="580" t="s">
        <v>1107</v>
      </c>
      <c r="C12" s="580" t="s">
        <v>47</v>
      </c>
      <c r="D12" s="584">
        <v>0</v>
      </c>
      <c r="E12" s="585"/>
      <c r="F12" s="583"/>
      <c r="I12" s="561"/>
      <c r="J12" s="574"/>
      <c r="N12" s="120"/>
    </row>
    <row r="13" spans="1:15">
      <c r="A13" s="305">
        <v>6</v>
      </c>
      <c r="B13" s="580" t="s">
        <v>1108</v>
      </c>
      <c r="C13" s="580" t="s">
        <v>1109</v>
      </c>
      <c r="D13" s="22">
        <f>D11*D12</f>
        <v>0</v>
      </c>
      <c r="E13" s="586"/>
      <c r="F13" s="583"/>
    </row>
    <row r="14" spans="1:15">
      <c r="A14" s="305">
        <v>7</v>
      </c>
      <c r="B14" s="580" t="s">
        <v>1110</v>
      </c>
      <c r="C14" s="580"/>
      <c r="D14" s="580"/>
      <c r="E14" s="170"/>
      <c r="F14" s="583"/>
      <c r="G14" s="170"/>
      <c r="H14" s="170"/>
      <c r="I14" s="561"/>
      <c r="O14" s="170"/>
    </row>
    <row r="15" spans="1:15">
      <c r="F15" s="583"/>
      <c r="G15" s="170"/>
      <c r="H15" s="170"/>
      <c r="O15" s="170"/>
    </row>
    <row r="16" spans="1:15">
      <c r="A16" s="305">
        <v>8</v>
      </c>
      <c r="B16" s="580" t="s">
        <v>1111</v>
      </c>
      <c r="D16" s="587"/>
      <c r="F16" s="583"/>
      <c r="G16" s="269"/>
      <c r="H16" s="269"/>
      <c r="O16" s="269"/>
    </row>
    <row r="17" spans="1:2">
      <c r="A17" s="588"/>
    </row>
    <row r="18" spans="1:2">
      <c r="A18" s="216" t="s">
        <v>352</v>
      </c>
      <c r="B18" s="170"/>
    </row>
    <row r="19" spans="1:2" ht="15.75" thickBot="1">
      <c r="A19" s="589" t="s">
        <v>353</v>
      </c>
      <c r="B19" s="170"/>
    </row>
    <row r="20" spans="1:2">
      <c r="A20" s="267" t="s">
        <v>354</v>
      </c>
      <c r="B20" s="170" t="s">
        <v>1112</v>
      </c>
    </row>
    <row r="21" spans="1:2">
      <c r="A21" s="15" t="s">
        <v>356</v>
      </c>
      <c r="B21" s="2" t="s">
        <v>1113</v>
      </c>
    </row>
    <row r="62" spans="9:9">
      <c r="I62">
        <v>0</v>
      </c>
    </row>
  </sheetData>
  <mergeCells count="3">
    <mergeCell ref="A1:G1"/>
    <mergeCell ref="A2:G2"/>
    <mergeCell ref="A3:G3"/>
  </mergeCells>
  <pageMargins left="0.5" right="0.1" top="0.75" bottom="0.7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D7496-CA04-444F-A814-5E3B479E6060}">
  <sheetPr>
    <pageSetUpPr fitToPage="1"/>
  </sheetPr>
  <dimension ref="A1:T157"/>
  <sheetViews>
    <sheetView view="pageBreakPreview" topLeftCell="A4" zoomScaleNormal="85" zoomScaleSheetLayoutView="100" workbookViewId="0">
      <selection activeCell="E12" sqref="E12"/>
    </sheetView>
  </sheetViews>
  <sheetFormatPr defaultColWidth="8.88671875" defaultRowHeight="15.75"/>
  <cols>
    <col min="1" max="1" width="5.5546875" style="348" customWidth="1"/>
    <col min="2" max="2" width="40" style="368" bestFit="1" customWidth="1"/>
    <col min="3" max="3" width="10.5546875" style="348" bestFit="1" customWidth="1"/>
    <col min="4" max="4" width="9.77734375" style="348" bestFit="1" customWidth="1"/>
    <col min="5" max="5" width="16.33203125" style="348" customWidth="1"/>
    <col min="6" max="6" width="12.109375" style="348" customWidth="1"/>
    <col min="7" max="7" width="11.88671875" style="348" customWidth="1"/>
    <col min="8" max="8" width="12" style="349" customWidth="1"/>
    <col min="9" max="9" width="32.109375" style="349" customWidth="1"/>
    <col min="10" max="10" width="8.88671875" style="349"/>
    <col min="11" max="11" width="12.109375" style="349" customWidth="1"/>
    <col min="12" max="12" width="12.77734375" style="349" customWidth="1"/>
    <col min="13" max="16384" width="8.88671875" style="349"/>
  </cols>
  <sheetData>
    <row r="1" spans="1:20" ht="18" customHeight="1">
      <c r="A1" s="734" t="s">
        <v>770</v>
      </c>
      <c r="B1" s="734"/>
      <c r="C1" s="734"/>
      <c r="D1" s="734"/>
      <c r="E1" s="734"/>
      <c r="F1" s="734"/>
      <c r="G1" s="734"/>
      <c r="H1" s="734"/>
      <c r="I1" s="734"/>
      <c r="J1" s="348"/>
      <c r="K1" s="348"/>
      <c r="L1" s="348"/>
    </row>
    <row r="2" spans="1:20" ht="18" customHeight="1">
      <c r="A2" s="735" t="str">
        <f>+'Attachment O'!D5</f>
        <v>GridLiance Heartland LLC</v>
      </c>
      <c r="B2" s="735"/>
      <c r="C2" s="735"/>
      <c r="D2" s="735"/>
      <c r="E2" s="735"/>
      <c r="F2" s="735"/>
      <c r="G2" s="735"/>
      <c r="H2" s="735"/>
      <c r="I2" s="735"/>
      <c r="J2" s="350"/>
      <c r="K2" s="350"/>
      <c r="L2" s="350"/>
    </row>
    <row r="3" spans="1:20" ht="18" customHeight="1">
      <c r="A3" s="734" t="str">
        <f>"Projection "&amp;'Attachment O'!$K$3</f>
        <v>Projection For the 12 months ended 12/31/2020</v>
      </c>
      <c r="B3" s="734"/>
      <c r="C3" s="734"/>
      <c r="D3" s="734"/>
      <c r="E3" s="734"/>
      <c r="F3" s="734"/>
      <c r="G3" s="734"/>
      <c r="H3" s="736"/>
      <c r="I3" s="734"/>
      <c r="J3" s="348"/>
      <c r="K3" s="348"/>
      <c r="L3" s="348"/>
    </row>
    <row r="4" spans="1:20" ht="18" customHeight="1">
      <c r="A4" s="351"/>
      <c r="B4" s="351"/>
      <c r="C4" s="351"/>
      <c r="D4" s="351"/>
      <c r="E4" s="351"/>
      <c r="F4" s="351"/>
      <c r="G4" s="351"/>
      <c r="H4" s="351"/>
      <c r="I4" s="351"/>
      <c r="J4" s="348"/>
      <c r="K4" s="348"/>
      <c r="L4" s="348"/>
    </row>
    <row r="5" spans="1:20" ht="18">
      <c r="B5" s="351" t="s">
        <v>354</v>
      </c>
      <c r="C5" s="351"/>
      <c r="D5" s="352"/>
      <c r="E5" s="352" t="s">
        <v>356</v>
      </c>
      <c r="F5" s="352" t="s">
        <v>358</v>
      </c>
      <c r="G5" s="352" t="s">
        <v>360</v>
      </c>
      <c r="H5" s="352" t="s">
        <v>362</v>
      </c>
      <c r="I5" s="353"/>
    </row>
    <row r="6" spans="1:20">
      <c r="B6" s="349"/>
      <c r="C6" s="349"/>
      <c r="D6" s="349"/>
      <c r="E6" s="349"/>
      <c r="F6" s="349"/>
      <c r="G6" s="349"/>
      <c r="H6" s="352" t="s">
        <v>771</v>
      </c>
      <c r="I6" s="348"/>
      <c r="T6" s="352"/>
    </row>
    <row r="7" spans="1:20">
      <c r="A7" s="354" t="s">
        <v>772</v>
      </c>
      <c r="B7" s="354" t="s">
        <v>773</v>
      </c>
      <c r="C7" s="355"/>
      <c r="D7" s="356"/>
      <c r="E7" s="357" t="s">
        <v>774</v>
      </c>
      <c r="F7" s="357" t="s">
        <v>775</v>
      </c>
      <c r="G7" s="357" t="s">
        <v>776</v>
      </c>
      <c r="H7" s="357" t="s">
        <v>21</v>
      </c>
      <c r="I7" s="355"/>
      <c r="T7" s="352"/>
    </row>
    <row r="8" spans="1:20">
      <c r="B8" s="358"/>
      <c r="D8" s="349"/>
      <c r="H8" s="348"/>
      <c r="I8" s="348"/>
      <c r="L8" s="359"/>
    </row>
    <row r="9" spans="1:20" ht="20.100000000000001" customHeight="1">
      <c r="A9" s="348">
        <v>1</v>
      </c>
      <c r="B9" s="348" t="s">
        <v>777</v>
      </c>
      <c r="D9" s="349"/>
      <c r="E9" s="360">
        <f>F25</f>
        <v>-30705.936986301367</v>
      </c>
      <c r="F9" s="360">
        <f>G25</f>
        <v>0</v>
      </c>
      <c r="G9" s="360">
        <f>H25</f>
        <v>0</v>
      </c>
      <c r="H9" s="360"/>
      <c r="I9" s="348" t="s">
        <v>778</v>
      </c>
    </row>
    <row r="10" spans="1:20" ht="20.100000000000001" customHeight="1">
      <c r="A10" s="348">
        <f t="shared" ref="A10:A16" si="0">+A9+1</f>
        <v>2</v>
      </c>
      <c r="B10" s="348" t="s">
        <v>779</v>
      </c>
      <c r="D10" s="349"/>
      <c r="E10" s="360">
        <f>F31</f>
        <v>0</v>
      </c>
      <c r="F10" s="360">
        <v>0</v>
      </c>
      <c r="G10" s="360">
        <f>H31</f>
        <v>0</v>
      </c>
      <c r="H10" s="360"/>
      <c r="I10" s="348" t="s">
        <v>780</v>
      </c>
    </row>
    <row r="11" spans="1:20" ht="20.100000000000001" customHeight="1">
      <c r="A11" s="348">
        <f t="shared" si="0"/>
        <v>3</v>
      </c>
      <c r="B11" s="348" t="s">
        <v>781</v>
      </c>
      <c r="D11" s="349"/>
      <c r="E11" s="360">
        <f>F37</f>
        <v>0</v>
      </c>
      <c r="F11" s="360">
        <f>G37</f>
        <v>0</v>
      </c>
      <c r="G11" s="360">
        <f>H37</f>
        <v>0</v>
      </c>
      <c r="H11" s="360"/>
      <c r="I11" s="754" t="s">
        <v>1150</v>
      </c>
      <c r="J11" s="755" t="s">
        <v>1186</v>
      </c>
    </row>
    <row r="12" spans="1:20" ht="20.100000000000001" customHeight="1">
      <c r="A12" s="348">
        <f t="shared" si="0"/>
        <v>4</v>
      </c>
      <c r="B12" s="348" t="s">
        <v>782</v>
      </c>
      <c r="D12" s="349"/>
      <c r="E12" s="360">
        <f>SUM(E9:E11)</f>
        <v>-30705.936986301367</v>
      </c>
      <c r="F12" s="360">
        <f>SUM(F9:F11)</f>
        <v>0</v>
      </c>
      <c r="G12" s="360">
        <f>SUM(G9:G11)</f>
        <v>0</v>
      </c>
      <c r="H12" s="360"/>
      <c r="I12" s="361" t="s">
        <v>783</v>
      </c>
    </row>
    <row r="13" spans="1:20" ht="20.100000000000001" customHeight="1">
      <c r="A13" s="348">
        <f t="shared" si="0"/>
        <v>5</v>
      </c>
      <c r="B13" s="348" t="s">
        <v>784</v>
      </c>
      <c r="D13" s="349"/>
      <c r="G13" s="362">
        <f>+'Attachment O'!I217</f>
        <v>0.23598582233179097</v>
      </c>
      <c r="H13" s="348"/>
      <c r="I13" s="348" t="s">
        <v>785</v>
      </c>
    </row>
    <row r="14" spans="1:20" ht="20.100000000000001" customHeight="1">
      <c r="A14" s="348">
        <f t="shared" si="0"/>
        <v>6</v>
      </c>
      <c r="B14" s="348" t="s">
        <v>786</v>
      </c>
      <c r="D14" s="349"/>
      <c r="F14" s="363">
        <f>+'Attachment O'!G70</f>
        <v>0.23598582233179097</v>
      </c>
      <c r="H14" s="348"/>
      <c r="I14" s="348" t="s">
        <v>787</v>
      </c>
    </row>
    <row r="15" spans="1:20" ht="20.100000000000001" customHeight="1">
      <c r="A15" s="348">
        <f t="shared" si="0"/>
        <v>7</v>
      </c>
      <c r="B15" s="348" t="s">
        <v>788</v>
      </c>
      <c r="D15" s="349"/>
      <c r="E15" s="363">
        <v>1</v>
      </c>
      <c r="F15" s="363"/>
      <c r="H15" s="348"/>
      <c r="I15" s="364">
        <v>1</v>
      </c>
    </row>
    <row r="16" spans="1:20" ht="20.100000000000001" customHeight="1">
      <c r="A16" s="348">
        <f t="shared" si="0"/>
        <v>8</v>
      </c>
      <c r="B16" s="348" t="s">
        <v>789</v>
      </c>
      <c r="D16" s="349"/>
      <c r="E16" s="360">
        <f>+E15*E12</f>
        <v>-30705.936986301367</v>
      </c>
      <c r="F16" s="360">
        <f>+F14*F12</f>
        <v>0</v>
      </c>
      <c r="G16" s="360">
        <f>+G13*G12</f>
        <v>0</v>
      </c>
      <c r="H16" s="360">
        <f>+E16+F16+G16</f>
        <v>-30705.936986301367</v>
      </c>
      <c r="I16" s="365" t="s">
        <v>790</v>
      </c>
    </row>
    <row r="17" spans="1:17">
      <c r="B17" s="348"/>
      <c r="D17" s="349"/>
      <c r="E17" s="360"/>
      <c r="F17" s="360"/>
      <c r="G17" s="360"/>
      <c r="H17" s="360"/>
      <c r="I17" s="365"/>
    </row>
    <row r="18" spans="1:17">
      <c r="B18" s="348"/>
      <c r="D18" s="361"/>
      <c r="G18" s="360"/>
      <c r="I18" s="352"/>
    </row>
    <row r="19" spans="1:17">
      <c r="B19" s="351" t="s">
        <v>612</v>
      </c>
      <c r="C19" s="351" t="s">
        <v>613</v>
      </c>
      <c r="D19" s="351" t="s">
        <v>614</v>
      </c>
      <c r="E19" s="351" t="s">
        <v>615</v>
      </c>
      <c r="F19" s="351" t="s">
        <v>616</v>
      </c>
      <c r="G19" s="352" t="s">
        <v>617</v>
      </c>
      <c r="H19" s="352" t="s">
        <v>618</v>
      </c>
      <c r="I19" s="352"/>
    </row>
    <row r="20" spans="1:17" ht="31.5">
      <c r="A20" s="366"/>
      <c r="B20" s="367" t="s">
        <v>791</v>
      </c>
      <c r="C20" s="367" t="s">
        <v>604</v>
      </c>
      <c r="D20" s="367" t="s">
        <v>792</v>
      </c>
      <c r="E20" s="367" t="s">
        <v>793</v>
      </c>
      <c r="F20" s="367" t="s">
        <v>774</v>
      </c>
      <c r="G20" s="367" t="s">
        <v>775</v>
      </c>
      <c r="H20" s="367" t="s">
        <v>776</v>
      </c>
      <c r="I20" s="367"/>
      <c r="Q20" s="352"/>
    </row>
    <row r="21" spans="1:17">
      <c r="A21" s="348" t="s">
        <v>794</v>
      </c>
      <c r="D21" s="351"/>
      <c r="E21" s="351"/>
      <c r="F21" s="351"/>
      <c r="G21" s="349"/>
      <c r="Q21" s="352"/>
    </row>
    <row r="22" spans="1:17" ht="20.100000000000001" customHeight="1">
      <c r="A22" s="358">
        <f>A16+1</f>
        <v>9</v>
      </c>
      <c r="B22" s="368" t="s">
        <v>795</v>
      </c>
      <c r="C22" s="348" t="s">
        <v>717</v>
      </c>
      <c r="D22" s="369">
        <f>'8b-ADIT Projection Proration'!D9</f>
        <v>2019</v>
      </c>
      <c r="E22" s="671">
        <f>SUM(F22:H22)</f>
        <v>0</v>
      </c>
      <c r="F22" s="360">
        <f>'8c- ADIT BOY'!E43</f>
        <v>0</v>
      </c>
      <c r="G22" s="370">
        <f>'8c- ADIT BOY'!F54</f>
        <v>0</v>
      </c>
      <c r="H22" s="370">
        <f>'8c- ADIT BOY'!G54</f>
        <v>0</v>
      </c>
      <c r="I22" s="371"/>
    </row>
    <row r="23" spans="1:17" ht="20.100000000000001" customHeight="1">
      <c r="A23" s="358">
        <f>A22+1</f>
        <v>10</v>
      </c>
      <c r="B23" s="368" t="s">
        <v>796</v>
      </c>
      <c r="C23" s="348" t="s">
        <v>717</v>
      </c>
      <c r="D23" s="369">
        <v>2020</v>
      </c>
      <c r="E23" s="671">
        <f t="shared" ref="E23:E24" si="1">SUM(F23:H23)</f>
        <v>0</v>
      </c>
      <c r="F23" s="360">
        <v>0</v>
      </c>
      <c r="G23" s="360">
        <f>'8d- ADIT EOY'!F57-'8d- ADIT EOY'!F54</f>
        <v>0</v>
      </c>
      <c r="H23" s="360">
        <f>'8d- ADIT EOY'!G57-'8d- ADIT EOY'!G54</f>
        <v>0</v>
      </c>
      <c r="I23" s="371"/>
    </row>
    <row r="24" spans="1:17" ht="20.100000000000001" customHeight="1">
      <c r="A24" s="358">
        <f>A23+1</f>
        <v>11</v>
      </c>
      <c r="B24" s="368" t="s">
        <v>797</v>
      </c>
      <c r="C24" s="348" t="s">
        <v>717</v>
      </c>
      <c r="D24" s="369">
        <f>D23</f>
        <v>2020</v>
      </c>
      <c r="E24" s="671">
        <f t="shared" si="1"/>
        <v>-30705.936986301367</v>
      </c>
      <c r="F24" s="360">
        <f>'8b-ADIT Projection Proration'!H22</f>
        <v>-30705.936986301367</v>
      </c>
      <c r="G24" s="370">
        <f>'8b-ADIT Projection Proration'!J22</f>
        <v>0</v>
      </c>
      <c r="H24" s="370">
        <f>'8b-ADIT Projection Proration'!L22</f>
        <v>0</v>
      </c>
      <c r="I24" s="371"/>
    </row>
    <row r="25" spans="1:17" ht="20.100000000000001" customHeight="1">
      <c r="A25" s="358">
        <f>A24+1</f>
        <v>12</v>
      </c>
      <c r="B25" s="368" t="s">
        <v>798</v>
      </c>
      <c r="E25" s="672">
        <f>E23+E24</f>
        <v>-30705.936986301367</v>
      </c>
      <c r="F25" s="372">
        <f>F23+F24</f>
        <v>-30705.936986301367</v>
      </c>
      <c r="G25" s="372">
        <f>G23+G24</f>
        <v>0</v>
      </c>
      <c r="H25" s="372">
        <f>H23+H24</f>
        <v>0</v>
      </c>
      <c r="I25" s="363"/>
    </row>
    <row r="26" spans="1:17">
      <c r="A26" s="358"/>
      <c r="E26" s="672"/>
      <c r="F26" s="372"/>
      <c r="G26" s="373"/>
      <c r="H26" s="373"/>
    </row>
    <row r="27" spans="1:17">
      <c r="A27" s="348" t="s">
        <v>799</v>
      </c>
      <c r="E27" s="672"/>
      <c r="F27" s="372"/>
      <c r="G27" s="373"/>
      <c r="H27" s="373"/>
    </row>
    <row r="28" spans="1:17" ht="20.100000000000001" customHeight="1">
      <c r="A28" s="358">
        <f>A25+1</f>
        <v>13</v>
      </c>
      <c r="B28" s="368" t="s">
        <v>800</v>
      </c>
      <c r="C28" s="348" t="s">
        <v>717</v>
      </c>
      <c r="D28" s="369">
        <f>D22</f>
        <v>2019</v>
      </c>
      <c r="E28" s="671">
        <f t="shared" ref="E28:E30" si="2">SUM(F28:H28)</f>
        <v>0</v>
      </c>
      <c r="F28" s="360">
        <f>'8c- ADIT BOY'!E77</f>
        <v>0</v>
      </c>
      <c r="G28" s="370">
        <f>'8c- ADIT BOY'!F77</f>
        <v>0</v>
      </c>
      <c r="H28" s="370">
        <f>'8c- ADIT BOY'!G77</f>
        <v>0</v>
      </c>
      <c r="I28" s="371"/>
    </row>
    <row r="29" spans="1:17" ht="20.100000000000001" customHeight="1">
      <c r="A29" s="358">
        <f>A28+1</f>
        <v>14</v>
      </c>
      <c r="B29" s="368" t="s">
        <v>801</v>
      </c>
      <c r="C29" s="348" t="s">
        <v>717</v>
      </c>
      <c r="D29" s="369">
        <f t="shared" ref="D29:D30" si="3">D23</f>
        <v>2020</v>
      </c>
      <c r="E29" s="671">
        <f t="shared" si="2"/>
        <v>0</v>
      </c>
      <c r="F29" s="360">
        <f>'8d- ADIT EOY'!E80-'8d- ADIT EOY'!E77</f>
        <v>0</v>
      </c>
      <c r="G29" s="370">
        <f>'8d- ADIT EOY'!F80-'8d- ADIT EOY'!F77</f>
        <v>0</v>
      </c>
      <c r="H29" s="370">
        <f>'8d- ADIT EOY'!G80-'8d- ADIT EOY'!G77</f>
        <v>0</v>
      </c>
      <c r="I29" s="371"/>
    </row>
    <row r="30" spans="1:17" ht="20.100000000000001" customHeight="1">
      <c r="A30" s="358">
        <f>A29+1</f>
        <v>15</v>
      </c>
      <c r="B30" s="368" t="s">
        <v>802</v>
      </c>
      <c r="C30" s="348" t="s">
        <v>717</v>
      </c>
      <c r="D30" s="369">
        <f t="shared" si="3"/>
        <v>2020</v>
      </c>
      <c r="E30" s="671">
        <f t="shared" si="2"/>
        <v>0</v>
      </c>
      <c r="F30" s="360">
        <f>'8b-ADIT Projection Proration'!H38</f>
        <v>0</v>
      </c>
      <c r="G30" s="370">
        <f>'8b-ADIT Projection Proration'!J38</f>
        <v>0</v>
      </c>
      <c r="H30" s="370">
        <f>'8b-ADIT Projection Proration'!L38</f>
        <v>0</v>
      </c>
      <c r="I30" s="371"/>
    </row>
    <row r="31" spans="1:17" ht="20.100000000000001" customHeight="1">
      <c r="A31" s="358">
        <f>A30+1</f>
        <v>16</v>
      </c>
      <c r="B31" s="368" t="s">
        <v>803</v>
      </c>
      <c r="E31" s="672">
        <f>E29+E30</f>
        <v>0</v>
      </c>
      <c r="F31" s="372">
        <f>F29+F30</f>
        <v>0</v>
      </c>
      <c r="G31" s="372">
        <f>G29+G30</f>
        <v>0</v>
      </c>
      <c r="H31" s="372">
        <f>H29+H30</f>
        <v>0</v>
      </c>
      <c r="I31" s="373"/>
    </row>
    <row r="32" spans="1:17">
      <c r="A32" s="358"/>
      <c r="E32" s="672"/>
      <c r="F32" s="372"/>
      <c r="G32" s="373"/>
      <c r="H32" s="373"/>
    </row>
    <row r="33" spans="1:9">
      <c r="A33" s="348" t="s">
        <v>781</v>
      </c>
      <c r="E33" s="672"/>
      <c r="F33" s="372"/>
      <c r="G33" s="373"/>
      <c r="H33" s="373"/>
    </row>
    <row r="34" spans="1:9" ht="20.100000000000001" customHeight="1">
      <c r="A34" s="358">
        <f>A31+1</f>
        <v>17</v>
      </c>
      <c r="B34" s="368" t="s">
        <v>804</v>
      </c>
      <c r="C34" s="348" t="s">
        <v>717</v>
      </c>
      <c r="D34" s="369">
        <f>D28</f>
        <v>2019</v>
      </c>
      <c r="E34" s="671">
        <f t="shared" ref="E34:E36" si="4">SUM(F34:H34)</f>
        <v>0</v>
      </c>
      <c r="F34" s="360">
        <f>'8c- ADIT BOY'!E29</f>
        <v>0</v>
      </c>
      <c r="G34" s="370">
        <f>'8c- ADIT BOY'!F29</f>
        <v>0</v>
      </c>
      <c r="H34" s="370">
        <f>'8c- ADIT BOY'!G29</f>
        <v>0</v>
      </c>
      <c r="I34" s="371"/>
    </row>
    <row r="35" spans="1:9" ht="20.100000000000001" customHeight="1">
      <c r="A35" s="358">
        <f>A34+1</f>
        <v>18</v>
      </c>
      <c r="B35" s="368" t="s">
        <v>805</v>
      </c>
      <c r="C35" s="348" t="s">
        <v>717</v>
      </c>
      <c r="D35" s="369">
        <f t="shared" ref="D35:D36" si="5">D29</f>
        <v>2020</v>
      </c>
      <c r="E35" s="671">
        <f t="shared" si="4"/>
        <v>0</v>
      </c>
      <c r="F35" s="360">
        <f>'8d- ADIT EOY'!E32-'8d- ADIT EOY'!E29</f>
        <v>0</v>
      </c>
      <c r="G35" s="370">
        <f>'8d- ADIT EOY'!F32-'8d- ADIT EOY'!F29</f>
        <v>0</v>
      </c>
      <c r="H35" s="370">
        <f>'8d- ADIT EOY'!G32-'8d- ADIT EOY'!G29</f>
        <v>0</v>
      </c>
      <c r="I35" s="371"/>
    </row>
    <row r="36" spans="1:9" ht="20.100000000000001" customHeight="1">
      <c r="A36" s="358">
        <f>A35+1</f>
        <v>19</v>
      </c>
      <c r="B36" s="368" t="s">
        <v>806</v>
      </c>
      <c r="C36" s="348" t="s">
        <v>717</v>
      </c>
      <c r="D36" s="369">
        <f t="shared" si="5"/>
        <v>2020</v>
      </c>
      <c r="E36" s="671">
        <f t="shared" si="4"/>
        <v>0</v>
      </c>
      <c r="F36" s="360">
        <f>'8b-ADIT Projection Proration'!H54</f>
        <v>0</v>
      </c>
      <c r="G36" s="370">
        <f>'8b-ADIT Projection Proration'!J54</f>
        <v>0</v>
      </c>
      <c r="H36" s="370">
        <f>'8b-ADIT Projection Proration'!L54</f>
        <v>0</v>
      </c>
      <c r="I36" s="371"/>
    </row>
    <row r="37" spans="1:9" ht="20.100000000000001" customHeight="1">
      <c r="A37" s="358">
        <f>A36+1</f>
        <v>20</v>
      </c>
      <c r="B37" s="368" t="s">
        <v>807</v>
      </c>
      <c r="E37" s="672">
        <f>E35+E36</f>
        <v>0</v>
      </c>
      <c r="F37" s="372">
        <f>F35+F36</f>
        <v>0</v>
      </c>
      <c r="G37" s="372">
        <f>G35+G36</f>
        <v>0</v>
      </c>
      <c r="H37" s="372">
        <f>H35+H36</f>
        <v>0</v>
      </c>
      <c r="I37" s="373"/>
    </row>
    <row r="38" spans="1:9">
      <c r="B38" s="348"/>
      <c r="G38" s="349"/>
    </row>
    <row r="39" spans="1:9">
      <c r="B39" s="348"/>
      <c r="D39" s="374"/>
      <c r="E39" s="374"/>
      <c r="F39" s="374"/>
      <c r="G39" s="374"/>
      <c r="H39" s="375"/>
    </row>
    <row r="40" spans="1:9">
      <c r="D40" s="351"/>
    </row>
    <row r="41" spans="1:9">
      <c r="D41" s="360"/>
    </row>
    <row r="42" spans="1:9">
      <c r="D42" s="360"/>
    </row>
    <row r="43" spans="1:9">
      <c r="D43" s="360"/>
    </row>
    <row r="44" spans="1:9">
      <c r="D44" s="360"/>
    </row>
    <row r="45" spans="1:9">
      <c r="D45" s="360"/>
    </row>
    <row r="46" spans="1:9">
      <c r="D46" s="360"/>
    </row>
    <row r="47" spans="1:9">
      <c r="D47" s="360"/>
    </row>
    <row r="48" spans="1:9">
      <c r="D48" s="360"/>
    </row>
    <row r="49" spans="2:9">
      <c r="D49" s="360"/>
    </row>
    <row r="50" spans="2:9">
      <c r="D50" s="360"/>
    </row>
    <row r="51" spans="2:9">
      <c r="B51" s="348"/>
      <c r="D51" s="360"/>
    </row>
    <row r="52" spans="2:9">
      <c r="D52" s="360"/>
    </row>
    <row r="53" spans="2:9">
      <c r="B53" s="348"/>
      <c r="D53" s="360"/>
    </row>
    <row r="62" spans="2:9">
      <c r="I62" s="349">
        <v>0</v>
      </c>
    </row>
    <row r="65" spans="10:10">
      <c r="J65" s="348"/>
    </row>
    <row r="157" spans="8:8">
      <c r="H157" s="376"/>
    </row>
  </sheetData>
  <mergeCells count="3">
    <mergeCell ref="A1:I1"/>
    <mergeCell ref="A2:I2"/>
    <mergeCell ref="A3:I3"/>
  </mergeCells>
  <printOptions horizontalCentered="1"/>
  <pageMargins left="0.25" right="0.25" top="0.75" bottom="0.75" header="0.3" footer="0.3"/>
  <pageSetup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99B9-BBAD-465D-8E30-569B29EE21C0}">
  <sheetPr>
    <pageSetUpPr fitToPage="1"/>
  </sheetPr>
  <dimension ref="A1:T178"/>
  <sheetViews>
    <sheetView view="pageBreakPreview" zoomScaleNormal="100" zoomScaleSheetLayoutView="100" workbookViewId="0">
      <selection activeCell="M25" sqref="M25"/>
    </sheetView>
  </sheetViews>
  <sheetFormatPr defaultColWidth="8.88671875" defaultRowHeight="15.75"/>
  <cols>
    <col min="1" max="1" width="5.5546875" style="348" customWidth="1"/>
    <col min="2" max="2" width="31.109375" style="368" customWidth="1"/>
    <col min="3" max="3" width="10.5546875" style="348" bestFit="1" customWidth="1"/>
    <col min="4" max="4" width="9.77734375" style="348" bestFit="1" customWidth="1"/>
    <col min="5" max="5" width="10" style="348" bestFit="1" customWidth="1"/>
    <col min="6" max="6" width="14.88671875" style="360" customWidth="1"/>
    <col min="7" max="7" width="12.109375" style="360" customWidth="1"/>
    <col min="8" max="8" width="11.88671875" style="360" customWidth="1"/>
    <col min="9" max="9" width="12" style="349" customWidth="1"/>
    <col min="10" max="10" width="15.88671875" style="349" customWidth="1"/>
    <col min="11" max="11" width="8.88671875" style="349"/>
    <col min="12" max="12" width="12.109375" style="349" customWidth="1"/>
    <col min="13" max="13" width="44.77734375" style="349" customWidth="1"/>
    <col min="14" max="16384" width="8.88671875" style="349"/>
  </cols>
  <sheetData>
    <row r="1" spans="1:20" ht="18" customHeight="1">
      <c r="A1" s="734" t="s">
        <v>808</v>
      </c>
      <c r="B1" s="734"/>
      <c r="C1" s="734"/>
      <c r="D1" s="734"/>
      <c r="E1" s="734"/>
      <c r="F1" s="734"/>
      <c r="G1" s="734"/>
      <c r="H1" s="734"/>
      <c r="I1" s="734"/>
      <c r="J1" s="734"/>
      <c r="K1" s="734"/>
      <c r="L1" s="734"/>
    </row>
    <row r="2" spans="1:20" ht="18" customHeight="1">
      <c r="A2" s="735" t="str">
        <f>+'8a-ADIT Projection'!A2:I2</f>
        <v>GridLiance Heartland LLC</v>
      </c>
      <c r="B2" s="735"/>
      <c r="C2" s="735"/>
      <c r="D2" s="735"/>
      <c r="E2" s="735"/>
      <c r="F2" s="735"/>
      <c r="G2" s="735"/>
      <c r="H2" s="735"/>
      <c r="I2" s="735"/>
      <c r="J2" s="735"/>
      <c r="K2" s="735"/>
      <c r="L2" s="735"/>
    </row>
    <row r="3" spans="1:20" ht="18" customHeight="1">
      <c r="A3" s="734" t="str">
        <f>"Projection "&amp;'Attachment O'!$K$3</f>
        <v>Projection For the 12 months ended 12/31/2020</v>
      </c>
      <c r="B3" s="734"/>
      <c r="C3" s="734"/>
      <c r="D3" s="734"/>
      <c r="E3" s="734"/>
      <c r="F3" s="734"/>
      <c r="G3" s="734"/>
      <c r="H3" s="736"/>
      <c r="I3" s="734"/>
      <c r="J3" s="734"/>
      <c r="K3" s="734"/>
      <c r="L3" s="734"/>
    </row>
    <row r="4" spans="1:20" ht="18">
      <c r="I4" s="353"/>
      <c r="J4" s="353"/>
    </row>
    <row r="5" spans="1:20">
      <c r="D5" s="349"/>
      <c r="E5" s="349"/>
      <c r="F5" s="370"/>
      <c r="G5" s="370"/>
      <c r="H5" s="370"/>
      <c r="J5" s="348"/>
      <c r="T5" s="352"/>
    </row>
    <row r="6" spans="1:20">
      <c r="B6" s="351" t="s">
        <v>612</v>
      </c>
      <c r="C6" s="351" t="s">
        <v>613</v>
      </c>
      <c r="D6" s="351" t="s">
        <v>614</v>
      </c>
      <c r="E6" s="351" t="s">
        <v>615</v>
      </c>
      <c r="F6" s="377" t="s">
        <v>616</v>
      </c>
      <c r="G6" s="377" t="s">
        <v>617</v>
      </c>
      <c r="H6" s="377" t="s">
        <v>618</v>
      </c>
      <c r="I6" s="352" t="s">
        <v>619</v>
      </c>
      <c r="J6" s="352" t="s">
        <v>620</v>
      </c>
      <c r="K6" s="352" t="s">
        <v>621</v>
      </c>
      <c r="L6" s="352" t="s">
        <v>622</v>
      </c>
    </row>
    <row r="7" spans="1:20" ht="47.25">
      <c r="A7" s="366"/>
      <c r="B7" s="367" t="s">
        <v>791</v>
      </c>
      <c r="C7" s="367" t="s">
        <v>604</v>
      </c>
      <c r="D7" s="367" t="s">
        <v>792</v>
      </c>
      <c r="E7" s="367" t="s">
        <v>809</v>
      </c>
      <c r="F7" s="378" t="s">
        <v>810</v>
      </c>
      <c r="G7" s="378" t="s">
        <v>77</v>
      </c>
      <c r="H7" s="378" t="s">
        <v>811</v>
      </c>
      <c r="I7" s="367" t="s">
        <v>775</v>
      </c>
      <c r="J7" s="367" t="s">
        <v>812</v>
      </c>
      <c r="K7" s="367" t="s">
        <v>776</v>
      </c>
      <c r="L7" s="367" t="s">
        <v>813</v>
      </c>
      <c r="T7" s="352"/>
    </row>
    <row r="8" spans="1:20">
      <c r="A8" s="348" t="s">
        <v>814</v>
      </c>
      <c r="D8" s="351"/>
      <c r="E8" s="351"/>
      <c r="F8" s="673"/>
      <c r="G8" s="673"/>
      <c r="L8" s="359"/>
      <c r="T8" s="352"/>
    </row>
    <row r="9" spans="1:20" ht="20.100000000000001" customHeight="1">
      <c r="A9" s="358">
        <v>1</v>
      </c>
      <c r="B9" s="368" t="s">
        <v>815</v>
      </c>
      <c r="C9" s="348" t="s">
        <v>717</v>
      </c>
      <c r="D9" s="369">
        <v>2019</v>
      </c>
      <c r="E9" s="379">
        <f>365/365</f>
        <v>1</v>
      </c>
      <c r="F9" s="360">
        <v>0</v>
      </c>
      <c r="G9" s="360">
        <v>0</v>
      </c>
      <c r="H9" s="360">
        <f t="shared" ref="H9:H21" si="0">E9*G9</f>
        <v>0</v>
      </c>
      <c r="I9" s="370">
        <f>'8c- ADIT BOY'!F54</f>
        <v>0</v>
      </c>
      <c r="J9" s="373">
        <f t="shared" ref="J9:J21" si="1">I9*E9</f>
        <v>0</v>
      </c>
      <c r="K9" s="370">
        <f>'8c- ADIT BOY'!G54</f>
        <v>0</v>
      </c>
      <c r="L9" s="373">
        <f t="shared" ref="L9:L21" si="2">E9*K9</f>
        <v>0</v>
      </c>
    </row>
    <row r="10" spans="1:20" ht="20.100000000000001" customHeight="1">
      <c r="A10" s="358">
        <f t="shared" ref="A10:A22" si="3">+A9+1</f>
        <v>2</v>
      </c>
      <c r="B10" s="368" t="s">
        <v>816</v>
      </c>
      <c r="C10" s="348" t="s">
        <v>641</v>
      </c>
      <c r="D10" s="369">
        <v>2020</v>
      </c>
      <c r="E10" s="379">
        <f>335/365</f>
        <v>0.9178082191780822</v>
      </c>
      <c r="F10" s="380">
        <v>0</v>
      </c>
      <c r="G10" s="380">
        <v>0</v>
      </c>
      <c r="H10" s="360">
        <f t="shared" si="0"/>
        <v>0</v>
      </c>
      <c r="I10" s="381">
        <v>0</v>
      </c>
      <c r="J10" s="373">
        <f t="shared" si="1"/>
        <v>0</v>
      </c>
      <c r="K10" s="381">
        <v>0</v>
      </c>
      <c r="L10" s="373">
        <f t="shared" si="2"/>
        <v>0</v>
      </c>
    </row>
    <row r="11" spans="1:20" ht="20.100000000000001" customHeight="1">
      <c r="A11" s="358">
        <f t="shared" si="3"/>
        <v>3</v>
      </c>
      <c r="B11" s="368" t="s">
        <v>816</v>
      </c>
      <c r="C11" s="348" t="s">
        <v>642</v>
      </c>
      <c r="D11" s="369">
        <v>2020</v>
      </c>
      <c r="E11" s="379">
        <f>307/365</f>
        <v>0.84109589041095889</v>
      </c>
      <c r="F11" s="380">
        <v>0</v>
      </c>
      <c r="G11" s="380">
        <v>0</v>
      </c>
      <c r="H11" s="360">
        <f t="shared" si="0"/>
        <v>0</v>
      </c>
      <c r="I11" s="381">
        <v>0</v>
      </c>
      <c r="J11" s="373">
        <f t="shared" si="1"/>
        <v>0</v>
      </c>
      <c r="K11" s="381">
        <v>0</v>
      </c>
      <c r="L11" s="373">
        <f t="shared" si="2"/>
        <v>0</v>
      </c>
    </row>
    <row r="12" spans="1:20" ht="20.100000000000001" customHeight="1">
      <c r="A12" s="358">
        <f t="shared" si="3"/>
        <v>4</v>
      </c>
      <c r="B12" s="368" t="s">
        <v>816</v>
      </c>
      <c r="C12" s="348" t="s">
        <v>714</v>
      </c>
      <c r="D12" s="369">
        <v>2020</v>
      </c>
      <c r="E12" s="379">
        <f>276/365</f>
        <v>0.75616438356164384</v>
      </c>
      <c r="F12" s="380">
        <v>0</v>
      </c>
      <c r="G12" s="380">
        <v>0</v>
      </c>
      <c r="H12" s="360">
        <f t="shared" si="0"/>
        <v>0</v>
      </c>
      <c r="I12" s="381">
        <v>0</v>
      </c>
      <c r="J12" s="373">
        <f t="shared" si="1"/>
        <v>0</v>
      </c>
      <c r="K12" s="381">
        <v>0</v>
      </c>
      <c r="L12" s="373">
        <f t="shared" si="2"/>
        <v>0</v>
      </c>
    </row>
    <row r="13" spans="1:20" ht="20.100000000000001" customHeight="1">
      <c r="A13" s="358">
        <f t="shared" si="3"/>
        <v>5</v>
      </c>
      <c r="B13" s="368" t="s">
        <v>816</v>
      </c>
      <c r="C13" s="348" t="s">
        <v>644</v>
      </c>
      <c r="D13" s="369">
        <v>2020</v>
      </c>
      <c r="E13" s="379">
        <f>246/365</f>
        <v>0.67397260273972603</v>
      </c>
      <c r="F13" s="380">
        <v>0</v>
      </c>
      <c r="G13" s="380">
        <v>0</v>
      </c>
      <c r="H13" s="360">
        <f t="shared" si="0"/>
        <v>0</v>
      </c>
      <c r="I13" s="381">
        <v>0</v>
      </c>
      <c r="J13" s="373">
        <f t="shared" si="1"/>
        <v>0</v>
      </c>
      <c r="K13" s="381">
        <v>0</v>
      </c>
      <c r="L13" s="373">
        <f t="shared" si="2"/>
        <v>0</v>
      </c>
    </row>
    <row r="14" spans="1:20" ht="20.100000000000001" customHeight="1">
      <c r="A14" s="358">
        <f t="shared" si="3"/>
        <v>6</v>
      </c>
      <c r="B14" s="368" t="s">
        <v>816</v>
      </c>
      <c r="C14" s="348" t="s">
        <v>645</v>
      </c>
      <c r="D14" s="369">
        <v>2020</v>
      </c>
      <c r="E14" s="379">
        <f>215/365</f>
        <v>0.58904109589041098</v>
      </c>
      <c r="F14" s="380">
        <v>0</v>
      </c>
      <c r="G14" s="380">
        <v>0</v>
      </c>
      <c r="H14" s="360">
        <f t="shared" si="0"/>
        <v>0</v>
      </c>
      <c r="I14" s="381">
        <v>0</v>
      </c>
      <c r="J14" s="373">
        <f t="shared" si="1"/>
        <v>0</v>
      </c>
      <c r="K14" s="381">
        <v>0</v>
      </c>
      <c r="L14" s="373">
        <f t="shared" si="2"/>
        <v>0</v>
      </c>
    </row>
    <row r="15" spans="1:20" ht="20.100000000000001" customHeight="1">
      <c r="A15" s="358">
        <f t="shared" si="3"/>
        <v>7</v>
      </c>
      <c r="B15" s="368" t="s">
        <v>816</v>
      </c>
      <c r="C15" s="348" t="s">
        <v>646</v>
      </c>
      <c r="D15" s="369">
        <v>2020</v>
      </c>
      <c r="E15" s="379">
        <f>185/365</f>
        <v>0.50684931506849318</v>
      </c>
      <c r="F15" s="380">
        <v>0</v>
      </c>
      <c r="G15" s="380">
        <v>0</v>
      </c>
      <c r="H15" s="360">
        <f t="shared" si="0"/>
        <v>0</v>
      </c>
      <c r="I15" s="381">
        <v>0</v>
      </c>
      <c r="J15" s="373">
        <f t="shared" si="1"/>
        <v>0</v>
      </c>
      <c r="K15" s="381">
        <v>0</v>
      </c>
      <c r="L15" s="373">
        <f t="shared" si="2"/>
        <v>0</v>
      </c>
    </row>
    <row r="16" spans="1:20" ht="20.100000000000001" customHeight="1">
      <c r="A16" s="358">
        <f t="shared" si="3"/>
        <v>8</v>
      </c>
      <c r="B16" s="368" t="s">
        <v>816</v>
      </c>
      <c r="C16" s="348" t="s">
        <v>647</v>
      </c>
      <c r="D16" s="369">
        <v>2020</v>
      </c>
      <c r="E16" s="379">
        <f>154/365</f>
        <v>0.42191780821917807</v>
      </c>
      <c r="F16" s="380">
        <v>0</v>
      </c>
      <c r="G16" s="380">
        <v>0</v>
      </c>
      <c r="H16" s="360">
        <f t="shared" si="0"/>
        <v>0</v>
      </c>
      <c r="I16" s="381">
        <v>0</v>
      </c>
      <c r="J16" s="373">
        <f t="shared" si="1"/>
        <v>0</v>
      </c>
      <c r="K16" s="381">
        <v>0</v>
      </c>
      <c r="L16" s="373">
        <f t="shared" si="2"/>
        <v>0</v>
      </c>
    </row>
    <row r="17" spans="1:20" ht="20.100000000000001" customHeight="1">
      <c r="A17" s="358">
        <f t="shared" si="3"/>
        <v>9</v>
      </c>
      <c r="B17" s="368" t="s">
        <v>816</v>
      </c>
      <c r="C17" s="348" t="s">
        <v>716</v>
      </c>
      <c r="D17" s="369">
        <v>2020</v>
      </c>
      <c r="E17" s="379">
        <f>123/365</f>
        <v>0.33698630136986302</v>
      </c>
      <c r="F17" s="380">
        <v>0</v>
      </c>
      <c r="G17" s="380">
        <v>0</v>
      </c>
      <c r="H17" s="360">
        <f t="shared" si="0"/>
        <v>0</v>
      </c>
      <c r="I17" s="381">
        <v>0</v>
      </c>
      <c r="J17" s="373">
        <f t="shared" si="1"/>
        <v>0</v>
      </c>
      <c r="K17" s="381">
        <v>0</v>
      </c>
      <c r="L17" s="373">
        <f t="shared" si="2"/>
        <v>0</v>
      </c>
    </row>
    <row r="18" spans="1:20" ht="20.100000000000001" customHeight="1">
      <c r="A18" s="358">
        <f t="shared" si="3"/>
        <v>10</v>
      </c>
      <c r="B18" s="368" t="s">
        <v>816</v>
      </c>
      <c r="C18" s="348" t="s">
        <v>649</v>
      </c>
      <c r="D18" s="369">
        <v>2020</v>
      </c>
      <c r="E18" s="379">
        <f>93/365</f>
        <v>0.25479452054794521</v>
      </c>
      <c r="F18" s="380">
        <v>-59615.25</v>
      </c>
      <c r="G18" s="380">
        <v>-59615.25</v>
      </c>
      <c r="H18" s="360">
        <f t="shared" si="0"/>
        <v>-15189.63904109589</v>
      </c>
      <c r="I18" s="381">
        <v>0</v>
      </c>
      <c r="J18" s="373">
        <f t="shared" si="1"/>
        <v>0</v>
      </c>
      <c r="K18" s="381">
        <v>0</v>
      </c>
      <c r="L18" s="373">
        <f t="shared" si="2"/>
        <v>0</v>
      </c>
    </row>
    <row r="19" spans="1:20" ht="20.100000000000001" customHeight="1">
      <c r="A19" s="358">
        <f t="shared" si="3"/>
        <v>11</v>
      </c>
      <c r="B19" s="368" t="s">
        <v>816</v>
      </c>
      <c r="C19" s="348" t="s">
        <v>650</v>
      </c>
      <c r="D19" s="369">
        <v>2020</v>
      </c>
      <c r="E19" s="379">
        <f>62/365</f>
        <v>0.16986301369863013</v>
      </c>
      <c r="F19" s="380">
        <v>-59615.25</v>
      </c>
      <c r="G19" s="380">
        <v>-59615.25</v>
      </c>
      <c r="H19" s="360">
        <f t="shared" si="0"/>
        <v>-10126.42602739726</v>
      </c>
      <c r="I19" s="381">
        <v>0</v>
      </c>
      <c r="J19" s="373">
        <f t="shared" si="1"/>
        <v>0</v>
      </c>
      <c r="K19" s="381">
        <v>0</v>
      </c>
      <c r="L19" s="373">
        <f t="shared" si="2"/>
        <v>0</v>
      </c>
    </row>
    <row r="20" spans="1:20" ht="20.100000000000001" customHeight="1">
      <c r="A20" s="358">
        <f t="shared" si="3"/>
        <v>12</v>
      </c>
      <c r="B20" s="368" t="s">
        <v>816</v>
      </c>
      <c r="C20" s="348" t="s">
        <v>651</v>
      </c>
      <c r="D20" s="369">
        <v>2020</v>
      </c>
      <c r="E20" s="379">
        <f>32/365</f>
        <v>8.7671232876712329E-2</v>
      </c>
      <c r="F20" s="380">
        <v>-59615.25</v>
      </c>
      <c r="G20" s="380">
        <v>-59615.25</v>
      </c>
      <c r="H20" s="360">
        <f t="shared" si="0"/>
        <v>-5226.5424657534249</v>
      </c>
      <c r="I20" s="381">
        <v>0</v>
      </c>
      <c r="J20" s="373">
        <f t="shared" si="1"/>
        <v>0</v>
      </c>
      <c r="K20" s="381">
        <v>0</v>
      </c>
      <c r="L20" s="373">
        <f t="shared" si="2"/>
        <v>0</v>
      </c>
    </row>
    <row r="21" spans="1:20" ht="20.100000000000001" customHeight="1">
      <c r="A21" s="358">
        <f t="shared" si="3"/>
        <v>13</v>
      </c>
      <c r="B21" s="368" t="s">
        <v>816</v>
      </c>
      <c r="C21" s="348" t="s">
        <v>717</v>
      </c>
      <c r="D21" s="369">
        <v>2020</v>
      </c>
      <c r="E21" s="379">
        <f>1/365</f>
        <v>2.7397260273972603E-3</v>
      </c>
      <c r="F21" s="380">
        <v>-59615.25</v>
      </c>
      <c r="G21" s="380">
        <v>-59615.25</v>
      </c>
      <c r="H21" s="360">
        <f t="shared" si="0"/>
        <v>-163.32945205479453</v>
      </c>
      <c r="I21" s="381">
        <v>0</v>
      </c>
      <c r="J21" s="373">
        <f t="shared" si="1"/>
        <v>0</v>
      </c>
      <c r="K21" s="381">
        <v>0</v>
      </c>
      <c r="L21" s="373">
        <f t="shared" si="2"/>
        <v>0</v>
      </c>
    </row>
    <row r="22" spans="1:20" ht="20.100000000000001" customHeight="1">
      <c r="A22" s="358">
        <f t="shared" si="3"/>
        <v>14</v>
      </c>
      <c r="B22" s="368" t="s">
        <v>817</v>
      </c>
      <c r="F22" s="360">
        <f t="shared" ref="F22:L22" si="4">SUM(F9:F21)</f>
        <v>-238461</v>
      </c>
      <c r="G22" s="360">
        <f t="shared" si="4"/>
        <v>-238461</v>
      </c>
      <c r="H22" s="360">
        <f t="shared" si="4"/>
        <v>-30705.936986301367</v>
      </c>
      <c r="I22" s="373">
        <f t="shared" si="4"/>
        <v>0</v>
      </c>
      <c r="J22" s="373">
        <f t="shared" si="4"/>
        <v>0</v>
      </c>
      <c r="K22" s="373">
        <f t="shared" si="4"/>
        <v>0</v>
      </c>
      <c r="L22" s="373">
        <f t="shared" si="4"/>
        <v>0</v>
      </c>
    </row>
    <row r="23" spans="1:20">
      <c r="A23" s="358"/>
      <c r="F23" s="673"/>
      <c r="G23" s="673"/>
    </row>
    <row r="24" spans="1:20">
      <c r="A24" s="348" t="s">
        <v>818</v>
      </c>
      <c r="D24" s="351"/>
      <c r="E24" s="351"/>
      <c r="F24" s="673"/>
      <c r="G24" s="673"/>
      <c r="T24" s="352"/>
    </row>
    <row r="25" spans="1:20" ht="20.100000000000001" customHeight="1">
      <c r="A25" s="358">
        <f>A22+1</f>
        <v>15</v>
      </c>
      <c r="B25" s="368" t="s">
        <v>819</v>
      </c>
      <c r="C25" s="348" t="s">
        <v>717</v>
      </c>
      <c r="D25" s="369">
        <v>2019</v>
      </c>
      <c r="E25" s="379">
        <f>365/365</f>
        <v>1</v>
      </c>
      <c r="F25" s="360">
        <v>0</v>
      </c>
      <c r="G25" s="360">
        <v>0</v>
      </c>
      <c r="H25" s="360">
        <f t="shared" ref="H25:H37" si="5">E25*G25</f>
        <v>0</v>
      </c>
      <c r="I25" s="370">
        <f>'8c- ADIT BOY'!F77</f>
        <v>0</v>
      </c>
      <c r="J25" s="373">
        <f t="shared" ref="J25:J37" si="6">I25*E25</f>
        <v>0</v>
      </c>
      <c r="K25" s="370">
        <f>'8c- ADIT BOY'!G77</f>
        <v>0</v>
      </c>
      <c r="L25" s="373">
        <f t="shared" ref="L25:L37" si="7">E25*K25</f>
        <v>0</v>
      </c>
    </row>
    <row r="26" spans="1:20" ht="20.100000000000001" customHeight="1">
      <c r="A26" s="358">
        <f t="shared" ref="A26:A38" si="8">+A25+1</f>
        <v>16</v>
      </c>
      <c r="B26" s="368" t="s">
        <v>816</v>
      </c>
      <c r="C26" s="348" t="s">
        <v>641</v>
      </c>
      <c r="D26" s="369">
        <v>2020</v>
      </c>
      <c r="E26" s="379">
        <f>335/365</f>
        <v>0.9178082191780822</v>
      </c>
      <c r="F26" s="380">
        <v>0</v>
      </c>
      <c r="G26" s="380">
        <v>0</v>
      </c>
      <c r="H26" s="360">
        <f t="shared" si="5"/>
        <v>0</v>
      </c>
      <c r="I26" s="381">
        <v>0</v>
      </c>
      <c r="J26" s="373">
        <f t="shared" si="6"/>
        <v>0</v>
      </c>
      <c r="K26" s="381">
        <v>0</v>
      </c>
      <c r="L26" s="373">
        <f t="shared" si="7"/>
        <v>0</v>
      </c>
    </row>
    <row r="27" spans="1:20" ht="20.100000000000001" customHeight="1">
      <c r="A27" s="358">
        <f t="shared" si="8"/>
        <v>17</v>
      </c>
      <c r="B27" s="368" t="s">
        <v>816</v>
      </c>
      <c r="C27" s="348" t="s">
        <v>642</v>
      </c>
      <c r="D27" s="369">
        <v>2020</v>
      </c>
      <c r="E27" s="379">
        <f>307/365</f>
        <v>0.84109589041095889</v>
      </c>
      <c r="F27" s="380">
        <v>0</v>
      </c>
      <c r="G27" s="380">
        <v>0</v>
      </c>
      <c r="H27" s="360">
        <f t="shared" si="5"/>
        <v>0</v>
      </c>
      <c r="I27" s="381">
        <v>0</v>
      </c>
      <c r="J27" s="373">
        <f t="shared" si="6"/>
        <v>0</v>
      </c>
      <c r="K27" s="381">
        <v>0</v>
      </c>
      <c r="L27" s="373">
        <f t="shared" si="7"/>
        <v>0</v>
      </c>
    </row>
    <row r="28" spans="1:20" ht="20.100000000000001" customHeight="1">
      <c r="A28" s="358">
        <f t="shared" si="8"/>
        <v>18</v>
      </c>
      <c r="B28" s="368" t="s">
        <v>816</v>
      </c>
      <c r="C28" s="348" t="s">
        <v>714</v>
      </c>
      <c r="D28" s="369">
        <v>2020</v>
      </c>
      <c r="E28" s="379">
        <f>276/365</f>
        <v>0.75616438356164384</v>
      </c>
      <c r="F28" s="380">
        <v>0</v>
      </c>
      <c r="G28" s="380">
        <v>0</v>
      </c>
      <c r="H28" s="360">
        <f t="shared" si="5"/>
        <v>0</v>
      </c>
      <c r="I28" s="381">
        <v>0</v>
      </c>
      <c r="J28" s="373">
        <f t="shared" si="6"/>
        <v>0</v>
      </c>
      <c r="K28" s="381">
        <v>0</v>
      </c>
      <c r="L28" s="373">
        <f t="shared" si="7"/>
        <v>0</v>
      </c>
    </row>
    <row r="29" spans="1:20" ht="20.100000000000001" customHeight="1">
      <c r="A29" s="358">
        <f t="shared" si="8"/>
        <v>19</v>
      </c>
      <c r="B29" s="368" t="s">
        <v>816</v>
      </c>
      <c r="C29" s="348" t="s">
        <v>644</v>
      </c>
      <c r="D29" s="369">
        <v>2020</v>
      </c>
      <c r="E29" s="379">
        <f>246/365</f>
        <v>0.67397260273972603</v>
      </c>
      <c r="F29" s="380">
        <v>0</v>
      </c>
      <c r="G29" s="380">
        <v>0</v>
      </c>
      <c r="H29" s="360">
        <f t="shared" si="5"/>
        <v>0</v>
      </c>
      <c r="I29" s="381">
        <v>0</v>
      </c>
      <c r="J29" s="373">
        <f t="shared" si="6"/>
        <v>0</v>
      </c>
      <c r="K29" s="381">
        <v>0</v>
      </c>
      <c r="L29" s="373">
        <f t="shared" si="7"/>
        <v>0</v>
      </c>
    </row>
    <row r="30" spans="1:20" ht="20.100000000000001" customHeight="1">
      <c r="A30" s="358">
        <f t="shared" si="8"/>
        <v>20</v>
      </c>
      <c r="B30" s="368" t="s">
        <v>816</v>
      </c>
      <c r="C30" s="348" t="s">
        <v>645</v>
      </c>
      <c r="D30" s="369">
        <v>2020</v>
      </c>
      <c r="E30" s="379">
        <f>215/365</f>
        <v>0.58904109589041098</v>
      </c>
      <c r="F30" s="380">
        <v>0</v>
      </c>
      <c r="G30" s="380">
        <v>0</v>
      </c>
      <c r="H30" s="360">
        <f t="shared" si="5"/>
        <v>0</v>
      </c>
      <c r="I30" s="381">
        <v>0</v>
      </c>
      <c r="J30" s="373">
        <f t="shared" si="6"/>
        <v>0</v>
      </c>
      <c r="K30" s="381">
        <v>0</v>
      </c>
      <c r="L30" s="373">
        <f t="shared" si="7"/>
        <v>0</v>
      </c>
    </row>
    <row r="31" spans="1:20" ht="20.100000000000001" customHeight="1">
      <c r="A31" s="358">
        <f t="shared" si="8"/>
        <v>21</v>
      </c>
      <c r="B31" s="368" t="s">
        <v>816</v>
      </c>
      <c r="C31" s="348" t="s">
        <v>646</v>
      </c>
      <c r="D31" s="369">
        <v>2020</v>
      </c>
      <c r="E31" s="379">
        <f>185/365</f>
        <v>0.50684931506849318</v>
      </c>
      <c r="F31" s="380">
        <v>0</v>
      </c>
      <c r="G31" s="380">
        <v>0</v>
      </c>
      <c r="H31" s="360">
        <f t="shared" si="5"/>
        <v>0</v>
      </c>
      <c r="I31" s="381">
        <v>0</v>
      </c>
      <c r="J31" s="373">
        <f t="shared" si="6"/>
        <v>0</v>
      </c>
      <c r="K31" s="381">
        <v>0</v>
      </c>
      <c r="L31" s="373">
        <f t="shared" si="7"/>
        <v>0</v>
      </c>
    </row>
    <row r="32" spans="1:20" ht="20.100000000000001" customHeight="1">
      <c r="A32" s="358">
        <f t="shared" si="8"/>
        <v>22</v>
      </c>
      <c r="B32" s="368" t="s">
        <v>816</v>
      </c>
      <c r="C32" s="348" t="s">
        <v>647</v>
      </c>
      <c r="D32" s="369">
        <v>2020</v>
      </c>
      <c r="E32" s="379">
        <f>154/365</f>
        <v>0.42191780821917807</v>
      </c>
      <c r="F32" s="380">
        <v>0</v>
      </c>
      <c r="G32" s="380">
        <v>0</v>
      </c>
      <c r="H32" s="360">
        <f t="shared" si="5"/>
        <v>0</v>
      </c>
      <c r="I32" s="381">
        <v>0</v>
      </c>
      <c r="J32" s="373">
        <f t="shared" si="6"/>
        <v>0</v>
      </c>
      <c r="K32" s="381">
        <v>0</v>
      </c>
      <c r="L32" s="373">
        <f t="shared" si="7"/>
        <v>0</v>
      </c>
    </row>
    <row r="33" spans="1:20" ht="20.100000000000001" customHeight="1">
      <c r="A33" s="358">
        <f t="shared" si="8"/>
        <v>23</v>
      </c>
      <c r="B33" s="368" t="s">
        <v>816</v>
      </c>
      <c r="C33" s="348" t="s">
        <v>716</v>
      </c>
      <c r="D33" s="369">
        <v>2020</v>
      </c>
      <c r="E33" s="379">
        <f>123/365</f>
        <v>0.33698630136986302</v>
      </c>
      <c r="F33" s="380">
        <v>0</v>
      </c>
      <c r="G33" s="380">
        <v>0</v>
      </c>
      <c r="H33" s="360">
        <f t="shared" si="5"/>
        <v>0</v>
      </c>
      <c r="I33" s="381">
        <v>0</v>
      </c>
      <c r="J33" s="373">
        <f t="shared" si="6"/>
        <v>0</v>
      </c>
      <c r="K33" s="381">
        <v>0</v>
      </c>
      <c r="L33" s="373">
        <f t="shared" si="7"/>
        <v>0</v>
      </c>
    </row>
    <row r="34" spans="1:20" ht="20.100000000000001" customHeight="1">
      <c r="A34" s="358">
        <f t="shared" si="8"/>
        <v>24</v>
      </c>
      <c r="B34" s="368" t="s">
        <v>816</v>
      </c>
      <c r="C34" s="348" t="s">
        <v>649</v>
      </c>
      <c r="D34" s="369">
        <v>2020</v>
      </c>
      <c r="E34" s="379">
        <f>93/365</f>
        <v>0.25479452054794521</v>
      </c>
      <c r="F34" s="380">
        <v>0</v>
      </c>
      <c r="G34" s="380">
        <v>0</v>
      </c>
      <c r="H34" s="360">
        <f t="shared" si="5"/>
        <v>0</v>
      </c>
      <c r="I34" s="381">
        <v>0</v>
      </c>
      <c r="J34" s="373">
        <f t="shared" si="6"/>
        <v>0</v>
      </c>
      <c r="K34" s="381">
        <v>0</v>
      </c>
      <c r="L34" s="373">
        <f t="shared" si="7"/>
        <v>0</v>
      </c>
    </row>
    <row r="35" spans="1:20" ht="20.100000000000001" customHeight="1">
      <c r="A35" s="358">
        <f t="shared" si="8"/>
        <v>25</v>
      </c>
      <c r="B35" s="368" t="s">
        <v>816</v>
      </c>
      <c r="C35" s="348" t="s">
        <v>650</v>
      </c>
      <c r="D35" s="369">
        <v>2020</v>
      </c>
      <c r="E35" s="379">
        <f>62/365</f>
        <v>0.16986301369863013</v>
      </c>
      <c r="F35" s="380">
        <v>0</v>
      </c>
      <c r="G35" s="380">
        <v>0</v>
      </c>
      <c r="H35" s="360">
        <f t="shared" si="5"/>
        <v>0</v>
      </c>
      <c r="I35" s="381">
        <v>0</v>
      </c>
      <c r="J35" s="373">
        <f t="shared" si="6"/>
        <v>0</v>
      </c>
      <c r="K35" s="381">
        <v>0</v>
      </c>
      <c r="L35" s="373">
        <f t="shared" si="7"/>
        <v>0</v>
      </c>
    </row>
    <row r="36" spans="1:20" ht="20.100000000000001" customHeight="1">
      <c r="A36" s="358">
        <f t="shared" si="8"/>
        <v>26</v>
      </c>
      <c r="B36" s="368" t="s">
        <v>816</v>
      </c>
      <c r="C36" s="348" t="s">
        <v>651</v>
      </c>
      <c r="D36" s="369">
        <v>2020</v>
      </c>
      <c r="E36" s="379">
        <f>32/365</f>
        <v>8.7671232876712329E-2</v>
      </c>
      <c r="F36" s="380">
        <v>0</v>
      </c>
      <c r="G36" s="380">
        <v>0</v>
      </c>
      <c r="H36" s="360">
        <f t="shared" si="5"/>
        <v>0</v>
      </c>
      <c r="I36" s="381">
        <v>0</v>
      </c>
      <c r="J36" s="373">
        <f t="shared" si="6"/>
        <v>0</v>
      </c>
      <c r="K36" s="381">
        <v>0</v>
      </c>
      <c r="L36" s="373">
        <f t="shared" si="7"/>
        <v>0</v>
      </c>
    </row>
    <row r="37" spans="1:20" ht="20.100000000000001" customHeight="1">
      <c r="A37" s="358">
        <f t="shared" si="8"/>
        <v>27</v>
      </c>
      <c r="B37" s="368" t="s">
        <v>816</v>
      </c>
      <c r="C37" s="348" t="s">
        <v>717</v>
      </c>
      <c r="D37" s="369">
        <v>2020</v>
      </c>
      <c r="E37" s="379">
        <f>1/365</f>
        <v>2.7397260273972603E-3</v>
      </c>
      <c r="F37" s="380">
        <v>0</v>
      </c>
      <c r="G37" s="380">
        <v>0</v>
      </c>
      <c r="H37" s="360">
        <f t="shared" si="5"/>
        <v>0</v>
      </c>
      <c r="I37" s="381">
        <v>0</v>
      </c>
      <c r="J37" s="373">
        <f t="shared" si="6"/>
        <v>0</v>
      </c>
      <c r="K37" s="381">
        <v>0</v>
      </c>
      <c r="L37" s="373">
        <f t="shared" si="7"/>
        <v>0</v>
      </c>
    </row>
    <row r="38" spans="1:20" ht="20.100000000000001" customHeight="1">
      <c r="A38" s="358">
        <f t="shared" si="8"/>
        <v>28</v>
      </c>
      <c r="B38" s="368" t="s">
        <v>820</v>
      </c>
      <c r="F38" s="360">
        <f t="shared" ref="F38:L38" si="9">SUM(F25:F37)</f>
        <v>0</v>
      </c>
      <c r="G38" s="360">
        <f t="shared" si="9"/>
        <v>0</v>
      </c>
      <c r="H38" s="360">
        <f t="shared" si="9"/>
        <v>0</v>
      </c>
      <c r="I38" s="373">
        <f t="shared" si="9"/>
        <v>0</v>
      </c>
      <c r="J38" s="373">
        <f t="shared" si="9"/>
        <v>0</v>
      </c>
      <c r="K38" s="373">
        <f t="shared" si="9"/>
        <v>0</v>
      </c>
      <c r="L38" s="373">
        <f t="shared" si="9"/>
        <v>0</v>
      </c>
    </row>
    <row r="39" spans="1:20">
      <c r="A39" s="358"/>
      <c r="F39" s="673"/>
      <c r="G39" s="673"/>
      <c r="I39" s="373"/>
      <c r="J39" s="373"/>
      <c r="K39" s="373"/>
      <c r="L39" s="373"/>
    </row>
    <row r="40" spans="1:20">
      <c r="A40" s="348" t="s">
        <v>821</v>
      </c>
      <c r="D40" s="351"/>
      <c r="E40" s="351"/>
      <c r="F40" s="673"/>
      <c r="G40" s="673"/>
      <c r="T40" s="352"/>
    </row>
    <row r="41" spans="1:20" ht="20.100000000000001" customHeight="1">
      <c r="A41" s="358">
        <f>A38+1</f>
        <v>29</v>
      </c>
      <c r="B41" s="368" t="s">
        <v>822</v>
      </c>
      <c r="C41" s="348" t="s">
        <v>717</v>
      </c>
      <c r="D41" s="369">
        <v>2019</v>
      </c>
      <c r="E41" s="379">
        <f>365/365</f>
        <v>1</v>
      </c>
      <c r="F41" s="360">
        <f>'8c- ADIT BOY'!C29</f>
        <v>0</v>
      </c>
      <c r="G41" s="360">
        <f>'8c- ADIT BOY'!E29</f>
        <v>0</v>
      </c>
      <c r="H41" s="360">
        <f t="shared" ref="H41:H53" si="10">E41*G41</f>
        <v>0</v>
      </c>
      <c r="I41" s="370">
        <f>'8c- ADIT BOY'!F29</f>
        <v>0</v>
      </c>
      <c r="J41" s="373">
        <f t="shared" ref="J41:J53" si="11">I41*E41</f>
        <v>0</v>
      </c>
      <c r="K41" s="370">
        <f>'8c- ADIT BOY'!G29</f>
        <v>0</v>
      </c>
      <c r="L41" s="373">
        <f t="shared" ref="L41:L53" si="12">E41*K41</f>
        <v>0</v>
      </c>
    </row>
    <row r="42" spans="1:20" ht="20.100000000000001" customHeight="1">
      <c r="A42" s="358">
        <f t="shared" ref="A42:A54" si="13">+A41+1</f>
        <v>30</v>
      </c>
      <c r="B42" s="368" t="s">
        <v>816</v>
      </c>
      <c r="C42" s="348" t="s">
        <v>641</v>
      </c>
      <c r="D42" s="369">
        <v>2020</v>
      </c>
      <c r="E42" s="379">
        <f>335/365</f>
        <v>0.9178082191780822</v>
      </c>
      <c r="F42" s="380">
        <v>0</v>
      </c>
      <c r="G42" s="380">
        <v>0</v>
      </c>
      <c r="H42" s="360">
        <f t="shared" si="10"/>
        <v>0</v>
      </c>
      <c r="I42" s="381">
        <v>0</v>
      </c>
      <c r="J42" s="373">
        <f t="shared" si="11"/>
        <v>0</v>
      </c>
      <c r="K42" s="381">
        <v>0</v>
      </c>
      <c r="L42" s="373">
        <f t="shared" si="12"/>
        <v>0</v>
      </c>
    </row>
    <row r="43" spans="1:20" ht="20.100000000000001" customHeight="1">
      <c r="A43" s="358">
        <f t="shared" si="13"/>
        <v>31</v>
      </c>
      <c r="B43" s="368" t="s">
        <v>816</v>
      </c>
      <c r="C43" s="348" t="s">
        <v>642</v>
      </c>
      <c r="D43" s="369">
        <v>2020</v>
      </c>
      <c r="E43" s="379">
        <f>307/365</f>
        <v>0.84109589041095889</v>
      </c>
      <c r="F43" s="380">
        <v>0</v>
      </c>
      <c r="G43" s="380">
        <v>0</v>
      </c>
      <c r="H43" s="360">
        <f t="shared" si="10"/>
        <v>0</v>
      </c>
      <c r="I43" s="381">
        <v>0</v>
      </c>
      <c r="J43" s="373">
        <f t="shared" si="11"/>
        <v>0</v>
      </c>
      <c r="K43" s="381">
        <v>0</v>
      </c>
      <c r="L43" s="373">
        <f t="shared" si="12"/>
        <v>0</v>
      </c>
    </row>
    <row r="44" spans="1:20" ht="20.100000000000001" customHeight="1">
      <c r="A44" s="358">
        <f t="shared" si="13"/>
        <v>32</v>
      </c>
      <c r="B44" s="368" t="s">
        <v>816</v>
      </c>
      <c r="C44" s="348" t="s">
        <v>714</v>
      </c>
      <c r="D44" s="369">
        <v>2020</v>
      </c>
      <c r="E44" s="379">
        <f>276/365</f>
        <v>0.75616438356164384</v>
      </c>
      <c r="F44" s="380">
        <v>0</v>
      </c>
      <c r="G44" s="380">
        <v>0</v>
      </c>
      <c r="H44" s="360">
        <f t="shared" si="10"/>
        <v>0</v>
      </c>
      <c r="I44" s="381">
        <v>0</v>
      </c>
      <c r="J44" s="373">
        <f t="shared" si="11"/>
        <v>0</v>
      </c>
      <c r="K44" s="381">
        <v>0</v>
      </c>
      <c r="L44" s="373">
        <f t="shared" si="12"/>
        <v>0</v>
      </c>
    </row>
    <row r="45" spans="1:20" ht="20.100000000000001" customHeight="1">
      <c r="A45" s="358">
        <f t="shared" si="13"/>
        <v>33</v>
      </c>
      <c r="B45" s="368" t="s">
        <v>816</v>
      </c>
      <c r="C45" s="348" t="s">
        <v>644</v>
      </c>
      <c r="D45" s="369">
        <v>2020</v>
      </c>
      <c r="E45" s="379">
        <f>246/365</f>
        <v>0.67397260273972603</v>
      </c>
      <c r="F45" s="380">
        <v>0</v>
      </c>
      <c r="G45" s="380">
        <v>0</v>
      </c>
      <c r="H45" s="360">
        <f t="shared" si="10"/>
        <v>0</v>
      </c>
      <c r="I45" s="381">
        <v>0</v>
      </c>
      <c r="J45" s="373">
        <f t="shared" si="11"/>
        <v>0</v>
      </c>
      <c r="K45" s="381">
        <v>0</v>
      </c>
      <c r="L45" s="373">
        <f t="shared" si="12"/>
        <v>0</v>
      </c>
    </row>
    <row r="46" spans="1:20" ht="20.100000000000001" customHeight="1">
      <c r="A46" s="358">
        <f t="shared" si="13"/>
        <v>34</v>
      </c>
      <c r="B46" s="368" t="s">
        <v>816</v>
      </c>
      <c r="C46" s="348" t="s">
        <v>645</v>
      </c>
      <c r="D46" s="369">
        <v>2020</v>
      </c>
      <c r="E46" s="379">
        <f>215/365</f>
        <v>0.58904109589041098</v>
      </c>
      <c r="F46" s="380">
        <v>0</v>
      </c>
      <c r="G46" s="380">
        <v>0</v>
      </c>
      <c r="H46" s="360">
        <f t="shared" si="10"/>
        <v>0</v>
      </c>
      <c r="I46" s="381">
        <v>0</v>
      </c>
      <c r="J46" s="373">
        <f t="shared" si="11"/>
        <v>0</v>
      </c>
      <c r="K46" s="381">
        <v>0</v>
      </c>
      <c r="L46" s="373">
        <f t="shared" si="12"/>
        <v>0</v>
      </c>
    </row>
    <row r="47" spans="1:20" ht="20.100000000000001" customHeight="1">
      <c r="A47" s="358">
        <f t="shared" si="13"/>
        <v>35</v>
      </c>
      <c r="B47" s="368" t="s">
        <v>816</v>
      </c>
      <c r="C47" s="348" t="s">
        <v>646</v>
      </c>
      <c r="D47" s="369">
        <v>2020</v>
      </c>
      <c r="E47" s="379">
        <f>185/365</f>
        <v>0.50684931506849318</v>
      </c>
      <c r="F47" s="380">
        <v>0</v>
      </c>
      <c r="G47" s="380">
        <v>0</v>
      </c>
      <c r="H47" s="360">
        <f t="shared" si="10"/>
        <v>0</v>
      </c>
      <c r="I47" s="381">
        <v>0</v>
      </c>
      <c r="J47" s="373">
        <f t="shared" si="11"/>
        <v>0</v>
      </c>
      <c r="K47" s="381">
        <v>0</v>
      </c>
      <c r="L47" s="373">
        <f t="shared" si="12"/>
        <v>0</v>
      </c>
    </row>
    <row r="48" spans="1:20" ht="20.100000000000001" customHeight="1">
      <c r="A48" s="358">
        <f t="shared" si="13"/>
        <v>36</v>
      </c>
      <c r="B48" s="368" t="s">
        <v>816</v>
      </c>
      <c r="C48" s="348" t="s">
        <v>647</v>
      </c>
      <c r="D48" s="369">
        <v>2020</v>
      </c>
      <c r="E48" s="379">
        <f>154/365</f>
        <v>0.42191780821917807</v>
      </c>
      <c r="F48" s="380">
        <v>0</v>
      </c>
      <c r="G48" s="380">
        <v>0</v>
      </c>
      <c r="H48" s="360">
        <f t="shared" si="10"/>
        <v>0</v>
      </c>
      <c r="I48" s="381">
        <v>0</v>
      </c>
      <c r="J48" s="373">
        <f t="shared" si="11"/>
        <v>0</v>
      </c>
      <c r="K48" s="381">
        <v>0</v>
      </c>
      <c r="L48" s="373">
        <f t="shared" si="12"/>
        <v>0</v>
      </c>
    </row>
    <row r="49" spans="1:12" ht="20.100000000000001" customHeight="1">
      <c r="A49" s="358">
        <f t="shared" si="13"/>
        <v>37</v>
      </c>
      <c r="B49" s="368" t="s">
        <v>816</v>
      </c>
      <c r="C49" s="348" t="s">
        <v>716</v>
      </c>
      <c r="D49" s="369">
        <v>2020</v>
      </c>
      <c r="E49" s="379">
        <f>123/365</f>
        <v>0.33698630136986302</v>
      </c>
      <c r="F49" s="380">
        <v>0</v>
      </c>
      <c r="G49" s="380">
        <v>0</v>
      </c>
      <c r="H49" s="360">
        <f t="shared" si="10"/>
        <v>0</v>
      </c>
      <c r="I49" s="381">
        <v>0</v>
      </c>
      <c r="J49" s="373">
        <f t="shared" si="11"/>
        <v>0</v>
      </c>
      <c r="K49" s="381">
        <v>0</v>
      </c>
      <c r="L49" s="373">
        <f t="shared" si="12"/>
        <v>0</v>
      </c>
    </row>
    <row r="50" spans="1:12" ht="20.100000000000001" customHeight="1">
      <c r="A50" s="358">
        <f t="shared" si="13"/>
        <v>38</v>
      </c>
      <c r="B50" s="368" t="s">
        <v>816</v>
      </c>
      <c r="C50" s="348" t="s">
        <v>649</v>
      </c>
      <c r="D50" s="369">
        <v>2020</v>
      </c>
      <c r="E50" s="379">
        <f>93/365</f>
        <v>0.25479452054794521</v>
      </c>
      <c r="F50" s="380">
        <v>0</v>
      </c>
      <c r="G50" s="380">
        <v>0</v>
      </c>
      <c r="H50" s="360">
        <f t="shared" si="10"/>
        <v>0</v>
      </c>
      <c r="I50" s="381">
        <v>0</v>
      </c>
      <c r="J50" s="373">
        <f t="shared" si="11"/>
        <v>0</v>
      </c>
      <c r="K50" s="381">
        <v>0</v>
      </c>
      <c r="L50" s="373">
        <f t="shared" si="12"/>
        <v>0</v>
      </c>
    </row>
    <row r="51" spans="1:12" ht="20.100000000000001" customHeight="1">
      <c r="A51" s="358">
        <f t="shared" si="13"/>
        <v>39</v>
      </c>
      <c r="B51" s="368" t="s">
        <v>816</v>
      </c>
      <c r="C51" s="348" t="s">
        <v>650</v>
      </c>
      <c r="D51" s="369">
        <v>2020</v>
      </c>
      <c r="E51" s="379">
        <f>62/365</f>
        <v>0.16986301369863013</v>
      </c>
      <c r="F51" s="380">
        <v>0</v>
      </c>
      <c r="G51" s="380">
        <v>0</v>
      </c>
      <c r="H51" s="360">
        <f t="shared" si="10"/>
        <v>0</v>
      </c>
      <c r="I51" s="381">
        <v>0</v>
      </c>
      <c r="J51" s="373">
        <f t="shared" si="11"/>
        <v>0</v>
      </c>
      <c r="K51" s="381">
        <v>0</v>
      </c>
      <c r="L51" s="373">
        <f t="shared" si="12"/>
        <v>0</v>
      </c>
    </row>
    <row r="52" spans="1:12" ht="20.100000000000001" customHeight="1">
      <c r="A52" s="358">
        <f t="shared" si="13"/>
        <v>40</v>
      </c>
      <c r="B52" s="368" t="s">
        <v>816</v>
      </c>
      <c r="C52" s="348" t="s">
        <v>651</v>
      </c>
      <c r="D52" s="369">
        <v>2020</v>
      </c>
      <c r="E52" s="379">
        <f>32/365</f>
        <v>8.7671232876712329E-2</v>
      </c>
      <c r="F52" s="380">
        <v>0</v>
      </c>
      <c r="G52" s="380">
        <v>0</v>
      </c>
      <c r="H52" s="360">
        <f t="shared" si="10"/>
        <v>0</v>
      </c>
      <c r="I52" s="381">
        <v>0</v>
      </c>
      <c r="J52" s="373">
        <f t="shared" si="11"/>
        <v>0</v>
      </c>
      <c r="K52" s="381">
        <v>0</v>
      </c>
      <c r="L52" s="373">
        <f t="shared" si="12"/>
        <v>0</v>
      </c>
    </row>
    <row r="53" spans="1:12" ht="20.100000000000001" customHeight="1">
      <c r="A53" s="358">
        <f t="shared" si="13"/>
        <v>41</v>
      </c>
      <c r="B53" s="368" t="s">
        <v>816</v>
      </c>
      <c r="C53" s="348" t="s">
        <v>717</v>
      </c>
      <c r="D53" s="369">
        <v>2020</v>
      </c>
      <c r="E53" s="379">
        <f>1/365</f>
        <v>2.7397260273972603E-3</v>
      </c>
      <c r="F53" s="380">
        <v>0</v>
      </c>
      <c r="G53" s="380">
        <v>0</v>
      </c>
      <c r="H53" s="360">
        <f t="shared" si="10"/>
        <v>0</v>
      </c>
      <c r="I53" s="381">
        <v>0</v>
      </c>
      <c r="J53" s="373">
        <f t="shared" si="11"/>
        <v>0</v>
      </c>
      <c r="K53" s="381">
        <v>0</v>
      </c>
      <c r="L53" s="373">
        <f t="shared" si="12"/>
        <v>0</v>
      </c>
    </row>
    <row r="54" spans="1:12" ht="20.100000000000001" customHeight="1">
      <c r="A54" s="358">
        <f t="shared" si="13"/>
        <v>42</v>
      </c>
      <c r="B54" s="368" t="s">
        <v>823</v>
      </c>
      <c r="F54" s="360">
        <f t="shared" ref="F54:L54" si="14">SUM(F41:F53)</f>
        <v>0</v>
      </c>
      <c r="G54" s="360">
        <f t="shared" si="14"/>
        <v>0</v>
      </c>
      <c r="H54" s="360">
        <f t="shared" si="14"/>
        <v>0</v>
      </c>
      <c r="I54" s="373">
        <f t="shared" si="14"/>
        <v>0</v>
      </c>
      <c r="J54" s="373">
        <f t="shared" si="14"/>
        <v>0</v>
      </c>
      <c r="K54" s="373">
        <f t="shared" si="14"/>
        <v>0</v>
      </c>
      <c r="L54" s="373">
        <f t="shared" si="14"/>
        <v>0</v>
      </c>
    </row>
    <row r="55" spans="1:12">
      <c r="B55" s="348"/>
      <c r="F55" s="673"/>
      <c r="G55" s="673"/>
    </row>
    <row r="56" spans="1:12">
      <c r="B56" s="348"/>
      <c r="F56" s="673"/>
      <c r="G56" s="673"/>
    </row>
    <row r="57" spans="1:12" ht="15.75" customHeight="1">
      <c r="A57" s="350" t="s">
        <v>824</v>
      </c>
      <c r="B57" s="348" t="s">
        <v>825</v>
      </c>
      <c r="F57" s="673"/>
      <c r="G57" s="673"/>
    </row>
    <row r="58" spans="1:12">
      <c r="A58" s="350" t="s">
        <v>826</v>
      </c>
      <c r="B58" s="348" t="s">
        <v>827</v>
      </c>
      <c r="D58" s="374"/>
      <c r="E58" s="374"/>
      <c r="F58" s="673"/>
      <c r="G58" s="673"/>
      <c r="H58" s="377"/>
      <c r="I58" s="375"/>
    </row>
    <row r="59" spans="1:12">
      <c r="A59" s="382" t="s">
        <v>354</v>
      </c>
      <c r="B59" s="348" t="s">
        <v>828</v>
      </c>
      <c r="D59" s="374"/>
      <c r="E59" s="374"/>
      <c r="F59" s="377"/>
      <c r="G59" s="377"/>
      <c r="H59" s="377"/>
      <c r="I59" s="375"/>
    </row>
    <row r="60" spans="1:12">
      <c r="A60" s="382" t="s">
        <v>356</v>
      </c>
      <c r="B60" s="348" t="s">
        <v>829</v>
      </c>
      <c r="D60" s="374"/>
      <c r="E60" s="374"/>
      <c r="F60" s="377"/>
      <c r="G60" s="377"/>
      <c r="H60" s="377"/>
      <c r="I60" s="375"/>
    </row>
    <row r="61" spans="1:12">
      <c r="A61" s="382" t="s">
        <v>358</v>
      </c>
      <c r="B61" s="368" t="s">
        <v>830</v>
      </c>
      <c r="D61" s="351"/>
      <c r="E61" s="351"/>
    </row>
    <row r="62" spans="1:12">
      <c r="D62" s="360"/>
      <c r="E62" s="360"/>
    </row>
    <row r="63" spans="1:12">
      <c r="D63" s="360"/>
      <c r="E63" s="360"/>
    </row>
    <row r="64" spans="1:12">
      <c r="D64" s="360"/>
      <c r="E64" s="360"/>
    </row>
    <row r="65" spans="2:10">
      <c r="D65" s="360"/>
      <c r="E65" s="360"/>
    </row>
    <row r="66" spans="2:10">
      <c r="D66" s="360"/>
      <c r="E66" s="360"/>
      <c r="J66" s="360"/>
    </row>
    <row r="67" spans="2:10">
      <c r="D67" s="360"/>
      <c r="E67" s="360"/>
    </row>
    <row r="68" spans="2:10">
      <c r="D68" s="360"/>
      <c r="E68" s="360"/>
    </row>
    <row r="69" spans="2:10">
      <c r="D69" s="360"/>
      <c r="E69" s="360"/>
    </row>
    <row r="70" spans="2:10">
      <c r="D70" s="360"/>
      <c r="E70" s="360"/>
    </row>
    <row r="71" spans="2:10">
      <c r="D71" s="360"/>
      <c r="E71" s="360"/>
    </row>
    <row r="72" spans="2:10">
      <c r="B72" s="348"/>
      <c r="D72" s="360"/>
      <c r="E72" s="360"/>
    </row>
    <row r="73" spans="2:10">
      <c r="D73" s="360"/>
      <c r="E73" s="360"/>
    </row>
    <row r="74" spans="2:10">
      <c r="B74" s="348"/>
      <c r="D74" s="360"/>
      <c r="E74" s="360"/>
    </row>
    <row r="178" spans="9:9">
      <c r="I178" s="376"/>
    </row>
  </sheetData>
  <mergeCells count="3">
    <mergeCell ref="A1:L1"/>
    <mergeCell ref="A2:L2"/>
    <mergeCell ref="A3:L3"/>
  </mergeCells>
  <printOptions horizontalCentered="1"/>
  <pageMargins left="0.25" right="0.25" top="0.5" bottom="0.5" header="0.3" footer="0.3"/>
  <pageSetup scale="44"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19FB8-50EE-4CC1-8F43-148F084BC0BB}">
  <dimension ref="A1:U209"/>
  <sheetViews>
    <sheetView view="pageBreakPreview" topLeftCell="A31" zoomScaleNormal="100" zoomScaleSheetLayoutView="100" workbookViewId="0">
      <selection activeCell="E23" sqref="E23"/>
    </sheetView>
  </sheetViews>
  <sheetFormatPr defaultColWidth="8.88671875" defaultRowHeight="15.75"/>
  <cols>
    <col min="1" max="1" width="5.33203125" style="348" customWidth="1"/>
    <col min="2" max="2" width="51.44140625" style="368" customWidth="1"/>
    <col min="3" max="3" width="22.109375" style="348" customWidth="1"/>
    <col min="4" max="4" width="16.33203125" style="348" customWidth="1"/>
    <col min="5" max="5" width="11.88671875" style="348" customWidth="1"/>
    <col min="6" max="6" width="13.77734375" style="348" customWidth="1"/>
    <col min="7" max="7" width="13.109375" style="348" customWidth="1"/>
    <col min="8" max="8" width="77.5546875" style="348" customWidth="1"/>
    <col min="9" max="16384" width="8.88671875" style="349"/>
  </cols>
  <sheetData>
    <row r="1" spans="1:21" ht="18">
      <c r="A1" s="737" t="s">
        <v>1114</v>
      </c>
      <c r="B1" s="738"/>
      <c r="C1" s="738"/>
      <c r="D1" s="738"/>
      <c r="E1" s="738"/>
      <c r="F1" s="738"/>
      <c r="G1" s="738"/>
      <c r="H1" s="358" t="s">
        <v>597</v>
      </c>
      <c r="I1" s="353"/>
      <c r="J1" s="353"/>
    </row>
    <row r="2" spans="1:21" ht="18">
      <c r="B2" s="739" t="str">
        <f>'Attachment O'!$K$3</f>
        <v>For the 12 months ended 12/31/2020</v>
      </c>
      <c r="C2" s="734"/>
      <c r="D2" s="734"/>
      <c r="E2" s="734"/>
      <c r="F2" s="734"/>
      <c r="G2" s="734"/>
      <c r="H2" s="734"/>
      <c r="I2" s="353"/>
      <c r="J2" s="353"/>
    </row>
    <row r="3" spans="1:21">
      <c r="D3" s="349"/>
      <c r="E3" s="349"/>
      <c r="F3" s="349"/>
      <c r="G3" s="349"/>
      <c r="U3" s="352"/>
    </row>
    <row r="4" spans="1:21" ht="34.5" customHeight="1">
      <c r="A4" s="354" t="s">
        <v>772</v>
      </c>
      <c r="B4" s="354" t="s">
        <v>773</v>
      </c>
      <c r="C4" s="355"/>
      <c r="D4" s="356"/>
      <c r="E4" s="357" t="s">
        <v>774</v>
      </c>
      <c r="F4" s="357" t="s">
        <v>775</v>
      </c>
      <c r="G4" s="354" t="s">
        <v>776</v>
      </c>
      <c r="H4" s="355"/>
      <c r="U4" s="352"/>
    </row>
    <row r="5" spans="1:21">
      <c r="B5" s="358"/>
      <c r="D5" s="349"/>
      <c r="L5" s="359"/>
    </row>
    <row r="6" spans="1:21" ht="20.100000000000001" customHeight="1">
      <c r="A6" s="348">
        <v>1</v>
      </c>
      <c r="B6" s="348" t="s">
        <v>794</v>
      </c>
      <c r="D6" s="349"/>
      <c r="E6" s="360">
        <f>+E54</f>
        <v>0</v>
      </c>
      <c r="F6" s="360">
        <f>+F54</f>
        <v>0</v>
      </c>
      <c r="G6" s="360">
        <f>+G54</f>
        <v>0</v>
      </c>
      <c r="H6" s="348" t="s">
        <v>1115</v>
      </c>
    </row>
    <row r="7" spans="1:21" ht="20.100000000000001" customHeight="1">
      <c r="A7" s="348">
        <f>+A6+1</f>
        <v>2</v>
      </c>
      <c r="B7" s="348" t="s">
        <v>799</v>
      </c>
      <c r="D7" s="349"/>
      <c r="E7" s="360">
        <f>+E77</f>
        <v>0</v>
      </c>
      <c r="F7" s="360">
        <f>+F77</f>
        <v>0</v>
      </c>
      <c r="G7" s="360">
        <f>+G77</f>
        <v>0</v>
      </c>
      <c r="H7" s="348" t="s">
        <v>1116</v>
      </c>
    </row>
    <row r="8" spans="1:21" ht="20.100000000000001" customHeight="1">
      <c r="A8" s="348">
        <f>+A7+1</f>
        <v>3</v>
      </c>
      <c r="B8" s="348" t="s">
        <v>781</v>
      </c>
      <c r="D8" s="349"/>
      <c r="E8" s="360">
        <f>E29</f>
        <v>0</v>
      </c>
      <c r="F8" s="360">
        <f>F29</f>
        <v>0</v>
      </c>
      <c r="G8" s="360">
        <f>G29</f>
        <v>0</v>
      </c>
      <c r="H8" s="348" t="s">
        <v>1117</v>
      </c>
    </row>
    <row r="9" spans="1:21" ht="20.100000000000001" customHeight="1">
      <c r="A9" s="348">
        <f>+A8+1</f>
        <v>4</v>
      </c>
      <c r="B9" s="348" t="s">
        <v>1118</v>
      </c>
      <c r="D9" s="349"/>
      <c r="E9" s="360">
        <f>SUM(E6:E8)</f>
        <v>0</v>
      </c>
      <c r="F9" s="360">
        <f>SUM(F6:F8)</f>
        <v>0</v>
      </c>
      <c r="G9" s="360">
        <f>SUM(G6:G8)</f>
        <v>0</v>
      </c>
      <c r="H9" s="361" t="s">
        <v>1119</v>
      </c>
    </row>
    <row r="10" spans="1:21">
      <c r="B10" s="348"/>
      <c r="D10" s="361"/>
      <c r="H10" s="360"/>
    </row>
    <row r="11" spans="1:21">
      <c r="B11" s="348"/>
      <c r="H11" s="363"/>
    </row>
    <row r="12" spans="1:21" ht="33" customHeight="1">
      <c r="B12" s="740" t="s">
        <v>1120</v>
      </c>
      <c r="C12" s="740"/>
      <c r="D12" s="740"/>
      <c r="E12" s="740"/>
      <c r="F12" s="740"/>
      <c r="G12" s="740"/>
      <c r="H12" s="740"/>
    </row>
    <row r="13" spans="1:21">
      <c r="C13" s="349"/>
      <c r="D13" s="351"/>
      <c r="E13" s="351"/>
      <c r="F13" s="351"/>
      <c r="G13" s="351"/>
    </row>
    <row r="14" spans="1:21">
      <c r="B14" s="351" t="s">
        <v>354</v>
      </c>
      <c r="C14" s="351" t="s">
        <v>356</v>
      </c>
      <c r="D14" s="351" t="s">
        <v>358</v>
      </c>
      <c r="E14" s="351" t="s">
        <v>360</v>
      </c>
      <c r="F14" s="351" t="s">
        <v>362</v>
      </c>
      <c r="G14" s="351" t="s">
        <v>364</v>
      </c>
      <c r="H14" s="351" t="s">
        <v>366</v>
      </c>
    </row>
    <row r="15" spans="1:21" ht="31.5">
      <c r="B15" s="368" t="s">
        <v>781</v>
      </c>
      <c r="C15" s="590" t="s">
        <v>21</v>
      </c>
      <c r="D15" s="590" t="s">
        <v>1121</v>
      </c>
      <c r="E15" s="590" t="s">
        <v>774</v>
      </c>
      <c r="F15" s="590" t="s">
        <v>775</v>
      </c>
      <c r="G15" s="590" t="s">
        <v>776</v>
      </c>
      <c r="H15" s="590" t="s">
        <v>1122</v>
      </c>
    </row>
    <row r="16" spans="1:21" ht="30" customHeight="1">
      <c r="A16" s="348">
        <f>A9+1</f>
        <v>5</v>
      </c>
      <c r="B16" s="591" t="s">
        <v>1123</v>
      </c>
      <c r="C16" s="592"/>
      <c r="D16" s="593"/>
      <c r="E16" s="593"/>
      <c r="F16" s="593"/>
      <c r="G16" s="593"/>
      <c r="H16" s="594"/>
    </row>
    <row r="17" spans="1:8" ht="30" customHeight="1">
      <c r="A17" s="348">
        <f t="shared" ref="A17:A29" si="0">+A16+1</f>
        <v>6</v>
      </c>
      <c r="B17" s="595"/>
      <c r="C17" s="592"/>
      <c r="D17" s="593"/>
      <c r="E17" s="593"/>
      <c r="F17" s="593"/>
      <c r="G17" s="593"/>
      <c r="H17" s="594"/>
    </row>
    <row r="18" spans="1:8" ht="30" customHeight="1">
      <c r="A18" s="348">
        <f t="shared" si="0"/>
        <v>7</v>
      </c>
      <c r="B18" s="595"/>
      <c r="C18" s="592"/>
      <c r="D18" s="593"/>
      <c r="E18" s="593"/>
      <c r="F18" s="593"/>
      <c r="G18" s="593"/>
      <c r="H18" s="594"/>
    </row>
    <row r="19" spans="1:8" ht="30" customHeight="1">
      <c r="A19" s="348">
        <f t="shared" si="0"/>
        <v>8</v>
      </c>
      <c r="B19" s="595"/>
      <c r="C19" s="592"/>
      <c r="D19" s="593"/>
      <c r="E19" s="593"/>
      <c r="F19" s="593"/>
      <c r="G19" s="593"/>
      <c r="H19" s="594"/>
    </row>
    <row r="20" spans="1:8" ht="30" customHeight="1">
      <c r="A20" s="348">
        <f t="shared" si="0"/>
        <v>9</v>
      </c>
      <c r="B20" s="595"/>
      <c r="C20" s="592"/>
      <c r="D20" s="593"/>
      <c r="E20" s="593"/>
      <c r="F20" s="593"/>
      <c r="G20" s="593"/>
      <c r="H20" s="594"/>
    </row>
    <row r="21" spans="1:8" ht="30" customHeight="1">
      <c r="A21" s="348">
        <f t="shared" si="0"/>
        <v>10</v>
      </c>
      <c r="B21" s="595"/>
      <c r="C21" s="592"/>
      <c r="D21" s="593"/>
      <c r="E21" s="593"/>
      <c r="F21" s="593"/>
      <c r="G21" s="593"/>
      <c r="H21" s="594"/>
    </row>
    <row r="22" spans="1:8" ht="30" customHeight="1">
      <c r="A22" s="348">
        <f t="shared" si="0"/>
        <v>11</v>
      </c>
      <c r="B22" s="595"/>
      <c r="C22" s="592"/>
      <c r="D22" s="593"/>
      <c r="E22" s="593"/>
      <c r="F22" s="593"/>
      <c r="G22" s="593"/>
      <c r="H22" s="594"/>
    </row>
    <row r="23" spans="1:8" ht="30" customHeight="1">
      <c r="A23" s="348">
        <f t="shared" si="0"/>
        <v>12</v>
      </c>
      <c r="B23" s="595"/>
      <c r="C23" s="592"/>
      <c r="D23" s="596"/>
      <c r="E23" s="593"/>
      <c r="F23" s="593"/>
      <c r="G23" s="593"/>
      <c r="H23" s="594"/>
    </row>
    <row r="24" spans="1:8" ht="30" customHeight="1">
      <c r="A24" s="348">
        <f t="shared" si="0"/>
        <v>13</v>
      </c>
      <c r="B24" s="595"/>
      <c r="C24" s="592"/>
      <c r="D24" s="593"/>
      <c r="E24" s="593"/>
      <c r="F24" s="593"/>
      <c r="G24" s="593"/>
      <c r="H24" s="594"/>
    </row>
    <row r="25" spans="1:8" ht="30" customHeight="1">
      <c r="A25" s="348">
        <f t="shared" si="0"/>
        <v>14</v>
      </c>
      <c r="B25" s="597" t="s">
        <v>1124</v>
      </c>
      <c r="C25" s="598">
        <f>E25</f>
        <v>0</v>
      </c>
      <c r="D25" s="598"/>
      <c r="E25" s="598">
        <v>0</v>
      </c>
      <c r="F25" s="598"/>
      <c r="G25" s="598"/>
      <c r="H25" s="599" t="s">
        <v>1125</v>
      </c>
    </row>
    <row r="26" spans="1:8" ht="20.100000000000001" customHeight="1">
      <c r="A26" s="348">
        <f t="shared" si="0"/>
        <v>15</v>
      </c>
      <c r="B26" s="600" t="s">
        <v>1126</v>
      </c>
      <c r="C26" s="601">
        <f>SUBTOTAL(9,C16:C25)</f>
        <v>0</v>
      </c>
      <c r="D26" s="601">
        <f>SUM(D16:D25)</f>
        <v>0</v>
      </c>
      <c r="E26" s="601">
        <f>SUM(E16:E25)</f>
        <v>0</v>
      </c>
      <c r="F26" s="601">
        <f>SUM(F16:F25)</f>
        <v>0</v>
      </c>
      <c r="G26" s="601">
        <f>SUM(G16:G25)</f>
        <v>0</v>
      </c>
      <c r="H26" s="602"/>
    </row>
    <row r="27" spans="1:8" ht="20.100000000000001" customHeight="1">
      <c r="A27" s="348">
        <f t="shared" si="0"/>
        <v>16</v>
      </c>
      <c r="B27" s="603" t="s">
        <v>1127</v>
      </c>
      <c r="C27" s="604"/>
      <c r="D27" s="604"/>
      <c r="E27" s="604"/>
      <c r="F27" s="605"/>
      <c r="G27" s="606"/>
      <c r="H27" s="594"/>
    </row>
    <row r="28" spans="1:8" ht="20.100000000000001" customHeight="1">
      <c r="A28" s="348">
        <f t="shared" si="0"/>
        <v>17</v>
      </c>
      <c r="B28" s="607" t="s">
        <v>1128</v>
      </c>
      <c r="C28" s="608"/>
      <c r="D28" s="608"/>
      <c r="E28" s="608"/>
      <c r="F28" s="608"/>
      <c r="G28" s="608"/>
      <c r="H28" s="609"/>
    </row>
    <row r="29" spans="1:8" ht="20.100000000000001" customHeight="1" thickBot="1">
      <c r="A29" s="348">
        <f t="shared" si="0"/>
        <v>18</v>
      </c>
      <c r="B29" s="610" t="s">
        <v>21</v>
      </c>
      <c r="C29" s="611">
        <f>+C26-C27-C28</f>
        <v>0</v>
      </c>
      <c r="D29" s="611">
        <f>+D26-D27-D28</f>
        <v>0</v>
      </c>
      <c r="E29" s="611">
        <f>+E26-E27-E28</f>
        <v>0</v>
      </c>
      <c r="F29" s="611">
        <f>+F26-F27-F28</f>
        <v>0</v>
      </c>
      <c r="G29" s="611">
        <f>+G26-G27-G28</f>
        <v>0</v>
      </c>
      <c r="H29" s="612"/>
    </row>
    <row r="30" spans="1:8" ht="20.100000000000001" customHeight="1" thickTop="1">
      <c r="B30" s="348" t="s">
        <v>1129</v>
      </c>
      <c r="C30" s="361"/>
      <c r="D30" s="613"/>
      <c r="E30" s="351"/>
      <c r="G30" s="614"/>
    </row>
    <row r="31" spans="1:8" ht="20.100000000000001" customHeight="1">
      <c r="B31" s="741" t="s">
        <v>1130</v>
      </c>
      <c r="C31" s="741"/>
      <c r="D31" s="741"/>
      <c r="E31" s="741"/>
      <c r="F31" s="741"/>
      <c r="G31" s="741"/>
    </row>
    <row r="32" spans="1:8" ht="20.100000000000001" customHeight="1">
      <c r="B32" s="368" t="s">
        <v>1131</v>
      </c>
      <c r="F32" s="351"/>
      <c r="G32" s="351"/>
    </row>
    <row r="33" spans="1:8" ht="20.100000000000001" customHeight="1">
      <c r="B33" s="368" t="s">
        <v>1132</v>
      </c>
      <c r="F33" s="351"/>
      <c r="G33" s="351"/>
    </row>
    <row r="34" spans="1:8" ht="20.100000000000001" customHeight="1">
      <c r="B34" s="368" t="s">
        <v>1133</v>
      </c>
      <c r="F34" s="351"/>
      <c r="G34" s="351"/>
    </row>
    <row r="35" spans="1:8" ht="35.25" customHeight="1">
      <c r="B35" s="741" t="s">
        <v>1134</v>
      </c>
      <c r="C35" s="741"/>
      <c r="D35" s="741"/>
      <c r="E35" s="741"/>
      <c r="F35" s="741"/>
      <c r="G35" s="741"/>
      <c r="H35" s="615"/>
    </row>
    <row r="36" spans="1:8">
      <c r="B36" s="615"/>
      <c r="C36" s="615"/>
      <c r="D36" s="615"/>
      <c r="E36" s="615"/>
      <c r="F36" s="615"/>
      <c r="G36" s="615"/>
      <c r="H36" s="615"/>
    </row>
    <row r="37" spans="1:8">
      <c r="B37" s="615"/>
      <c r="C37" s="615"/>
      <c r="D37" s="615"/>
      <c r="E37" s="615"/>
      <c r="F37" s="615"/>
      <c r="G37" s="615"/>
      <c r="H37" s="615"/>
    </row>
    <row r="38" spans="1:8">
      <c r="A38" s="737" t="s">
        <v>1114</v>
      </c>
      <c r="B38" s="738"/>
      <c r="C38" s="738"/>
      <c r="D38" s="738"/>
      <c r="E38" s="738"/>
      <c r="F38" s="738"/>
      <c r="G38" s="738"/>
      <c r="H38" s="358" t="s">
        <v>662</v>
      </c>
    </row>
    <row r="39" spans="1:8">
      <c r="A39" s="734" t="str">
        <f>'Attachment O'!$K$3</f>
        <v>For the 12 months ended 12/31/2020</v>
      </c>
      <c r="B39" s="742"/>
      <c r="C39" s="742"/>
      <c r="D39" s="742"/>
      <c r="E39" s="742"/>
      <c r="F39" s="742"/>
      <c r="G39" s="742"/>
      <c r="H39" s="742"/>
    </row>
    <row r="40" spans="1:8">
      <c r="B40" s="348"/>
    </row>
    <row r="41" spans="1:8">
      <c r="B41" s="351" t="s">
        <v>354</v>
      </c>
      <c r="C41" s="351" t="s">
        <v>356</v>
      </c>
      <c r="D41" s="351" t="s">
        <v>358</v>
      </c>
      <c r="E41" s="351" t="s">
        <v>360</v>
      </c>
      <c r="F41" s="351" t="s">
        <v>362</v>
      </c>
      <c r="G41" s="351" t="s">
        <v>364</v>
      </c>
      <c r="H41" s="351" t="s">
        <v>366</v>
      </c>
    </row>
    <row r="42" spans="1:8" ht="31.5">
      <c r="B42" s="348" t="s">
        <v>1135</v>
      </c>
      <c r="C42" s="590" t="s">
        <v>21</v>
      </c>
      <c r="D42" s="590" t="s">
        <v>1121</v>
      </c>
      <c r="E42" s="590" t="s">
        <v>774</v>
      </c>
      <c r="F42" s="590" t="s">
        <v>775</v>
      </c>
      <c r="G42" s="590" t="s">
        <v>776</v>
      </c>
      <c r="H42" s="590" t="s">
        <v>1122</v>
      </c>
    </row>
    <row r="43" spans="1:8" ht="30" customHeight="1">
      <c r="A43" s="348">
        <f>A29+1</f>
        <v>19</v>
      </c>
      <c r="B43" s="595" t="s">
        <v>1123</v>
      </c>
      <c r="C43" s="592"/>
      <c r="D43" s="593"/>
      <c r="E43" s="593"/>
      <c r="F43" s="593"/>
      <c r="G43" s="593"/>
      <c r="H43" s="594"/>
    </row>
    <row r="44" spans="1:8" ht="30" customHeight="1">
      <c r="A44" s="348">
        <f t="shared" ref="A44:A54" si="1">+A43+1</f>
        <v>20</v>
      </c>
      <c r="B44" s="595"/>
      <c r="C44" s="592"/>
      <c r="D44" s="593"/>
      <c r="E44" s="593"/>
      <c r="F44" s="593"/>
      <c r="G44" s="593"/>
      <c r="H44" s="594"/>
    </row>
    <row r="45" spans="1:8" ht="30" customHeight="1">
      <c r="A45" s="348">
        <f t="shared" si="1"/>
        <v>21</v>
      </c>
      <c r="B45" s="595"/>
      <c r="C45" s="592"/>
      <c r="D45" s="593"/>
      <c r="E45" s="593"/>
      <c r="F45" s="593"/>
      <c r="G45" s="593"/>
      <c r="H45" s="594"/>
    </row>
    <row r="46" spans="1:8" ht="30" customHeight="1">
      <c r="A46" s="348">
        <f t="shared" si="1"/>
        <v>22</v>
      </c>
      <c r="B46" s="595"/>
      <c r="C46" s="593"/>
      <c r="D46" s="593"/>
      <c r="E46" s="593"/>
      <c r="F46" s="593"/>
      <c r="G46" s="593"/>
      <c r="H46" s="594"/>
    </row>
    <row r="47" spans="1:8" ht="30" customHeight="1">
      <c r="A47" s="348">
        <f t="shared" si="1"/>
        <v>23</v>
      </c>
      <c r="B47" s="595"/>
      <c r="C47" s="593"/>
      <c r="D47" s="593"/>
      <c r="E47" s="593"/>
      <c r="F47" s="593"/>
      <c r="G47" s="593"/>
      <c r="H47" s="594"/>
    </row>
    <row r="48" spans="1:8" ht="30" customHeight="1">
      <c r="A48" s="348">
        <f t="shared" si="1"/>
        <v>24</v>
      </c>
      <c r="B48" s="616"/>
      <c r="C48" s="617"/>
      <c r="D48" s="617"/>
      <c r="E48" s="617"/>
      <c r="F48" s="617"/>
      <c r="G48" s="617"/>
      <c r="H48" s="594"/>
    </row>
    <row r="49" spans="1:8" ht="30" customHeight="1">
      <c r="A49" s="348">
        <f t="shared" si="1"/>
        <v>25</v>
      </c>
      <c r="B49" s="618"/>
      <c r="C49" s="617"/>
      <c r="D49" s="617"/>
      <c r="E49" s="617"/>
      <c r="F49" s="617"/>
      <c r="G49" s="617"/>
      <c r="H49" s="594"/>
    </row>
    <row r="50" spans="1:8" ht="30" customHeight="1">
      <c r="A50" s="348">
        <f t="shared" si="1"/>
        <v>26</v>
      </c>
      <c r="B50" s="597" t="s">
        <v>1136</v>
      </c>
      <c r="C50" s="619">
        <f>E50</f>
        <v>0</v>
      </c>
      <c r="D50" s="619"/>
      <c r="E50" s="619">
        <v>0</v>
      </c>
      <c r="F50" s="619">
        <v>0</v>
      </c>
      <c r="G50" s="619"/>
      <c r="H50" s="599" t="s">
        <v>1125</v>
      </c>
    </row>
    <row r="51" spans="1:8" ht="20.100000000000001" customHeight="1">
      <c r="A51" s="348">
        <f t="shared" si="1"/>
        <v>27</v>
      </c>
      <c r="B51" s="620" t="s">
        <v>1137</v>
      </c>
      <c r="C51" s="601">
        <f>SUBTOTAL(9,C43:C50)</f>
        <v>0</v>
      </c>
      <c r="D51" s="601">
        <f>SUM(D43:D50)</f>
        <v>0</v>
      </c>
      <c r="E51" s="601">
        <f>SUM(E43:E50)</f>
        <v>0</v>
      </c>
      <c r="F51" s="601">
        <f>SUM(F43:F50)</f>
        <v>0</v>
      </c>
      <c r="G51" s="601">
        <f>SUM(G43:G50)</f>
        <v>0</v>
      </c>
      <c r="H51" s="602"/>
    </row>
    <row r="52" spans="1:8" ht="20.100000000000001" customHeight="1">
      <c r="A52" s="348">
        <f t="shared" si="1"/>
        <v>28</v>
      </c>
      <c r="B52" s="620" t="s">
        <v>1127</v>
      </c>
      <c r="C52" s="604"/>
      <c r="D52" s="604"/>
      <c r="E52" s="604"/>
      <c r="F52" s="604"/>
      <c r="G52" s="604"/>
      <c r="H52" s="594"/>
    </row>
    <row r="53" spans="1:8" ht="20.100000000000001" customHeight="1">
      <c r="A53" s="348">
        <f t="shared" si="1"/>
        <v>29</v>
      </c>
      <c r="B53" s="621" t="s">
        <v>1128</v>
      </c>
      <c r="C53" s="608"/>
      <c r="D53" s="608"/>
      <c r="E53" s="608"/>
      <c r="F53" s="608"/>
      <c r="G53" s="608"/>
      <c r="H53" s="609"/>
    </row>
    <row r="54" spans="1:8" ht="20.100000000000001" customHeight="1" thickBot="1">
      <c r="A54" s="348">
        <f t="shared" si="1"/>
        <v>30</v>
      </c>
      <c r="B54" s="610" t="s">
        <v>21</v>
      </c>
      <c r="C54" s="611">
        <f>+C51-C52-C53</f>
        <v>0</v>
      </c>
      <c r="D54" s="611">
        <f>+D51-D52-D53</f>
        <v>0</v>
      </c>
      <c r="E54" s="611">
        <f>+E51-E52-E53</f>
        <v>0</v>
      </c>
      <c r="F54" s="611">
        <f>+F51-F52-F53</f>
        <v>0</v>
      </c>
      <c r="G54" s="611">
        <f>+G51-G52-G53</f>
        <v>0</v>
      </c>
      <c r="H54" s="612"/>
    </row>
    <row r="55" spans="1:8" ht="20.100000000000001" customHeight="1" thickTop="1">
      <c r="B55" s="348" t="s">
        <v>1138</v>
      </c>
      <c r="D55" s="351"/>
      <c r="E55" s="613"/>
      <c r="G55" s="615"/>
    </row>
    <row r="56" spans="1:8" ht="20.100000000000001" customHeight="1">
      <c r="B56" s="741" t="s">
        <v>1130</v>
      </c>
      <c r="C56" s="741"/>
      <c r="D56" s="741"/>
      <c r="E56" s="741"/>
      <c r="F56" s="741"/>
      <c r="G56" s="741"/>
    </row>
    <row r="57" spans="1:8" ht="20.100000000000001" customHeight="1">
      <c r="B57" s="368" t="s">
        <v>1131</v>
      </c>
      <c r="F57" s="351"/>
      <c r="G57" s="351"/>
    </row>
    <row r="58" spans="1:8" ht="20.100000000000001" customHeight="1">
      <c r="B58" s="368" t="s">
        <v>1132</v>
      </c>
      <c r="F58" s="351"/>
      <c r="G58" s="351"/>
    </row>
    <row r="59" spans="1:8" ht="20.100000000000001" customHeight="1">
      <c r="B59" s="368" t="s">
        <v>1133</v>
      </c>
      <c r="F59" s="351"/>
      <c r="G59" s="351"/>
    </row>
    <row r="60" spans="1:8" ht="35.1" customHeight="1">
      <c r="B60" s="741" t="s">
        <v>1134</v>
      </c>
      <c r="C60" s="741"/>
      <c r="D60" s="741"/>
      <c r="E60" s="741"/>
      <c r="F60" s="741"/>
      <c r="G60" s="741"/>
      <c r="H60" s="615"/>
    </row>
    <row r="61" spans="1:8">
      <c r="H61" s="615"/>
    </row>
    <row r="62" spans="1:8">
      <c r="B62" s="351" t="s">
        <v>354</v>
      </c>
      <c r="C62" s="351" t="s">
        <v>356</v>
      </c>
      <c r="D62" s="351" t="s">
        <v>358</v>
      </c>
      <c r="E62" s="351" t="s">
        <v>360</v>
      </c>
      <c r="F62" s="351" t="s">
        <v>362</v>
      </c>
      <c r="G62" s="351" t="s">
        <v>364</v>
      </c>
      <c r="H62" s="351" t="s">
        <v>366</v>
      </c>
    </row>
    <row r="63" spans="1:8" ht="31.5">
      <c r="B63" s="348" t="s">
        <v>1139</v>
      </c>
      <c r="C63" s="590" t="s">
        <v>21</v>
      </c>
      <c r="D63" s="590" t="s">
        <v>1121</v>
      </c>
      <c r="E63" s="590" t="s">
        <v>774</v>
      </c>
      <c r="F63" s="590" t="s">
        <v>775</v>
      </c>
      <c r="G63" s="590" t="s">
        <v>776</v>
      </c>
      <c r="H63" s="590" t="s">
        <v>1122</v>
      </c>
    </row>
    <row r="64" spans="1:8" ht="30" customHeight="1">
      <c r="A64" s="348">
        <f>A54+1</f>
        <v>31</v>
      </c>
      <c r="B64" s="622" t="s">
        <v>1123</v>
      </c>
      <c r="C64" s="592"/>
      <c r="D64" s="593"/>
      <c r="E64" s="593"/>
      <c r="F64" s="593"/>
      <c r="G64" s="593"/>
      <c r="H64" s="594"/>
    </row>
    <row r="65" spans="1:10" ht="30" customHeight="1">
      <c r="A65" s="348">
        <f t="shared" ref="A65:A77" si="2">+A64+1</f>
        <v>32</v>
      </c>
      <c r="B65" s="595"/>
      <c r="C65" s="592"/>
      <c r="D65" s="593"/>
      <c r="E65" s="593"/>
      <c r="F65" s="593"/>
      <c r="G65" s="593"/>
      <c r="H65" s="594"/>
      <c r="J65" s="623"/>
    </row>
    <row r="66" spans="1:10" ht="30" customHeight="1">
      <c r="A66" s="348">
        <f t="shared" si="2"/>
        <v>33</v>
      </c>
      <c r="B66" s="595"/>
      <c r="C66" s="592"/>
      <c r="D66" s="593"/>
      <c r="E66" s="593"/>
      <c r="F66" s="593"/>
      <c r="G66" s="593"/>
      <c r="H66" s="594"/>
    </row>
    <row r="67" spans="1:10" ht="30" customHeight="1">
      <c r="A67" s="348">
        <f t="shared" si="2"/>
        <v>34</v>
      </c>
      <c r="B67" s="595"/>
      <c r="C67" s="592"/>
      <c r="D67" s="593"/>
      <c r="E67" s="593"/>
      <c r="F67" s="593"/>
      <c r="G67" s="593"/>
      <c r="H67" s="594"/>
    </row>
    <row r="68" spans="1:10" ht="30" customHeight="1">
      <c r="A68" s="348">
        <f t="shared" si="2"/>
        <v>35</v>
      </c>
      <c r="B68" s="595"/>
      <c r="C68" s="593"/>
      <c r="D68" s="617"/>
      <c r="E68" s="593"/>
      <c r="F68" s="593"/>
      <c r="G68" s="593"/>
      <c r="H68" s="594"/>
    </row>
    <row r="69" spans="1:10" ht="30" customHeight="1">
      <c r="A69" s="348">
        <f t="shared" si="2"/>
        <v>36</v>
      </c>
      <c r="B69" s="595"/>
      <c r="C69" s="593"/>
      <c r="D69" s="617"/>
      <c r="E69" s="593"/>
      <c r="F69" s="593"/>
      <c r="G69" s="593"/>
      <c r="H69" s="594"/>
    </row>
    <row r="70" spans="1:10" ht="30" customHeight="1">
      <c r="A70" s="348">
        <f t="shared" si="2"/>
        <v>37</v>
      </c>
      <c r="B70" s="595"/>
      <c r="C70" s="593"/>
      <c r="D70" s="617"/>
      <c r="E70" s="593"/>
      <c r="F70" s="593"/>
      <c r="G70" s="593"/>
      <c r="H70" s="594"/>
    </row>
    <row r="71" spans="1:10" ht="30" customHeight="1">
      <c r="A71" s="348">
        <f t="shared" si="2"/>
        <v>38</v>
      </c>
      <c r="B71" s="595"/>
      <c r="C71" s="593"/>
      <c r="D71" s="596"/>
      <c r="E71" s="593"/>
      <c r="F71" s="593"/>
      <c r="G71" s="593"/>
      <c r="H71" s="594"/>
    </row>
    <row r="72" spans="1:10" ht="30" customHeight="1">
      <c r="A72" s="348">
        <f t="shared" si="2"/>
        <v>39</v>
      </c>
      <c r="B72" s="595"/>
      <c r="C72" s="593"/>
      <c r="D72" s="593"/>
      <c r="E72" s="593"/>
      <c r="F72" s="593"/>
      <c r="G72" s="593"/>
      <c r="H72" s="594"/>
    </row>
    <row r="73" spans="1:10" ht="30" customHeight="1">
      <c r="A73" s="348">
        <f t="shared" si="2"/>
        <v>40</v>
      </c>
      <c r="B73" s="597" t="s">
        <v>1140</v>
      </c>
      <c r="C73" s="619">
        <f>E73</f>
        <v>0</v>
      </c>
      <c r="D73" s="619"/>
      <c r="E73" s="619">
        <v>0</v>
      </c>
      <c r="F73" s="619"/>
      <c r="G73" s="619"/>
      <c r="H73" s="599" t="s">
        <v>1125</v>
      </c>
    </row>
    <row r="74" spans="1:10" ht="20.100000000000001" customHeight="1">
      <c r="A74" s="348">
        <f t="shared" si="2"/>
        <v>41</v>
      </c>
      <c r="B74" s="600" t="s">
        <v>1141</v>
      </c>
      <c r="C74" s="601">
        <f>SUBTOTAL(9,C64:C73)</f>
        <v>0</v>
      </c>
      <c r="D74" s="601">
        <f>SUM(D64:D73)</f>
        <v>0</v>
      </c>
      <c r="E74" s="601">
        <f>SUM(E64:E73)</f>
        <v>0</v>
      </c>
      <c r="F74" s="601">
        <f>SUM(F64:F73)</f>
        <v>0</v>
      </c>
      <c r="G74" s="601">
        <f>SUM(G64:G73)</f>
        <v>0</v>
      </c>
      <c r="H74" s="594"/>
    </row>
    <row r="75" spans="1:10" ht="20.100000000000001" customHeight="1">
      <c r="A75" s="348">
        <f t="shared" si="2"/>
        <v>42</v>
      </c>
      <c r="B75" s="600" t="s">
        <v>1127</v>
      </c>
      <c r="C75" s="605"/>
      <c r="D75" s="605"/>
      <c r="E75" s="605"/>
      <c r="F75" s="605"/>
      <c r="G75" s="605"/>
      <c r="H75" s="594"/>
    </row>
    <row r="76" spans="1:10" ht="20.100000000000001" customHeight="1">
      <c r="A76" s="348">
        <f t="shared" si="2"/>
        <v>43</v>
      </c>
      <c r="B76" s="624" t="s">
        <v>1128</v>
      </c>
      <c r="C76" s="625"/>
      <c r="D76" s="625"/>
      <c r="E76" s="625"/>
      <c r="F76" s="625"/>
      <c r="G76" s="625"/>
      <c r="H76" s="609"/>
    </row>
    <row r="77" spans="1:10" ht="20.100000000000001" customHeight="1" thickBot="1">
      <c r="A77" s="348">
        <f t="shared" si="2"/>
        <v>44</v>
      </c>
      <c r="B77" s="610" t="s">
        <v>21</v>
      </c>
      <c r="C77" s="626">
        <f>+C74-C75-C76</f>
        <v>0</v>
      </c>
      <c r="D77" s="626">
        <f>+D74-D75-D76</f>
        <v>0</v>
      </c>
      <c r="E77" s="626">
        <f>+E74-E75-E76</f>
        <v>0</v>
      </c>
      <c r="F77" s="626">
        <f>+F74-F75-F76</f>
        <v>0</v>
      </c>
      <c r="G77" s="626">
        <f>+G74-G75-G76</f>
        <v>0</v>
      </c>
      <c r="H77" s="612"/>
    </row>
    <row r="78" spans="1:10" ht="20.100000000000001" customHeight="1" thickTop="1">
      <c r="B78" s="348" t="s">
        <v>1142</v>
      </c>
      <c r="E78" s="351"/>
      <c r="F78" s="351"/>
      <c r="H78" s="627"/>
    </row>
    <row r="79" spans="1:10" ht="20.100000000000001" customHeight="1">
      <c r="B79" s="741" t="s">
        <v>1130</v>
      </c>
      <c r="C79" s="741"/>
      <c r="D79" s="741"/>
      <c r="E79" s="741"/>
      <c r="F79" s="741"/>
      <c r="G79" s="741"/>
    </row>
    <row r="80" spans="1:10" ht="20.100000000000001" customHeight="1">
      <c r="B80" s="368" t="s">
        <v>1131</v>
      </c>
      <c r="F80" s="351"/>
      <c r="G80" s="351"/>
    </row>
    <row r="81" spans="2:9" ht="20.100000000000001" customHeight="1">
      <c r="B81" s="368" t="s">
        <v>1132</v>
      </c>
      <c r="F81" s="351"/>
      <c r="G81" s="351"/>
    </row>
    <row r="82" spans="2:9" ht="20.100000000000001" customHeight="1">
      <c r="B82" s="368" t="s">
        <v>1133</v>
      </c>
      <c r="F82" s="351"/>
      <c r="G82" s="351"/>
    </row>
    <row r="83" spans="2:9" ht="35.1" customHeight="1">
      <c r="B83" s="741" t="s">
        <v>1134</v>
      </c>
      <c r="C83" s="741"/>
      <c r="D83" s="741"/>
      <c r="E83" s="741"/>
      <c r="F83" s="741"/>
      <c r="G83" s="741"/>
    </row>
    <row r="85" spans="2:9" ht="15.75" customHeight="1">
      <c r="B85" s="628"/>
      <c r="C85" s="628"/>
      <c r="D85" s="628"/>
      <c r="E85" s="628"/>
      <c r="F85" s="628"/>
      <c r="G85" s="628"/>
      <c r="H85" s="628"/>
    </row>
    <row r="86" spans="2:9">
      <c r="B86" s="734"/>
      <c r="C86" s="734"/>
      <c r="D86" s="734"/>
      <c r="E86" s="734"/>
      <c r="F86" s="734"/>
      <c r="G86" s="734"/>
      <c r="H86" s="734"/>
    </row>
    <row r="87" spans="2:9">
      <c r="B87" s="348"/>
    </row>
    <row r="88" spans="2:9">
      <c r="B88" s="348"/>
    </row>
    <row r="89" spans="2:9" ht="15.75" customHeight="1">
      <c r="B89" s="348"/>
    </row>
    <row r="90" spans="2:9">
      <c r="B90" s="348"/>
      <c r="D90" s="374"/>
      <c r="E90" s="374"/>
      <c r="F90" s="374"/>
      <c r="G90" s="374"/>
      <c r="H90" s="374"/>
      <c r="I90" s="375"/>
    </row>
    <row r="91" spans="2:9">
      <c r="B91" s="348"/>
      <c r="D91" s="374"/>
      <c r="E91" s="374"/>
      <c r="F91" s="374"/>
      <c r="G91" s="374"/>
      <c r="H91" s="374"/>
      <c r="I91" s="375"/>
    </row>
    <row r="92" spans="2:9">
      <c r="D92" s="351"/>
      <c r="E92" s="351"/>
    </row>
    <row r="93" spans="2:9">
      <c r="D93" s="360"/>
      <c r="E93" s="360"/>
    </row>
    <row r="94" spans="2:9">
      <c r="D94" s="360"/>
      <c r="E94" s="360"/>
    </row>
    <row r="95" spans="2:9">
      <c r="D95" s="360"/>
      <c r="E95" s="360"/>
    </row>
    <row r="96" spans="2:9">
      <c r="D96" s="360"/>
      <c r="E96" s="360"/>
    </row>
    <row r="97" spans="2:5">
      <c r="D97" s="360"/>
      <c r="E97" s="360"/>
    </row>
    <row r="98" spans="2:5">
      <c r="D98" s="360"/>
      <c r="E98" s="360"/>
    </row>
    <row r="99" spans="2:5">
      <c r="D99" s="360"/>
      <c r="E99" s="360"/>
    </row>
    <row r="100" spans="2:5">
      <c r="D100" s="360"/>
      <c r="E100" s="360"/>
    </row>
    <row r="101" spans="2:5">
      <c r="D101" s="360"/>
      <c r="E101" s="360"/>
    </row>
    <row r="102" spans="2:5">
      <c r="D102" s="360"/>
      <c r="E102" s="360"/>
    </row>
    <row r="103" spans="2:5">
      <c r="B103" s="348"/>
      <c r="D103" s="360"/>
      <c r="E103" s="360"/>
    </row>
    <row r="104" spans="2:5">
      <c r="D104" s="360"/>
      <c r="E104" s="360"/>
    </row>
    <row r="105" spans="2:5">
      <c r="B105" s="348"/>
      <c r="D105" s="360"/>
      <c r="E105" s="360"/>
    </row>
    <row r="209" spans="9:9">
      <c r="I209" s="376"/>
    </row>
  </sheetData>
  <mergeCells count="12">
    <mergeCell ref="B86:H86"/>
    <mergeCell ref="A1:G1"/>
    <mergeCell ref="B2:H2"/>
    <mergeCell ref="B12:H12"/>
    <mergeCell ref="B31:G31"/>
    <mergeCell ref="B35:G35"/>
    <mergeCell ref="A38:G38"/>
    <mergeCell ref="A39:H39"/>
    <mergeCell ref="B56:G56"/>
    <mergeCell ref="B60:G60"/>
    <mergeCell ref="B79:G79"/>
    <mergeCell ref="B83:G83"/>
  </mergeCells>
  <printOptions horizontalCentered="1"/>
  <pageMargins left="0.25" right="0.25" top="0.5" bottom="0.5" header="0.3" footer="0.3"/>
  <pageSetup scale="47" fitToHeight="0" orientation="landscape" r:id="rId1"/>
  <headerFooter alignWithMargins="0"/>
  <rowBreaks count="2" manualBreakCount="2">
    <brk id="36" max="7" man="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CFA5-8F63-4D50-9E08-D678EC87D75E}">
  <dimension ref="A1:U212"/>
  <sheetViews>
    <sheetView view="pageBreakPreview" topLeftCell="A7" zoomScaleNormal="100" zoomScaleSheetLayoutView="100" workbookViewId="0">
      <selection activeCell="E76" sqref="E76"/>
    </sheetView>
  </sheetViews>
  <sheetFormatPr defaultColWidth="8.88671875" defaultRowHeight="15.75"/>
  <cols>
    <col min="1" max="1" width="5.109375" style="348" customWidth="1"/>
    <col min="2" max="2" width="49.33203125" style="368" customWidth="1"/>
    <col min="3" max="3" width="22.109375" style="348" customWidth="1"/>
    <col min="4" max="4" width="15.109375" style="348" customWidth="1"/>
    <col min="5" max="5" width="12.5546875" style="348" customWidth="1"/>
    <col min="6" max="6" width="11.5546875" style="348" customWidth="1"/>
    <col min="7" max="7" width="14.88671875" style="348" customWidth="1"/>
    <col min="8" max="8" width="79.44140625" style="348" customWidth="1"/>
    <col min="9" max="16384" width="8.88671875" style="349"/>
  </cols>
  <sheetData>
    <row r="1" spans="1:21" ht="18">
      <c r="A1" s="737" t="s">
        <v>1143</v>
      </c>
      <c r="B1" s="738"/>
      <c r="C1" s="738"/>
      <c r="D1" s="738"/>
      <c r="E1" s="738"/>
      <c r="F1" s="738"/>
      <c r="G1" s="738"/>
      <c r="H1" s="358" t="s">
        <v>597</v>
      </c>
      <c r="I1" s="353"/>
      <c r="J1" s="353"/>
    </row>
    <row r="2" spans="1:21" ht="18">
      <c r="B2" s="734" t="str">
        <f>'Attachment O'!$K$3</f>
        <v>For the 12 months ended 12/31/2020</v>
      </c>
      <c r="C2" s="743"/>
      <c r="D2" s="743"/>
      <c r="E2" s="743"/>
      <c r="F2" s="743"/>
      <c r="G2" s="743"/>
      <c r="H2" s="743"/>
      <c r="I2" s="353"/>
      <c r="J2" s="353"/>
    </row>
    <row r="3" spans="1:21" ht="18">
      <c r="B3" s="734"/>
      <c r="C3" s="734"/>
      <c r="D3" s="734"/>
      <c r="E3" s="734"/>
      <c r="F3" s="734"/>
      <c r="G3" s="734"/>
      <c r="H3" s="736"/>
      <c r="I3" s="353"/>
      <c r="J3" s="353"/>
    </row>
    <row r="4" spans="1:21" ht="18">
      <c r="I4" s="353"/>
      <c r="J4" s="353"/>
    </row>
    <row r="5" spans="1:21">
      <c r="D5" s="351"/>
      <c r="E5" s="351"/>
      <c r="G5" s="351"/>
    </row>
    <row r="6" spans="1:21">
      <c r="D6" s="351"/>
      <c r="E6" s="351"/>
      <c r="F6" s="351"/>
      <c r="G6" s="351"/>
      <c r="U6" s="352"/>
    </row>
    <row r="7" spans="1:21" ht="34.5" customHeight="1">
      <c r="A7" s="354" t="s">
        <v>772</v>
      </c>
      <c r="B7" s="354" t="s">
        <v>773</v>
      </c>
      <c r="C7" s="355"/>
      <c r="D7" s="356"/>
      <c r="E7" s="629" t="s">
        <v>774</v>
      </c>
      <c r="F7" s="357" t="s">
        <v>775</v>
      </c>
      <c r="G7" s="357" t="s">
        <v>776</v>
      </c>
      <c r="H7" s="355"/>
      <c r="U7" s="352"/>
    </row>
    <row r="8" spans="1:21">
      <c r="A8" s="358"/>
      <c r="L8" s="359"/>
    </row>
    <row r="9" spans="1:21" ht="20.100000000000001" customHeight="1">
      <c r="A9" s="358">
        <v>1</v>
      </c>
      <c r="B9" s="348" t="s">
        <v>1135</v>
      </c>
      <c r="E9" s="360">
        <f>+E57</f>
        <v>-137939</v>
      </c>
      <c r="F9" s="362">
        <f>+F57</f>
        <v>0</v>
      </c>
      <c r="G9" s="362">
        <f>+G57</f>
        <v>0</v>
      </c>
      <c r="H9" s="348" t="s">
        <v>1115</v>
      </c>
    </row>
    <row r="10" spans="1:21" ht="20.100000000000001" customHeight="1">
      <c r="A10" s="358">
        <f>+A9+1</f>
        <v>2</v>
      </c>
      <c r="B10" s="348" t="s">
        <v>799</v>
      </c>
      <c r="E10" s="360">
        <f>+E80</f>
        <v>-238494</v>
      </c>
      <c r="F10" s="362">
        <f>+F80</f>
        <v>0</v>
      </c>
      <c r="G10" s="362">
        <f>+G80</f>
        <v>0</v>
      </c>
      <c r="H10" s="348" t="s">
        <v>1116</v>
      </c>
    </row>
    <row r="11" spans="1:21" ht="20.100000000000001" customHeight="1">
      <c r="A11" s="358">
        <f>+A10+1</f>
        <v>3</v>
      </c>
      <c r="B11" s="348" t="s">
        <v>781</v>
      </c>
      <c r="E11" s="360">
        <f>E32</f>
        <v>376433</v>
      </c>
      <c r="F11" s="362">
        <f>F32</f>
        <v>0</v>
      </c>
      <c r="G11" s="362">
        <f>G32</f>
        <v>0</v>
      </c>
      <c r="H11" s="348" t="s">
        <v>1117</v>
      </c>
    </row>
    <row r="12" spans="1:21" ht="20.100000000000001" customHeight="1">
      <c r="A12" s="358">
        <f>+A11+1</f>
        <v>4</v>
      </c>
      <c r="B12" s="348" t="s">
        <v>1118</v>
      </c>
      <c r="E12" s="362">
        <f>SUM(E9:E11)</f>
        <v>0</v>
      </c>
      <c r="F12" s="362">
        <f>SUM(F9:F11)</f>
        <v>0</v>
      </c>
      <c r="G12" s="362">
        <f>SUM(G9:G11)</f>
        <v>0</v>
      </c>
      <c r="H12" s="361" t="s">
        <v>1119</v>
      </c>
    </row>
    <row r="13" spans="1:21">
      <c r="A13" s="358"/>
      <c r="B13" s="348"/>
      <c r="D13" s="361"/>
      <c r="H13" s="360"/>
    </row>
    <row r="14" spans="1:21">
      <c r="A14" s="358"/>
      <c r="B14" s="348"/>
      <c r="H14" s="363"/>
    </row>
    <row r="15" spans="1:21" ht="30" customHeight="1">
      <c r="A15" s="358"/>
      <c r="B15" s="740" t="s">
        <v>1120</v>
      </c>
      <c r="C15" s="740"/>
      <c r="D15" s="740"/>
      <c r="E15" s="740"/>
      <c r="F15" s="740"/>
      <c r="G15" s="740"/>
      <c r="H15" s="740"/>
    </row>
    <row r="16" spans="1:21">
      <c r="A16" s="358"/>
    </row>
    <row r="17" spans="1:8">
      <c r="A17" s="358"/>
      <c r="B17" s="351" t="s">
        <v>354</v>
      </c>
      <c r="C17" s="351" t="s">
        <v>356</v>
      </c>
      <c r="D17" s="351" t="s">
        <v>358</v>
      </c>
      <c r="E17" s="351" t="s">
        <v>360</v>
      </c>
      <c r="F17" s="351" t="s">
        <v>362</v>
      </c>
      <c r="G17" s="351" t="s">
        <v>364</v>
      </c>
      <c r="H17" s="351" t="s">
        <v>366</v>
      </c>
    </row>
    <row r="18" spans="1:8" ht="31.5">
      <c r="A18" s="358"/>
      <c r="B18" s="368" t="s">
        <v>781</v>
      </c>
      <c r="C18" s="590" t="s">
        <v>21</v>
      </c>
      <c r="D18" s="590" t="s">
        <v>1121</v>
      </c>
      <c r="E18" s="590" t="s">
        <v>774</v>
      </c>
      <c r="F18" s="590" t="s">
        <v>775</v>
      </c>
      <c r="G18" s="590" t="s">
        <v>776</v>
      </c>
      <c r="H18" s="590" t="s">
        <v>1122</v>
      </c>
    </row>
    <row r="19" spans="1:8" ht="30" customHeight="1">
      <c r="A19" s="358">
        <f>A12+1</f>
        <v>5</v>
      </c>
      <c r="B19" s="591" t="s">
        <v>1123</v>
      </c>
      <c r="C19" s="592"/>
      <c r="D19" s="593"/>
      <c r="E19" s="593"/>
      <c r="F19" s="593"/>
      <c r="G19" s="593"/>
      <c r="H19" s="594"/>
    </row>
    <row r="20" spans="1:8" ht="30" customHeight="1">
      <c r="A20" s="358">
        <f t="shared" ref="A20:A32" si="0">+A19+1</f>
        <v>6</v>
      </c>
      <c r="B20" s="595"/>
      <c r="C20" s="592"/>
      <c r="D20" s="593"/>
      <c r="E20" s="593"/>
      <c r="F20" s="593"/>
      <c r="G20" s="593"/>
      <c r="H20" s="594"/>
    </row>
    <row r="21" spans="1:8" ht="30" customHeight="1">
      <c r="A21" s="358">
        <f t="shared" si="0"/>
        <v>7</v>
      </c>
      <c r="B21" s="595"/>
      <c r="C21" s="592"/>
      <c r="D21" s="593"/>
      <c r="E21" s="593"/>
      <c r="F21" s="593"/>
      <c r="G21" s="593"/>
      <c r="H21" s="594"/>
    </row>
    <row r="22" spans="1:8" ht="30" customHeight="1">
      <c r="A22" s="358">
        <f t="shared" si="0"/>
        <v>8</v>
      </c>
      <c r="B22" s="595"/>
      <c r="C22" s="592"/>
      <c r="D22" s="593"/>
      <c r="E22" s="593"/>
      <c r="F22" s="593"/>
      <c r="G22" s="593"/>
      <c r="H22" s="594"/>
    </row>
    <row r="23" spans="1:8" ht="30" customHeight="1">
      <c r="A23" s="358">
        <f t="shared" si="0"/>
        <v>9</v>
      </c>
      <c r="B23" s="595"/>
      <c r="C23" s="592"/>
      <c r="D23" s="593"/>
      <c r="E23" s="593"/>
      <c r="F23" s="593"/>
      <c r="G23" s="593"/>
      <c r="H23" s="594"/>
    </row>
    <row r="24" spans="1:8" ht="30" customHeight="1">
      <c r="A24" s="358">
        <f t="shared" si="0"/>
        <v>10</v>
      </c>
      <c r="B24" s="595"/>
      <c r="C24" s="592"/>
      <c r="D24" s="593"/>
      <c r="E24" s="593"/>
      <c r="F24" s="593"/>
      <c r="G24" s="593"/>
      <c r="H24" s="594"/>
    </row>
    <row r="25" spans="1:8" ht="30" customHeight="1">
      <c r="A25" s="358">
        <f t="shared" si="0"/>
        <v>11</v>
      </c>
      <c r="B25" s="595"/>
      <c r="C25" s="592"/>
      <c r="D25" s="593"/>
      <c r="E25" s="593"/>
      <c r="F25" s="593"/>
      <c r="G25" s="593"/>
      <c r="H25" s="594"/>
    </row>
    <row r="26" spans="1:8" ht="30" customHeight="1">
      <c r="A26" s="358">
        <f t="shared" si="0"/>
        <v>12</v>
      </c>
      <c r="B26" s="595"/>
      <c r="C26" s="592"/>
      <c r="D26" s="596"/>
      <c r="E26" s="593"/>
      <c r="F26" s="593"/>
      <c r="G26" s="593"/>
      <c r="H26" s="594"/>
    </row>
    <row r="27" spans="1:8" ht="30" customHeight="1">
      <c r="A27" s="358">
        <f t="shared" si="0"/>
        <v>13</v>
      </c>
      <c r="B27" s="595"/>
      <c r="C27" s="592"/>
      <c r="D27" s="593"/>
      <c r="E27" s="593"/>
      <c r="F27" s="593"/>
      <c r="G27" s="593"/>
      <c r="H27" s="594"/>
    </row>
    <row r="28" spans="1:8" ht="30" customHeight="1">
      <c r="A28" s="358">
        <f t="shared" si="0"/>
        <v>14</v>
      </c>
      <c r="B28" s="597" t="s">
        <v>1124</v>
      </c>
      <c r="C28" s="598">
        <f>E28</f>
        <v>376433</v>
      </c>
      <c r="D28" s="598"/>
      <c r="E28" s="598">
        <v>376433</v>
      </c>
      <c r="F28" s="598"/>
      <c r="G28" s="598"/>
      <c r="H28" s="599" t="s">
        <v>1125</v>
      </c>
    </row>
    <row r="29" spans="1:8" ht="20.100000000000001" customHeight="1">
      <c r="A29" s="358">
        <f t="shared" si="0"/>
        <v>15</v>
      </c>
      <c r="B29" s="600" t="s">
        <v>1144</v>
      </c>
      <c r="C29" s="601">
        <f>SUBTOTAL(9,C19:C28)</f>
        <v>376433</v>
      </c>
      <c r="D29" s="601">
        <f>SUM(D19:D28)</f>
        <v>0</v>
      </c>
      <c r="E29" s="601">
        <f>SUM(E19:E28)</f>
        <v>376433</v>
      </c>
      <c r="F29" s="601">
        <f>SUM(F19:F28)</f>
        <v>0</v>
      </c>
      <c r="G29" s="601">
        <f>SUM(G19:G28)</f>
        <v>0</v>
      </c>
      <c r="H29" s="602"/>
    </row>
    <row r="30" spans="1:8" ht="20.100000000000001" customHeight="1">
      <c r="A30" s="358">
        <f t="shared" si="0"/>
        <v>16</v>
      </c>
      <c r="B30" s="603" t="s">
        <v>1127</v>
      </c>
      <c r="C30" s="604"/>
      <c r="D30" s="604"/>
      <c r="E30" s="604"/>
      <c r="F30" s="605"/>
      <c r="G30" s="606"/>
      <c r="H30" s="594"/>
    </row>
    <row r="31" spans="1:8" ht="20.100000000000001" customHeight="1">
      <c r="A31" s="358">
        <f t="shared" si="0"/>
        <v>17</v>
      </c>
      <c r="B31" s="607" t="s">
        <v>1128</v>
      </c>
      <c r="C31" s="608"/>
      <c r="D31" s="608"/>
      <c r="E31" s="608"/>
      <c r="F31" s="608"/>
      <c r="G31" s="608"/>
      <c r="H31" s="609"/>
    </row>
    <row r="32" spans="1:8" ht="20.100000000000001" customHeight="1" thickBot="1">
      <c r="A32" s="358">
        <f t="shared" si="0"/>
        <v>18</v>
      </c>
      <c r="B32" s="610" t="s">
        <v>21</v>
      </c>
      <c r="C32" s="611">
        <f>+C29-C30-C31</f>
        <v>376433</v>
      </c>
      <c r="D32" s="611">
        <f>+D29-D30-D31</f>
        <v>0</v>
      </c>
      <c r="E32" s="611">
        <f>+E29-E30-E31</f>
        <v>376433</v>
      </c>
      <c r="F32" s="611">
        <f>+F29-F30-F31</f>
        <v>0</v>
      </c>
      <c r="G32" s="611">
        <f>+G29-G30-G31</f>
        <v>0</v>
      </c>
      <c r="H32" s="612"/>
    </row>
    <row r="33" spans="1:8" ht="20.100000000000001" customHeight="1" thickTop="1">
      <c r="A33" s="358"/>
      <c r="B33" s="348" t="s">
        <v>1129</v>
      </c>
      <c r="C33" s="361"/>
      <c r="D33" s="613"/>
      <c r="E33" s="351"/>
      <c r="G33" s="614"/>
    </row>
    <row r="34" spans="1:8" ht="20.100000000000001" customHeight="1">
      <c r="A34" s="358"/>
      <c r="B34" s="741" t="s">
        <v>1130</v>
      </c>
      <c r="C34" s="741"/>
      <c r="D34" s="741"/>
      <c r="E34" s="741"/>
      <c r="F34" s="741"/>
      <c r="G34" s="741"/>
    </row>
    <row r="35" spans="1:8" ht="20.100000000000001" customHeight="1">
      <c r="A35" s="358"/>
      <c r="B35" s="368" t="s">
        <v>1131</v>
      </c>
      <c r="F35" s="351"/>
      <c r="G35" s="351"/>
    </row>
    <row r="36" spans="1:8" ht="20.100000000000001" customHeight="1">
      <c r="A36" s="358"/>
      <c r="B36" s="368" t="s">
        <v>1132</v>
      </c>
      <c r="F36" s="351"/>
      <c r="G36" s="351"/>
    </row>
    <row r="37" spans="1:8" ht="20.100000000000001" customHeight="1">
      <c r="A37" s="358"/>
      <c r="B37" s="368" t="s">
        <v>1133</v>
      </c>
      <c r="F37" s="351"/>
      <c r="G37" s="351"/>
    </row>
    <row r="38" spans="1:8" ht="33" customHeight="1">
      <c r="A38" s="358"/>
      <c r="B38" s="741" t="s">
        <v>1145</v>
      </c>
      <c r="C38" s="741"/>
      <c r="D38" s="741"/>
      <c r="E38" s="741"/>
      <c r="F38" s="741"/>
      <c r="G38" s="741"/>
      <c r="H38" s="615"/>
    </row>
    <row r="39" spans="1:8">
      <c r="A39" s="358"/>
      <c r="B39" s="615"/>
      <c r="C39" s="615"/>
      <c r="D39" s="615"/>
      <c r="E39" s="615"/>
      <c r="F39" s="615"/>
      <c r="G39" s="615"/>
      <c r="H39" s="615"/>
    </row>
    <row r="40" spans="1:8">
      <c r="A40" s="358"/>
      <c r="B40" s="615"/>
      <c r="C40" s="615"/>
      <c r="D40" s="615"/>
      <c r="E40" s="615"/>
      <c r="F40" s="615"/>
      <c r="G40" s="615"/>
      <c r="H40" s="615"/>
    </row>
    <row r="41" spans="1:8">
      <c r="A41" s="737" t="s">
        <v>1143</v>
      </c>
      <c r="B41" s="744"/>
      <c r="C41" s="744"/>
      <c r="D41" s="744"/>
      <c r="E41" s="744"/>
      <c r="F41" s="744"/>
      <c r="G41" s="744"/>
      <c r="H41" s="358" t="s">
        <v>662</v>
      </c>
    </row>
    <row r="42" spans="1:8">
      <c r="A42" s="734" t="str">
        <f>'Attachment O'!$K$3</f>
        <v>For the 12 months ended 12/31/2020</v>
      </c>
      <c r="B42" s="742"/>
      <c r="C42" s="742"/>
      <c r="D42" s="742"/>
      <c r="E42" s="742"/>
      <c r="F42" s="742"/>
      <c r="G42" s="742"/>
      <c r="H42" s="742"/>
    </row>
    <row r="43" spans="1:8">
      <c r="A43" s="358"/>
      <c r="B43" s="348"/>
    </row>
    <row r="44" spans="1:8">
      <c r="A44" s="358"/>
      <c r="B44" s="351" t="s">
        <v>354</v>
      </c>
      <c r="C44" s="351" t="s">
        <v>356</v>
      </c>
      <c r="D44" s="351" t="s">
        <v>358</v>
      </c>
      <c r="E44" s="351" t="s">
        <v>360</v>
      </c>
      <c r="F44" s="351" t="s">
        <v>362</v>
      </c>
      <c r="G44" s="351" t="s">
        <v>364</v>
      </c>
      <c r="H44" s="351" t="s">
        <v>366</v>
      </c>
    </row>
    <row r="45" spans="1:8" ht="31.5">
      <c r="A45" s="358"/>
      <c r="B45" s="368" t="s">
        <v>794</v>
      </c>
      <c r="C45" s="590" t="s">
        <v>21</v>
      </c>
      <c r="D45" s="590" t="s">
        <v>1121</v>
      </c>
      <c r="E45" s="590" t="s">
        <v>774</v>
      </c>
      <c r="F45" s="590" t="s">
        <v>775</v>
      </c>
      <c r="G45" s="590" t="s">
        <v>776</v>
      </c>
      <c r="H45" s="590" t="s">
        <v>1122</v>
      </c>
    </row>
    <row r="46" spans="1:8" ht="30" customHeight="1">
      <c r="A46" s="358">
        <f>A32+1</f>
        <v>19</v>
      </c>
      <c r="B46" s="595" t="s">
        <v>1123</v>
      </c>
      <c r="C46" s="592"/>
      <c r="D46" s="593"/>
      <c r="E46" s="593"/>
      <c r="F46" s="593"/>
      <c r="G46" s="593"/>
      <c r="H46" s="594"/>
    </row>
    <row r="47" spans="1:8" ht="30" customHeight="1">
      <c r="A47" s="358">
        <f t="shared" ref="A47:A57" si="1">+A46+1</f>
        <v>20</v>
      </c>
      <c r="B47" s="595"/>
      <c r="C47" s="592"/>
      <c r="D47" s="593"/>
      <c r="E47" s="593"/>
      <c r="F47" s="593"/>
      <c r="G47" s="593"/>
      <c r="H47" s="594"/>
    </row>
    <row r="48" spans="1:8" ht="30" customHeight="1">
      <c r="A48" s="358">
        <f t="shared" si="1"/>
        <v>21</v>
      </c>
      <c r="B48" s="595"/>
      <c r="C48" s="592"/>
      <c r="D48" s="593"/>
      <c r="E48" s="593"/>
      <c r="F48" s="593"/>
      <c r="G48" s="593"/>
      <c r="H48" s="594"/>
    </row>
    <row r="49" spans="1:8" ht="30" customHeight="1">
      <c r="A49" s="358">
        <f t="shared" si="1"/>
        <v>22</v>
      </c>
      <c r="B49" s="595"/>
      <c r="C49" s="592"/>
      <c r="D49" s="593"/>
      <c r="E49" s="593"/>
      <c r="F49" s="593"/>
      <c r="G49" s="593"/>
      <c r="H49" s="594"/>
    </row>
    <row r="50" spans="1:8" ht="30" customHeight="1">
      <c r="A50" s="358">
        <f t="shared" si="1"/>
        <v>23</v>
      </c>
      <c r="B50" s="595"/>
      <c r="C50" s="593"/>
      <c r="D50" s="593"/>
      <c r="E50" s="593"/>
      <c r="F50" s="593"/>
      <c r="G50" s="593"/>
      <c r="H50" s="594"/>
    </row>
    <row r="51" spans="1:8" ht="30" customHeight="1">
      <c r="A51" s="358">
        <f t="shared" si="1"/>
        <v>24</v>
      </c>
      <c r="B51" s="595"/>
      <c r="C51" s="593"/>
      <c r="D51" s="593"/>
      <c r="E51" s="593"/>
      <c r="F51" s="593"/>
      <c r="G51" s="593"/>
      <c r="H51" s="594"/>
    </row>
    <row r="52" spans="1:8" ht="30" customHeight="1">
      <c r="A52" s="358">
        <f t="shared" si="1"/>
        <v>25</v>
      </c>
      <c r="B52" s="616"/>
      <c r="C52" s="617"/>
      <c r="D52" s="617"/>
      <c r="E52" s="617"/>
      <c r="F52" s="617"/>
      <c r="G52" s="617"/>
      <c r="H52" s="594"/>
    </row>
    <row r="53" spans="1:8" ht="30" customHeight="1">
      <c r="A53" s="358">
        <f t="shared" si="1"/>
        <v>26</v>
      </c>
      <c r="B53" s="597" t="s">
        <v>1136</v>
      </c>
      <c r="C53" s="619">
        <f>E53</f>
        <v>-137939</v>
      </c>
      <c r="D53" s="619"/>
      <c r="E53" s="619">
        <v>-137939</v>
      </c>
      <c r="F53" s="619"/>
      <c r="G53" s="619"/>
      <c r="H53" s="599" t="s">
        <v>1125</v>
      </c>
    </row>
    <row r="54" spans="1:8" ht="20.100000000000001" customHeight="1">
      <c r="A54" s="358">
        <f t="shared" si="1"/>
        <v>27</v>
      </c>
      <c r="B54" s="620" t="s">
        <v>1146</v>
      </c>
      <c r="C54" s="601">
        <f>SUBTOTAL(9,C46:C53)</f>
        <v>-137939</v>
      </c>
      <c r="D54" s="601">
        <f>SUM(D46:D53)</f>
        <v>0</v>
      </c>
      <c r="E54" s="601">
        <f>SUM(E46:E53)</f>
        <v>-137939</v>
      </c>
      <c r="F54" s="601">
        <f>SUM(F46:F53)</f>
        <v>0</v>
      </c>
      <c r="G54" s="601">
        <f>SUM(G46:G53)</f>
        <v>0</v>
      </c>
      <c r="H54" s="602"/>
    </row>
    <row r="55" spans="1:8" ht="20.100000000000001" customHeight="1">
      <c r="A55" s="358">
        <f t="shared" si="1"/>
        <v>28</v>
      </c>
      <c r="B55" s="620" t="s">
        <v>1127</v>
      </c>
      <c r="C55" s="604"/>
      <c r="D55" s="604"/>
      <c r="E55" s="604"/>
      <c r="F55" s="604"/>
      <c r="G55" s="604"/>
      <c r="H55" s="594"/>
    </row>
    <row r="56" spans="1:8" ht="20.100000000000001" customHeight="1">
      <c r="A56" s="358">
        <f t="shared" si="1"/>
        <v>29</v>
      </c>
      <c r="B56" s="621" t="s">
        <v>1128</v>
      </c>
      <c r="C56" s="608"/>
      <c r="D56" s="608"/>
      <c r="E56" s="608"/>
      <c r="F56" s="608"/>
      <c r="G56" s="608"/>
      <c r="H56" s="609"/>
    </row>
    <row r="57" spans="1:8" ht="20.100000000000001" customHeight="1" thickBot="1">
      <c r="A57" s="358">
        <f t="shared" si="1"/>
        <v>30</v>
      </c>
      <c r="B57" s="610" t="s">
        <v>21</v>
      </c>
      <c r="C57" s="611">
        <f>+C54-C55-C56</f>
        <v>-137939</v>
      </c>
      <c r="D57" s="611">
        <f>+D54-D55-D56</f>
        <v>0</v>
      </c>
      <c r="E57" s="611">
        <f>+E54-E55-E56</f>
        <v>-137939</v>
      </c>
      <c r="F57" s="611">
        <f>+F54-F55-F56</f>
        <v>0</v>
      </c>
      <c r="G57" s="611">
        <f>+G54-G55-G56</f>
        <v>0</v>
      </c>
      <c r="H57" s="612"/>
    </row>
    <row r="58" spans="1:8" ht="20.100000000000001" customHeight="1" thickTop="1">
      <c r="A58" s="358"/>
      <c r="B58" s="348" t="s">
        <v>1138</v>
      </c>
      <c r="D58" s="351"/>
      <c r="E58" s="613"/>
      <c r="G58" s="615"/>
    </row>
    <row r="59" spans="1:8" ht="20.100000000000001" customHeight="1">
      <c r="A59" s="358"/>
      <c r="B59" s="741" t="s">
        <v>1130</v>
      </c>
      <c r="C59" s="741"/>
      <c r="D59" s="741"/>
      <c r="E59" s="741"/>
      <c r="F59" s="741"/>
      <c r="G59" s="741"/>
    </row>
    <row r="60" spans="1:8" ht="20.100000000000001" customHeight="1">
      <c r="A60" s="358"/>
      <c r="B60" s="368" t="s">
        <v>1131</v>
      </c>
      <c r="F60" s="351"/>
      <c r="G60" s="351"/>
    </row>
    <row r="61" spans="1:8" ht="20.100000000000001" customHeight="1">
      <c r="A61" s="358"/>
      <c r="B61" s="368" t="s">
        <v>1132</v>
      </c>
      <c r="F61" s="351"/>
      <c r="G61" s="351"/>
    </row>
    <row r="62" spans="1:8" ht="20.100000000000001" customHeight="1">
      <c r="A62" s="358"/>
      <c r="B62" s="368" t="s">
        <v>1133</v>
      </c>
      <c r="F62" s="351"/>
      <c r="G62" s="351"/>
    </row>
    <row r="63" spans="1:8" ht="33.75" customHeight="1">
      <c r="A63" s="358"/>
      <c r="B63" s="741" t="s">
        <v>1134</v>
      </c>
      <c r="C63" s="741"/>
      <c r="D63" s="741"/>
      <c r="E63" s="741"/>
      <c r="F63" s="741"/>
      <c r="G63" s="741"/>
      <c r="H63" s="615"/>
    </row>
    <row r="64" spans="1:8">
      <c r="A64" s="358"/>
      <c r="H64" s="615"/>
    </row>
    <row r="65" spans="1:10">
      <c r="A65" s="358"/>
      <c r="B65" s="351" t="s">
        <v>354</v>
      </c>
      <c r="C65" s="351" t="s">
        <v>356</v>
      </c>
      <c r="D65" s="351" t="s">
        <v>358</v>
      </c>
      <c r="E65" s="351" t="s">
        <v>360</v>
      </c>
      <c r="F65" s="351" t="s">
        <v>362</v>
      </c>
      <c r="G65" s="351" t="s">
        <v>364</v>
      </c>
      <c r="H65" s="351" t="s">
        <v>366</v>
      </c>
    </row>
    <row r="66" spans="1:10" ht="31.5">
      <c r="A66" s="358"/>
      <c r="B66" s="368" t="s">
        <v>799</v>
      </c>
      <c r="C66" s="590" t="s">
        <v>21</v>
      </c>
      <c r="D66" s="590" t="s">
        <v>1121</v>
      </c>
      <c r="E66" s="590" t="s">
        <v>774</v>
      </c>
      <c r="F66" s="590" t="s">
        <v>775</v>
      </c>
      <c r="G66" s="590" t="s">
        <v>776</v>
      </c>
      <c r="H66" s="590" t="s">
        <v>1122</v>
      </c>
    </row>
    <row r="67" spans="1:10" ht="30" customHeight="1">
      <c r="A67" s="358">
        <f>A57+1</f>
        <v>31</v>
      </c>
      <c r="B67" s="622" t="s">
        <v>1123</v>
      </c>
      <c r="C67" s="592"/>
      <c r="D67" s="593"/>
      <c r="E67" s="593"/>
      <c r="F67" s="593"/>
      <c r="G67" s="593"/>
      <c r="H67" s="594"/>
    </row>
    <row r="68" spans="1:10" ht="30" customHeight="1">
      <c r="A68" s="358">
        <f t="shared" ref="A68:A80" si="2">+A67+1</f>
        <v>32</v>
      </c>
      <c r="B68" s="595"/>
      <c r="C68" s="592"/>
      <c r="D68" s="593"/>
      <c r="E68" s="593"/>
      <c r="F68" s="593"/>
      <c r="G68" s="593"/>
      <c r="H68" s="594"/>
      <c r="J68" s="623"/>
    </row>
    <row r="69" spans="1:10" ht="30" customHeight="1">
      <c r="A69" s="358">
        <f t="shared" si="2"/>
        <v>33</v>
      </c>
      <c r="B69" s="595"/>
      <c r="C69" s="592"/>
      <c r="D69" s="593"/>
      <c r="E69" s="593"/>
      <c r="F69" s="593"/>
      <c r="G69" s="593"/>
      <c r="H69" s="594"/>
    </row>
    <row r="70" spans="1:10" ht="30" customHeight="1">
      <c r="A70" s="358">
        <f t="shared" si="2"/>
        <v>34</v>
      </c>
      <c r="B70" s="595"/>
      <c r="C70" s="592"/>
      <c r="D70" s="593"/>
      <c r="E70" s="593"/>
      <c r="F70" s="593"/>
      <c r="G70" s="593"/>
      <c r="H70" s="594"/>
    </row>
    <row r="71" spans="1:10" ht="30" customHeight="1">
      <c r="A71" s="358">
        <f t="shared" si="2"/>
        <v>35</v>
      </c>
      <c r="B71" s="595"/>
      <c r="C71" s="593"/>
      <c r="D71" s="617"/>
      <c r="E71" s="593"/>
      <c r="F71" s="593"/>
      <c r="G71" s="593"/>
      <c r="H71" s="594"/>
    </row>
    <row r="72" spans="1:10" ht="30" customHeight="1">
      <c r="A72" s="358">
        <f t="shared" si="2"/>
        <v>36</v>
      </c>
      <c r="B72" s="595"/>
      <c r="C72" s="593"/>
      <c r="D72" s="617"/>
      <c r="E72" s="593"/>
      <c r="F72" s="593"/>
      <c r="G72" s="593"/>
      <c r="H72" s="594"/>
    </row>
    <row r="73" spans="1:10" ht="30" customHeight="1">
      <c r="A73" s="358">
        <f t="shared" si="2"/>
        <v>37</v>
      </c>
      <c r="B73" s="595"/>
      <c r="C73" s="593"/>
      <c r="D73" s="617"/>
      <c r="E73" s="593"/>
      <c r="F73" s="593"/>
      <c r="G73" s="593"/>
      <c r="H73" s="594"/>
    </row>
    <row r="74" spans="1:10" ht="30" customHeight="1">
      <c r="A74" s="358">
        <f t="shared" si="2"/>
        <v>38</v>
      </c>
      <c r="B74" s="595"/>
      <c r="C74" s="593"/>
      <c r="D74" s="596"/>
      <c r="E74" s="593"/>
      <c r="F74" s="593"/>
      <c r="G74" s="593"/>
      <c r="H74" s="594"/>
    </row>
    <row r="75" spans="1:10" ht="30" customHeight="1">
      <c r="A75" s="358">
        <f t="shared" si="2"/>
        <v>39</v>
      </c>
      <c r="B75" s="595"/>
      <c r="C75" s="593"/>
      <c r="D75" s="593"/>
      <c r="E75" s="593"/>
      <c r="F75" s="593"/>
      <c r="G75" s="593"/>
      <c r="H75" s="594"/>
    </row>
    <row r="76" spans="1:10" ht="30" customHeight="1">
      <c r="A76" s="358">
        <f t="shared" si="2"/>
        <v>40</v>
      </c>
      <c r="B76" s="597" t="s">
        <v>1140</v>
      </c>
      <c r="C76" s="619">
        <f>E76</f>
        <v>-238494</v>
      </c>
      <c r="D76" s="619"/>
      <c r="E76" s="619">
        <v>-238494</v>
      </c>
      <c r="F76" s="619"/>
      <c r="G76" s="619"/>
      <c r="H76" s="599" t="s">
        <v>1125</v>
      </c>
    </row>
    <row r="77" spans="1:10" ht="20.100000000000001" customHeight="1">
      <c r="A77" s="358">
        <f t="shared" si="2"/>
        <v>41</v>
      </c>
      <c r="B77" s="600" t="s">
        <v>1147</v>
      </c>
      <c r="C77" s="601">
        <f>SUBTOTAL(9,C67:C76)</f>
        <v>-238494</v>
      </c>
      <c r="D77" s="601">
        <f>SUM(D67:D76)</f>
        <v>0</v>
      </c>
      <c r="E77" s="601">
        <f>SUM(E67:E76)</f>
        <v>-238494</v>
      </c>
      <c r="F77" s="601">
        <f>SUM(F67:F76)</f>
        <v>0</v>
      </c>
      <c r="G77" s="601">
        <f>SUM(G67:G76)</f>
        <v>0</v>
      </c>
      <c r="H77" s="594"/>
    </row>
    <row r="78" spans="1:10" ht="20.100000000000001" customHeight="1">
      <c r="A78" s="358">
        <f t="shared" si="2"/>
        <v>42</v>
      </c>
      <c r="B78" s="600" t="s">
        <v>1127</v>
      </c>
      <c r="C78" s="605"/>
      <c r="D78" s="605"/>
      <c r="E78" s="605"/>
      <c r="F78" s="605"/>
      <c r="G78" s="605"/>
      <c r="H78" s="594"/>
    </row>
    <row r="79" spans="1:10" ht="20.100000000000001" customHeight="1">
      <c r="A79" s="358">
        <f t="shared" si="2"/>
        <v>43</v>
      </c>
      <c r="B79" s="624" t="s">
        <v>1128</v>
      </c>
      <c r="C79" s="625"/>
      <c r="D79" s="625"/>
      <c r="E79" s="625"/>
      <c r="F79" s="625"/>
      <c r="G79" s="625"/>
      <c r="H79" s="609"/>
    </row>
    <row r="80" spans="1:10" ht="20.100000000000001" customHeight="1" thickBot="1">
      <c r="A80" s="358">
        <f t="shared" si="2"/>
        <v>44</v>
      </c>
      <c r="B80" s="610" t="s">
        <v>21</v>
      </c>
      <c r="C80" s="626">
        <f>+C77-C78-C79</f>
        <v>-238494</v>
      </c>
      <c r="D80" s="626">
        <f>+D77-D78-D79</f>
        <v>0</v>
      </c>
      <c r="E80" s="626">
        <f>+E77-E78-E79</f>
        <v>-238494</v>
      </c>
      <c r="F80" s="626">
        <f>+F77-F78-F79</f>
        <v>0</v>
      </c>
      <c r="G80" s="626">
        <f>+G77-G78-G79</f>
        <v>0</v>
      </c>
      <c r="H80" s="612"/>
    </row>
    <row r="81" spans="1:9" ht="20.100000000000001" customHeight="1" thickTop="1">
      <c r="A81" s="358"/>
      <c r="B81" s="348" t="s">
        <v>1142</v>
      </c>
      <c r="E81" s="351"/>
      <c r="F81" s="351"/>
      <c r="H81" s="627"/>
    </row>
    <row r="82" spans="1:9" ht="20.100000000000001" customHeight="1">
      <c r="A82" s="358"/>
      <c r="B82" s="741" t="s">
        <v>1130</v>
      </c>
      <c r="C82" s="741"/>
      <c r="D82" s="741"/>
      <c r="E82" s="741"/>
      <c r="F82" s="741"/>
      <c r="G82" s="741"/>
    </row>
    <row r="83" spans="1:9" ht="20.100000000000001" customHeight="1">
      <c r="A83" s="358"/>
      <c r="B83" s="368" t="s">
        <v>1131</v>
      </c>
      <c r="F83" s="351"/>
      <c r="G83" s="351"/>
    </row>
    <row r="84" spans="1:9" ht="20.100000000000001" customHeight="1">
      <c r="A84" s="358"/>
      <c r="B84" s="368" t="s">
        <v>1132</v>
      </c>
      <c r="F84" s="351"/>
      <c r="G84" s="351"/>
    </row>
    <row r="85" spans="1:9" ht="20.100000000000001" customHeight="1">
      <c r="A85" s="358"/>
      <c r="B85" s="368" t="s">
        <v>1133</v>
      </c>
      <c r="F85" s="351"/>
      <c r="G85" s="351"/>
    </row>
    <row r="86" spans="1:9" ht="32.25" customHeight="1">
      <c r="A86" s="358"/>
      <c r="B86" s="741" t="s">
        <v>1134</v>
      </c>
      <c r="C86" s="741"/>
      <c r="D86" s="741"/>
      <c r="E86" s="741"/>
      <c r="F86" s="741"/>
      <c r="G86" s="741"/>
    </row>
    <row r="88" spans="1:9" ht="15.75" customHeight="1">
      <c r="B88" s="628"/>
      <c r="C88" s="628"/>
      <c r="D88" s="628"/>
      <c r="E88" s="628"/>
      <c r="F88" s="628"/>
      <c r="G88" s="628"/>
      <c r="H88" s="628"/>
    </row>
    <row r="89" spans="1:9">
      <c r="B89" s="734"/>
      <c r="C89" s="734"/>
      <c r="D89" s="734"/>
      <c r="E89" s="734"/>
      <c r="F89" s="734"/>
      <c r="G89" s="734"/>
      <c r="H89" s="734"/>
    </row>
    <row r="90" spans="1:9">
      <c r="B90" s="348"/>
    </row>
    <row r="91" spans="1:9">
      <c r="B91" s="348"/>
    </row>
    <row r="92" spans="1:9" ht="15.75" customHeight="1">
      <c r="B92" s="348"/>
    </row>
    <row r="93" spans="1:9">
      <c r="B93" s="348"/>
      <c r="D93" s="374"/>
      <c r="E93" s="374"/>
      <c r="F93" s="374"/>
      <c r="G93" s="374"/>
      <c r="H93" s="374"/>
      <c r="I93" s="375"/>
    </row>
    <row r="94" spans="1:9">
      <c r="B94" s="348"/>
      <c r="D94" s="374"/>
      <c r="E94" s="374"/>
      <c r="F94" s="374"/>
      <c r="G94" s="374"/>
      <c r="H94" s="374"/>
      <c r="I94" s="375"/>
    </row>
    <row r="95" spans="1:9">
      <c r="D95" s="351"/>
      <c r="E95" s="351"/>
    </row>
    <row r="96" spans="1:9">
      <c r="D96" s="360"/>
      <c r="E96" s="360"/>
    </row>
    <row r="97" spans="2:5">
      <c r="D97" s="360"/>
      <c r="E97" s="360"/>
    </row>
    <row r="98" spans="2:5">
      <c r="D98" s="360"/>
      <c r="E98" s="360"/>
    </row>
    <row r="99" spans="2:5">
      <c r="D99" s="360"/>
      <c r="E99" s="360"/>
    </row>
    <row r="100" spans="2:5">
      <c r="D100" s="360"/>
      <c r="E100" s="360"/>
    </row>
    <row r="101" spans="2:5">
      <c r="D101" s="360"/>
      <c r="E101" s="360"/>
    </row>
    <row r="102" spans="2:5">
      <c r="D102" s="360"/>
      <c r="E102" s="360"/>
    </row>
    <row r="103" spans="2:5">
      <c r="D103" s="360"/>
      <c r="E103" s="360"/>
    </row>
    <row r="104" spans="2:5">
      <c r="D104" s="360"/>
      <c r="E104" s="360"/>
    </row>
    <row r="105" spans="2:5">
      <c r="D105" s="360"/>
      <c r="E105" s="360"/>
    </row>
    <row r="106" spans="2:5">
      <c r="B106" s="348"/>
      <c r="D106" s="360"/>
      <c r="E106" s="360"/>
    </row>
    <row r="107" spans="2:5">
      <c r="D107" s="360"/>
      <c r="E107" s="360"/>
    </row>
    <row r="108" spans="2:5">
      <c r="B108" s="348"/>
      <c r="D108" s="360"/>
      <c r="E108" s="360"/>
    </row>
    <row r="212" spans="9:9">
      <c r="I212" s="376"/>
    </row>
  </sheetData>
  <mergeCells count="13">
    <mergeCell ref="B89:H89"/>
    <mergeCell ref="A41:G41"/>
    <mergeCell ref="A42:H42"/>
    <mergeCell ref="B59:G59"/>
    <mergeCell ref="B63:G63"/>
    <mergeCell ref="B82:G82"/>
    <mergeCell ref="B86:G86"/>
    <mergeCell ref="B38:G38"/>
    <mergeCell ref="A1:G1"/>
    <mergeCell ref="B2:H2"/>
    <mergeCell ref="B3:H3"/>
    <mergeCell ref="B15:H15"/>
    <mergeCell ref="B34:G34"/>
  </mergeCells>
  <printOptions horizontalCentered="1"/>
  <pageMargins left="0.5" right="0.5" top="0.5" bottom="0.5" header="0.33" footer="0.5"/>
  <pageSetup scale="47" fitToHeight="0" orientation="landscape" r:id="rId1"/>
  <headerFooter alignWithMargins="0"/>
  <rowBreaks count="1" manualBreakCount="1">
    <brk id="39"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8FCBA-236D-4AE2-B4B8-627CC2E2B271}">
  <sheetPr>
    <pageSetUpPr fitToPage="1"/>
  </sheetPr>
  <dimension ref="A1:T152"/>
  <sheetViews>
    <sheetView view="pageBreakPreview" zoomScaleNormal="100" zoomScaleSheetLayoutView="100" workbookViewId="0">
      <selection activeCell="F24" sqref="F24"/>
    </sheetView>
  </sheetViews>
  <sheetFormatPr defaultColWidth="8.88671875" defaultRowHeight="15.75"/>
  <cols>
    <col min="1" max="1" width="5.5546875" style="348" customWidth="1"/>
    <col min="2" max="2" width="35.6640625" style="368" customWidth="1"/>
    <col min="3" max="3" width="10.5546875" style="348" bestFit="1" customWidth="1"/>
    <col min="4" max="4" width="9.77734375" style="348" bestFit="1" customWidth="1"/>
    <col min="5" max="5" width="16.33203125" style="348" customWidth="1"/>
    <col min="6" max="6" width="12.109375" style="348" customWidth="1"/>
    <col min="7" max="7" width="11.88671875" style="348" customWidth="1"/>
    <col min="8" max="8" width="14.109375" style="349" customWidth="1"/>
    <col min="9" max="9" width="33.5546875" style="349" customWidth="1"/>
    <col min="10" max="10" width="8.88671875" style="349"/>
    <col min="11" max="11" width="12.109375" style="349" customWidth="1"/>
    <col min="12" max="12" width="12.77734375" style="349" customWidth="1"/>
    <col min="13" max="16384" width="8.88671875" style="349"/>
  </cols>
  <sheetData>
    <row r="1" spans="1:20" ht="18" customHeight="1">
      <c r="A1" s="734" t="s">
        <v>1148</v>
      </c>
      <c r="B1" s="734"/>
      <c r="C1" s="734"/>
      <c r="D1" s="734"/>
      <c r="E1" s="734"/>
      <c r="F1" s="734"/>
      <c r="G1" s="734"/>
      <c r="H1" s="734"/>
      <c r="I1" s="734"/>
      <c r="J1" s="348"/>
      <c r="K1" s="348"/>
      <c r="L1" s="348"/>
    </row>
    <row r="2" spans="1:20" ht="18" customHeight="1">
      <c r="A2" s="735" t="str">
        <f>+'Attachment O'!D5</f>
        <v>GridLiance Heartland LLC</v>
      </c>
      <c r="B2" s="735"/>
      <c r="C2" s="735"/>
      <c r="D2" s="735"/>
      <c r="E2" s="735"/>
      <c r="F2" s="735"/>
      <c r="G2" s="735"/>
      <c r="H2" s="735"/>
      <c r="I2" s="735"/>
      <c r="J2" s="350"/>
      <c r="K2" s="350"/>
      <c r="L2" s="350"/>
    </row>
    <row r="3" spans="1:20" ht="18" customHeight="1">
      <c r="A3" s="734" t="str">
        <f>'Attachment O'!$K$3</f>
        <v>For the 12 months ended 12/31/2020</v>
      </c>
      <c r="B3" s="734"/>
      <c r="C3" s="734"/>
      <c r="D3" s="734"/>
      <c r="E3" s="734"/>
      <c r="F3" s="734"/>
      <c r="G3" s="734"/>
      <c r="H3" s="736"/>
      <c r="I3" s="734"/>
      <c r="J3" s="348"/>
      <c r="K3" s="348"/>
      <c r="L3" s="348"/>
    </row>
    <row r="4" spans="1:20" ht="18" customHeight="1">
      <c r="A4" s="351"/>
      <c r="B4" s="351"/>
      <c r="C4" s="351"/>
      <c r="D4" s="351"/>
      <c r="E4" s="351"/>
      <c r="F4" s="351"/>
      <c r="G4" s="351"/>
      <c r="H4" s="351"/>
      <c r="I4" s="351"/>
      <c r="J4" s="348"/>
      <c r="K4" s="348"/>
      <c r="L4" s="348"/>
    </row>
    <row r="5" spans="1:20" ht="18" customHeight="1">
      <c r="B5" s="351" t="s">
        <v>354</v>
      </c>
      <c r="C5" s="351"/>
      <c r="D5" s="352"/>
      <c r="E5" s="352" t="s">
        <v>356</v>
      </c>
      <c r="F5" s="352" t="s">
        <v>358</v>
      </c>
      <c r="G5" s="352" t="s">
        <v>360</v>
      </c>
      <c r="H5" s="352" t="s">
        <v>362</v>
      </c>
      <c r="I5" s="353"/>
    </row>
    <row r="6" spans="1:20" ht="18" customHeight="1">
      <c r="B6" s="349"/>
      <c r="C6" s="349"/>
      <c r="D6" s="349"/>
      <c r="E6" s="349"/>
      <c r="F6" s="349"/>
      <c r="G6" s="349"/>
      <c r="H6" s="352" t="s">
        <v>771</v>
      </c>
      <c r="I6" s="348"/>
      <c r="T6" s="352"/>
    </row>
    <row r="7" spans="1:20" ht="18" customHeight="1">
      <c r="A7" s="354" t="s">
        <v>772</v>
      </c>
      <c r="B7" s="354" t="s">
        <v>773</v>
      </c>
      <c r="C7" s="355"/>
      <c r="D7" s="356"/>
      <c r="E7" s="357" t="s">
        <v>774</v>
      </c>
      <c r="F7" s="357" t="s">
        <v>775</v>
      </c>
      <c r="G7" s="357" t="s">
        <v>776</v>
      </c>
      <c r="H7" s="357" t="s">
        <v>1149</v>
      </c>
      <c r="I7" s="355"/>
      <c r="T7" s="352"/>
    </row>
    <row r="8" spans="1:20" ht="18" customHeight="1">
      <c r="B8" s="358"/>
      <c r="D8" s="349"/>
      <c r="H8" s="348"/>
      <c r="I8" s="348"/>
      <c r="L8" s="359"/>
    </row>
    <row r="9" spans="1:20" ht="18" customHeight="1">
      <c r="A9" s="348">
        <v>1</v>
      </c>
      <c r="B9" s="348" t="s">
        <v>794</v>
      </c>
      <c r="D9" s="349"/>
      <c r="E9" s="671">
        <f>F25</f>
        <v>19555.063013698629</v>
      </c>
      <c r="F9" s="360">
        <f t="shared" ref="F9:G9" si="0">G25</f>
        <v>0</v>
      </c>
      <c r="G9" s="360">
        <f t="shared" si="0"/>
        <v>0</v>
      </c>
      <c r="H9" s="360"/>
      <c r="I9" s="348" t="s">
        <v>778</v>
      </c>
    </row>
    <row r="10" spans="1:20" ht="18" customHeight="1">
      <c r="A10" s="348">
        <f t="shared" ref="A10:A16" si="1">+A9+1</f>
        <v>2</v>
      </c>
      <c r="B10" s="348" t="s">
        <v>799</v>
      </c>
      <c r="D10" s="349"/>
      <c r="E10" s="360">
        <f>F31</f>
        <v>-119247</v>
      </c>
      <c r="F10" s="360">
        <f>G31</f>
        <v>0</v>
      </c>
      <c r="G10" s="360">
        <f>H31</f>
        <v>0</v>
      </c>
      <c r="H10" s="360"/>
      <c r="I10" s="348" t="s">
        <v>780</v>
      </c>
    </row>
    <row r="11" spans="1:20" ht="18" customHeight="1">
      <c r="A11" s="348">
        <f t="shared" si="1"/>
        <v>3</v>
      </c>
      <c r="B11" s="348" t="s">
        <v>781</v>
      </c>
      <c r="D11" s="349"/>
      <c r="E11" s="360">
        <f>F37</f>
        <v>188216.5</v>
      </c>
      <c r="F11" s="360">
        <f>G37</f>
        <v>0</v>
      </c>
      <c r="G11" s="360">
        <f>H37</f>
        <v>0</v>
      </c>
      <c r="H11" s="360"/>
      <c r="I11" s="348" t="s">
        <v>1150</v>
      </c>
    </row>
    <row r="12" spans="1:20" ht="18" customHeight="1">
      <c r="A12" s="348">
        <f t="shared" si="1"/>
        <v>4</v>
      </c>
      <c r="B12" s="348" t="s">
        <v>1118</v>
      </c>
      <c r="D12" s="349"/>
      <c r="E12" s="360">
        <f>SUM(E9:E11)</f>
        <v>88524.563013698629</v>
      </c>
      <c r="F12" s="360">
        <f>SUM(F9:F11)</f>
        <v>0</v>
      </c>
      <c r="G12" s="360">
        <f>SUM(G9:G11)</f>
        <v>0</v>
      </c>
      <c r="H12" s="360"/>
      <c r="I12" s="361" t="s">
        <v>783</v>
      </c>
    </row>
    <row r="13" spans="1:20" ht="18" customHeight="1">
      <c r="A13" s="348">
        <f t="shared" si="1"/>
        <v>5</v>
      </c>
      <c r="B13" s="348" t="s">
        <v>1151</v>
      </c>
      <c r="D13" s="349"/>
      <c r="G13" s="362">
        <f>+'Attachment O'!I217</f>
        <v>0.23598582233179097</v>
      </c>
      <c r="H13" s="348"/>
      <c r="I13" s="348" t="s">
        <v>785</v>
      </c>
    </row>
    <row r="14" spans="1:20" ht="18" customHeight="1">
      <c r="A14" s="348">
        <f t="shared" si="1"/>
        <v>6</v>
      </c>
      <c r="B14" s="348" t="s">
        <v>786</v>
      </c>
      <c r="D14" s="349"/>
      <c r="F14" s="363">
        <f>+'Attachment O'!G70</f>
        <v>0.23598582233179097</v>
      </c>
      <c r="H14" s="348"/>
      <c r="I14" s="348" t="s">
        <v>787</v>
      </c>
    </row>
    <row r="15" spans="1:20" ht="18" customHeight="1">
      <c r="A15" s="348">
        <f t="shared" si="1"/>
        <v>7</v>
      </c>
      <c r="B15" s="348" t="s">
        <v>788</v>
      </c>
      <c r="D15" s="349"/>
      <c r="E15" s="363">
        <v>1</v>
      </c>
      <c r="F15" s="363"/>
      <c r="H15" s="348"/>
      <c r="I15" s="364">
        <v>1</v>
      </c>
    </row>
    <row r="16" spans="1:20" ht="18" customHeight="1">
      <c r="A16" s="348">
        <f t="shared" si="1"/>
        <v>8</v>
      </c>
      <c r="B16" s="348" t="s">
        <v>1152</v>
      </c>
      <c r="D16" s="349"/>
      <c r="E16" s="360">
        <f>+E12*E15</f>
        <v>88524.563013698629</v>
      </c>
      <c r="F16" s="360">
        <f>+F14*F12</f>
        <v>0</v>
      </c>
      <c r="G16" s="360">
        <f>+G13*G12</f>
        <v>0</v>
      </c>
      <c r="H16" s="360">
        <f>+E16+F16+G16</f>
        <v>88524.563013698629</v>
      </c>
      <c r="I16" s="365" t="s">
        <v>790</v>
      </c>
    </row>
    <row r="17" spans="1:17" ht="18" customHeight="1">
      <c r="B17" s="348"/>
      <c r="D17" s="349"/>
      <c r="E17" s="360"/>
      <c r="F17" s="360"/>
      <c r="G17" s="360"/>
      <c r="H17" s="360"/>
      <c r="I17" s="365"/>
    </row>
    <row r="18" spans="1:17" ht="18" customHeight="1">
      <c r="B18" s="348"/>
      <c r="D18" s="361"/>
      <c r="G18" s="360"/>
      <c r="I18" s="352"/>
    </row>
    <row r="19" spans="1:17" ht="18" customHeight="1">
      <c r="B19" s="351" t="s">
        <v>612</v>
      </c>
      <c r="C19" s="351" t="s">
        <v>613</v>
      </c>
      <c r="D19" s="351" t="s">
        <v>614</v>
      </c>
      <c r="E19" s="351" t="s">
        <v>615</v>
      </c>
      <c r="F19" s="351" t="s">
        <v>616</v>
      </c>
      <c r="G19" s="352" t="s">
        <v>617</v>
      </c>
      <c r="H19" s="352" t="s">
        <v>618</v>
      </c>
      <c r="I19" s="352"/>
    </row>
    <row r="20" spans="1:17" ht="18" customHeight="1">
      <c r="A20" s="366"/>
      <c r="B20" s="367" t="s">
        <v>791</v>
      </c>
      <c r="C20" s="367" t="s">
        <v>604</v>
      </c>
      <c r="D20" s="367" t="s">
        <v>792</v>
      </c>
      <c r="E20" s="367" t="s">
        <v>793</v>
      </c>
      <c r="F20" s="367" t="s">
        <v>774</v>
      </c>
      <c r="G20" s="367" t="s">
        <v>775</v>
      </c>
      <c r="H20" s="367" t="s">
        <v>776</v>
      </c>
      <c r="I20" s="367"/>
      <c r="Q20" s="352"/>
    </row>
    <row r="21" spans="1:17" ht="18" customHeight="1">
      <c r="A21" s="348" t="s">
        <v>794</v>
      </c>
      <c r="D21" s="351"/>
      <c r="E21" s="351"/>
      <c r="F21" s="351"/>
      <c r="G21" s="349"/>
      <c r="Q21" s="352"/>
    </row>
    <row r="22" spans="1:17" ht="18" customHeight="1">
      <c r="A22" s="358">
        <f>A16+1</f>
        <v>9</v>
      </c>
      <c r="B22" s="368" t="s">
        <v>795</v>
      </c>
      <c r="C22" s="348" t="s">
        <v>717</v>
      </c>
      <c r="D22" s="369">
        <f>'8b-ADIT Projection Proration'!D9</f>
        <v>2019</v>
      </c>
      <c r="E22" s="362">
        <f>'8c- ADIT BOY'!C54</f>
        <v>0</v>
      </c>
      <c r="F22" s="362">
        <f>'8c- ADIT BOY'!E54</f>
        <v>0</v>
      </c>
      <c r="G22" s="362">
        <f>'8c- ADIT BOY'!F54</f>
        <v>0</v>
      </c>
      <c r="H22" s="362">
        <f>'8c- ADIT BOY'!G54</f>
        <v>0</v>
      </c>
      <c r="I22" s="371"/>
    </row>
    <row r="23" spans="1:17" ht="18" customHeight="1">
      <c r="A23" s="358">
        <f>A22+1</f>
        <v>10</v>
      </c>
      <c r="B23" s="368" t="s">
        <v>1153</v>
      </c>
      <c r="C23" s="348" t="s">
        <v>717</v>
      </c>
      <c r="D23" s="369">
        <f>D24</f>
        <v>2020</v>
      </c>
      <c r="E23" s="362">
        <f>'8d- ADIT EOY'!C57-'8d- ADIT EOY'!C53</f>
        <v>0</v>
      </c>
      <c r="F23" s="362">
        <f>'8d- ADIT EOY'!E57-'8d- ADIT EOY'!E53</f>
        <v>0</v>
      </c>
      <c r="G23" s="362">
        <f>'8d- ADIT EOY'!F57-'8d- ADIT EOY'!F53</f>
        <v>0</v>
      </c>
      <c r="H23" s="362">
        <f>'8d- ADIT EOY'!G57-'8d- ADIT EOY'!G53</f>
        <v>0</v>
      </c>
      <c r="I23" s="371"/>
    </row>
    <row r="24" spans="1:17" ht="18" customHeight="1">
      <c r="A24" s="358">
        <f>A23+1</f>
        <v>11</v>
      </c>
      <c r="B24" s="368" t="s">
        <v>1154</v>
      </c>
      <c r="C24" s="348" t="s">
        <v>717</v>
      </c>
      <c r="D24" s="369">
        <f>'8b-ADIT Projection Proration'!D21</f>
        <v>2020</v>
      </c>
      <c r="E24" s="362">
        <f>'8f-ADIT True-up Proration'!N22</f>
        <v>19555.063013698629</v>
      </c>
      <c r="F24" s="362">
        <f>'8f-ADIT True-up Proration'!N21</f>
        <v>19555.063013698629</v>
      </c>
      <c r="G24" s="362">
        <f>'8f-ADIT True-up Proration'!W21</f>
        <v>0</v>
      </c>
      <c r="H24" s="362">
        <f>'8f-ADIT True-up Proration'!AF21</f>
        <v>0</v>
      </c>
      <c r="I24" s="371"/>
    </row>
    <row r="25" spans="1:17" ht="18" customHeight="1">
      <c r="A25" s="358">
        <f>A24+1</f>
        <v>12</v>
      </c>
      <c r="B25" s="368" t="s">
        <v>1155</v>
      </c>
      <c r="D25" s="630"/>
      <c r="E25" s="362">
        <f>E23+E24</f>
        <v>19555.063013698629</v>
      </c>
      <c r="F25" s="362">
        <f>F23+F24</f>
        <v>19555.063013698629</v>
      </c>
      <c r="G25" s="362">
        <f>G23+G24</f>
        <v>0</v>
      </c>
      <c r="H25" s="362">
        <f>H23+H24</f>
        <v>0</v>
      </c>
      <c r="I25" s="371"/>
    </row>
    <row r="26" spans="1:17" ht="18" customHeight="1">
      <c r="A26" s="358"/>
      <c r="G26" s="349"/>
    </row>
    <row r="27" spans="1:17" ht="18" customHeight="1">
      <c r="A27" s="348" t="s">
        <v>799</v>
      </c>
      <c r="G27" s="349"/>
    </row>
    <row r="28" spans="1:17" ht="18" customHeight="1">
      <c r="A28" s="358">
        <f>A25+1</f>
        <v>13</v>
      </c>
      <c r="B28" s="368" t="s">
        <v>800</v>
      </c>
      <c r="C28" s="348" t="s">
        <v>717</v>
      </c>
      <c r="D28" s="369">
        <f>D22</f>
        <v>2019</v>
      </c>
      <c r="E28" s="360">
        <f>'8c- ADIT BOY'!C77</f>
        <v>0</v>
      </c>
      <c r="F28" s="360">
        <f>'8c- ADIT BOY'!E77</f>
        <v>0</v>
      </c>
      <c r="G28" s="360">
        <f>'8c- ADIT BOY'!F77</f>
        <v>0</v>
      </c>
      <c r="H28" s="360">
        <f>'8c- ADIT BOY'!G77</f>
        <v>0</v>
      </c>
      <c r="I28" s="371"/>
    </row>
    <row r="29" spans="1:17" ht="18" customHeight="1">
      <c r="A29" s="358">
        <f>A28+1</f>
        <v>14</v>
      </c>
      <c r="B29" s="368" t="s">
        <v>1156</v>
      </c>
      <c r="C29" s="348" t="s">
        <v>717</v>
      </c>
      <c r="D29" s="369">
        <f t="shared" ref="D29:D30" si="2">D23</f>
        <v>2020</v>
      </c>
      <c r="E29" s="360">
        <f>'8d- ADIT EOY'!C80-'8d- ADIT EOY'!C76</f>
        <v>0</v>
      </c>
      <c r="F29" s="360">
        <f>'8d- ADIT EOY'!E80-'8d- ADIT EOY'!E76</f>
        <v>0</v>
      </c>
      <c r="G29" s="360">
        <f>'8d- ADIT EOY'!F80-'8d- ADIT EOY'!F76</f>
        <v>0</v>
      </c>
      <c r="H29" s="360">
        <f>'8d- ADIT EOY'!G80-'8d- ADIT EOY'!G76</f>
        <v>0</v>
      </c>
      <c r="I29" s="371"/>
    </row>
    <row r="30" spans="1:17" ht="18" customHeight="1">
      <c r="A30" s="358">
        <f>A29+1</f>
        <v>15</v>
      </c>
      <c r="B30" s="368" t="s">
        <v>1157</v>
      </c>
      <c r="C30" s="348" t="s">
        <v>717</v>
      </c>
      <c r="D30" s="369">
        <f t="shared" si="2"/>
        <v>2020</v>
      </c>
      <c r="E30" s="360">
        <f>'8f-ADIT True-up Proration'!N38</f>
        <v>-119247</v>
      </c>
      <c r="F30" s="360">
        <f>'8f-ADIT True-up Proration'!N37</f>
        <v>-119247</v>
      </c>
      <c r="G30" s="360">
        <f>'8f-ADIT True-up Proration'!W37</f>
        <v>0</v>
      </c>
      <c r="H30" s="360">
        <f>'8f-ADIT True-up Proration'!AF37</f>
        <v>0</v>
      </c>
      <c r="I30" s="371"/>
    </row>
    <row r="31" spans="1:17" ht="18" customHeight="1">
      <c r="A31" s="358">
        <f>A30+1</f>
        <v>16</v>
      </c>
      <c r="B31" s="368" t="s">
        <v>1158</v>
      </c>
      <c r="E31" s="372">
        <f>E29+E30</f>
        <v>-119247</v>
      </c>
      <c r="F31" s="372">
        <f>F29+F30</f>
        <v>-119247</v>
      </c>
      <c r="G31" s="372">
        <f>G29+G30</f>
        <v>0</v>
      </c>
      <c r="H31" s="372">
        <f>H29+H30</f>
        <v>0</v>
      </c>
      <c r="I31" s="373"/>
    </row>
    <row r="32" spans="1:17" ht="18" customHeight="1">
      <c r="A32" s="358"/>
      <c r="G32" s="349"/>
    </row>
    <row r="33" spans="1:9" ht="18" customHeight="1">
      <c r="A33" s="348" t="s">
        <v>781</v>
      </c>
      <c r="G33" s="349"/>
    </row>
    <row r="34" spans="1:9" ht="18" customHeight="1">
      <c r="A34" s="358">
        <f>A31+1</f>
        <v>17</v>
      </c>
      <c r="B34" s="368" t="s">
        <v>804</v>
      </c>
      <c r="C34" s="348" t="s">
        <v>717</v>
      </c>
      <c r="D34" s="369">
        <f>D28</f>
        <v>2019</v>
      </c>
      <c r="E34" s="360">
        <f>'8c- ADIT BOY'!C29</f>
        <v>0</v>
      </c>
      <c r="F34" s="360">
        <f>'8c- ADIT BOY'!E29</f>
        <v>0</v>
      </c>
      <c r="G34" s="360">
        <f>'8c- ADIT BOY'!F29</f>
        <v>0</v>
      </c>
      <c r="H34" s="360">
        <f>'8c- ADIT BOY'!G29</f>
        <v>0</v>
      </c>
      <c r="I34" s="371"/>
    </row>
    <row r="35" spans="1:9" ht="18" customHeight="1">
      <c r="A35" s="358">
        <f>A34+1</f>
        <v>18</v>
      </c>
      <c r="B35" s="368" t="s">
        <v>1159</v>
      </c>
      <c r="C35" s="348" t="s">
        <v>717</v>
      </c>
      <c r="D35" s="369">
        <f t="shared" ref="D35:D36" si="3">D29</f>
        <v>2020</v>
      </c>
      <c r="E35" s="360">
        <f>'8d- ADIT EOY'!C32-'8d- ADIT EOY'!C28</f>
        <v>0</v>
      </c>
      <c r="F35" s="360">
        <f>'8d- ADIT EOY'!E32-'8d- ADIT EOY'!E28</f>
        <v>0</v>
      </c>
      <c r="G35" s="360">
        <f>'8d- ADIT EOY'!F32-'8d- ADIT EOY'!F28</f>
        <v>0</v>
      </c>
      <c r="H35" s="360">
        <f>'8d- ADIT EOY'!G32-'8d- ADIT EOY'!G28</f>
        <v>0</v>
      </c>
      <c r="I35" s="371"/>
    </row>
    <row r="36" spans="1:9" ht="18" customHeight="1">
      <c r="A36" s="358">
        <f>A35+1</f>
        <v>19</v>
      </c>
      <c r="B36" s="368" t="s">
        <v>1160</v>
      </c>
      <c r="C36" s="348" t="s">
        <v>717</v>
      </c>
      <c r="D36" s="369">
        <f t="shared" si="3"/>
        <v>2020</v>
      </c>
      <c r="E36" s="360">
        <f>'8f-ADIT True-up Proration'!N54</f>
        <v>188216.5</v>
      </c>
      <c r="F36" s="360">
        <f>'8f-ADIT True-up Proration'!N53</f>
        <v>188216.5</v>
      </c>
      <c r="G36" s="360">
        <f>'8f-ADIT True-up Proration'!W53</f>
        <v>0</v>
      </c>
      <c r="H36" s="360">
        <f>'8f-ADIT True-up Proration'!AF53</f>
        <v>0</v>
      </c>
      <c r="I36" s="371"/>
    </row>
    <row r="37" spans="1:9" ht="18" customHeight="1">
      <c r="A37" s="358">
        <f>A36+1</f>
        <v>20</v>
      </c>
      <c r="B37" s="368" t="s">
        <v>1161</v>
      </c>
      <c r="E37" s="372">
        <f>E35+E36</f>
        <v>188216.5</v>
      </c>
      <c r="F37" s="372">
        <f>F35+F36</f>
        <v>188216.5</v>
      </c>
      <c r="G37" s="372">
        <f>G35+G36</f>
        <v>0</v>
      </c>
      <c r="H37" s="372">
        <f>H35+H36</f>
        <v>0</v>
      </c>
      <c r="I37" s="373"/>
    </row>
    <row r="38" spans="1:9">
      <c r="D38" s="360"/>
    </row>
    <row r="39" spans="1:9">
      <c r="D39" s="360"/>
    </row>
    <row r="40" spans="1:9">
      <c r="D40" s="360"/>
    </row>
    <row r="41" spans="1:9">
      <c r="D41" s="360"/>
    </row>
    <row r="42" spans="1:9">
      <c r="D42" s="360"/>
    </row>
    <row r="43" spans="1:9">
      <c r="D43" s="360"/>
    </row>
    <row r="44" spans="1:9">
      <c r="D44" s="360"/>
    </row>
    <row r="45" spans="1:9">
      <c r="D45" s="360"/>
    </row>
    <row r="46" spans="1:9">
      <c r="B46" s="348"/>
      <c r="D46" s="360"/>
    </row>
    <row r="47" spans="1:9">
      <c r="D47" s="360"/>
    </row>
    <row r="48" spans="1:9">
      <c r="B48" s="348"/>
      <c r="D48" s="360"/>
    </row>
    <row r="62" spans="9:9">
      <c r="I62" s="349">
        <v>0</v>
      </c>
    </row>
    <row r="66" spans="10:10">
      <c r="J66" s="348"/>
    </row>
    <row r="152" spans="8:8">
      <c r="H152" s="376"/>
    </row>
  </sheetData>
  <mergeCells count="3">
    <mergeCell ref="A1:I1"/>
    <mergeCell ref="A2:I2"/>
    <mergeCell ref="A3:I3"/>
  </mergeCells>
  <printOptions horizontalCentered="1"/>
  <pageMargins left="0.25" right="0.25" top="0.75" bottom="0.75" header="0.3" footer="0.3"/>
  <pageSetup scale="7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6D80-76E6-4EA0-B46F-F63CD528501D}">
  <dimension ref="A1:AG74"/>
  <sheetViews>
    <sheetView view="pageBreakPreview" zoomScaleNormal="100" zoomScaleSheetLayoutView="100" workbookViewId="0">
      <selection activeCell="F21" sqref="F21"/>
    </sheetView>
  </sheetViews>
  <sheetFormatPr defaultColWidth="8.88671875" defaultRowHeight="12.75"/>
  <cols>
    <col min="1" max="1" width="5.6640625" style="631" customWidth="1"/>
    <col min="2" max="2" width="31.109375" style="633" customWidth="1"/>
    <col min="3" max="3" width="10.6640625" style="631" customWidth="1"/>
    <col min="4" max="4" width="9.88671875" style="631" customWidth="1"/>
    <col min="5" max="5" width="10" style="631" customWidth="1"/>
    <col min="6" max="32" width="10.5546875" style="631" customWidth="1"/>
    <col min="33" max="16384" width="8.88671875" style="631"/>
  </cols>
  <sheetData>
    <row r="1" spans="1:33" ht="15">
      <c r="A1" s="745" t="s">
        <v>1162</v>
      </c>
      <c r="B1" s="738"/>
      <c r="C1" s="738"/>
      <c r="D1" s="738"/>
      <c r="E1" s="738"/>
      <c r="F1" s="738"/>
      <c r="G1" s="738"/>
      <c r="H1" s="738"/>
      <c r="I1" s="738"/>
      <c r="J1" s="745" t="s">
        <v>444</v>
      </c>
      <c r="K1" s="738"/>
      <c r="L1" s="738"/>
      <c r="M1" s="738"/>
      <c r="N1" s="738"/>
      <c r="O1" s="745" t="s">
        <v>1162</v>
      </c>
      <c r="P1" s="746"/>
      <c r="Q1" s="746"/>
      <c r="R1" s="746"/>
      <c r="S1" s="746"/>
      <c r="T1" s="746"/>
      <c r="U1" s="747"/>
      <c r="W1" s="632" t="s">
        <v>517</v>
      </c>
      <c r="X1" s="745" t="s">
        <v>1162</v>
      </c>
      <c r="Y1" s="746"/>
      <c r="Z1" s="746"/>
      <c r="AA1" s="746"/>
      <c r="AB1" s="746"/>
      <c r="AC1" s="746"/>
      <c r="AD1" s="746"/>
      <c r="AF1" s="632" t="s">
        <v>518</v>
      </c>
    </row>
    <row r="2" spans="1:33" ht="15">
      <c r="A2" s="748" t="str">
        <f>+'Attachment O'!D5</f>
        <v>GridLiance Heartland LLC</v>
      </c>
      <c r="B2" s="748"/>
      <c r="C2" s="748"/>
      <c r="D2" s="748"/>
      <c r="E2" s="748"/>
      <c r="F2" s="748"/>
      <c r="G2" s="748"/>
      <c r="H2" s="748"/>
      <c r="I2" s="748"/>
      <c r="J2" s="748"/>
      <c r="K2" s="748"/>
      <c r="L2" s="748"/>
      <c r="M2" s="748"/>
      <c r="N2" s="748"/>
      <c r="O2" s="748" t="str">
        <f>+'Attachment O'!D5</f>
        <v>GridLiance Heartland LLC</v>
      </c>
      <c r="P2" s="742"/>
      <c r="Q2" s="742"/>
      <c r="R2" s="742"/>
      <c r="S2" s="742"/>
      <c r="T2" s="742"/>
      <c r="U2" s="742"/>
      <c r="V2" s="742"/>
      <c r="W2" s="742"/>
      <c r="X2" s="748" t="str">
        <f>+'Attachment O'!D5</f>
        <v>GridLiance Heartland LLC</v>
      </c>
      <c r="Y2" s="742"/>
      <c r="Z2" s="742"/>
      <c r="AA2" s="742"/>
      <c r="AB2" s="742"/>
      <c r="AC2" s="742"/>
      <c r="AD2" s="742"/>
      <c r="AE2" s="742"/>
      <c r="AF2" s="742"/>
    </row>
    <row r="3" spans="1:33" ht="15">
      <c r="A3" s="748" t="str">
        <f>'Attachment O'!$K$3</f>
        <v>For the 12 months ended 12/31/2020</v>
      </c>
      <c r="B3" s="748"/>
      <c r="C3" s="748"/>
      <c r="D3" s="748"/>
      <c r="E3" s="748"/>
      <c r="F3" s="748"/>
      <c r="G3" s="748"/>
      <c r="H3" s="748"/>
      <c r="I3" s="748"/>
      <c r="J3" s="748"/>
      <c r="K3" s="748"/>
      <c r="L3" s="748"/>
      <c r="M3" s="748"/>
      <c r="N3" s="748"/>
      <c r="O3" s="748" t="str">
        <f>'Attachment O'!$K$3</f>
        <v>For the 12 months ended 12/31/2020</v>
      </c>
      <c r="P3" s="742"/>
      <c r="Q3" s="742"/>
      <c r="R3" s="742"/>
      <c r="S3" s="742"/>
      <c r="T3" s="742"/>
      <c r="U3" s="742"/>
      <c r="V3" s="742"/>
      <c r="W3" s="742"/>
      <c r="X3" s="748" t="str">
        <f>'Attachment O'!$K$3</f>
        <v>For the 12 months ended 12/31/2020</v>
      </c>
      <c r="Y3" s="742"/>
      <c r="Z3" s="742"/>
      <c r="AA3" s="742"/>
      <c r="AB3" s="742"/>
      <c r="AC3" s="742"/>
      <c r="AD3" s="742"/>
      <c r="AE3" s="742"/>
      <c r="AF3" s="742"/>
    </row>
    <row r="4" spans="1:33" ht="13.5" thickBot="1"/>
    <row r="5" spans="1:33">
      <c r="F5" s="749" t="s">
        <v>77</v>
      </c>
      <c r="G5" s="750"/>
      <c r="H5" s="750"/>
      <c r="I5" s="750"/>
      <c r="J5" s="750"/>
      <c r="K5" s="750"/>
      <c r="L5" s="750"/>
      <c r="M5" s="750"/>
      <c r="N5" s="751"/>
      <c r="O5" s="749" t="s">
        <v>775</v>
      </c>
      <c r="P5" s="750"/>
      <c r="Q5" s="750"/>
      <c r="R5" s="750"/>
      <c r="S5" s="750"/>
      <c r="T5" s="750"/>
      <c r="U5" s="750"/>
      <c r="V5" s="750"/>
      <c r="W5" s="751"/>
      <c r="X5" s="749" t="s">
        <v>776</v>
      </c>
      <c r="Y5" s="750"/>
      <c r="Z5" s="750"/>
      <c r="AA5" s="750"/>
      <c r="AB5" s="750"/>
      <c r="AC5" s="750"/>
      <c r="AD5" s="750"/>
      <c r="AE5" s="750"/>
      <c r="AF5" s="751"/>
      <c r="AG5" s="634"/>
    </row>
    <row r="6" spans="1:33">
      <c r="B6" s="634" t="s">
        <v>612</v>
      </c>
      <c r="C6" s="634" t="s">
        <v>613</v>
      </c>
      <c r="D6" s="634" t="s">
        <v>614</v>
      </c>
      <c r="E6" s="634" t="s">
        <v>615</v>
      </c>
      <c r="F6" s="635" t="s">
        <v>616</v>
      </c>
      <c r="G6" s="634" t="s">
        <v>617</v>
      </c>
      <c r="H6" s="634" t="s">
        <v>618</v>
      </c>
      <c r="I6" s="634" t="s">
        <v>619</v>
      </c>
      <c r="J6" s="634" t="s">
        <v>620</v>
      </c>
      <c r="K6" s="634" t="s">
        <v>621</v>
      </c>
      <c r="L6" s="634" t="s">
        <v>622</v>
      </c>
      <c r="M6" s="634" t="s">
        <v>623</v>
      </c>
      <c r="N6" s="636" t="s">
        <v>624</v>
      </c>
      <c r="O6" s="635" t="s">
        <v>616</v>
      </c>
      <c r="P6" s="634" t="s">
        <v>617</v>
      </c>
      <c r="Q6" s="634" t="s">
        <v>618</v>
      </c>
      <c r="R6" s="634" t="s">
        <v>619</v>
      </c>
      <c r="S6" s="634" t="s">
        <v>620</v>
      </c>
      <c r="T6" s="634" t="s">
        <v>621</v>
      </c>
      <c r="U6" s="634" t="s">
        <v>622</v>
      </c>
      <c r="V6" s="634" t="s">
        <v>623</v>
      </c>
      <c r="W6" s="636" t="s">
        <v>624</v>
      </c>
      <c r="X6" s="635" t="s">
        <v>616</v>
      </c>
      <c r="Y6" s="634" t="s">
        <v>617</v>
      </c>
      <c r="Z6" s="634" t="s">
        <v>618</v>
      </c>
      <c r="AA6" s="634" t="s">
        <v>619</v>
      </c>
      <c r="AB6" s="634" t="s">
        <v>620</v>
      </c>
      <c r="AC6" s="634" t="s">
        <v>621</v>
      </c>
      <c r="AD6" s="634" t="s">
        <v>622</v>
      </c>
      <c r="AE6" s="634" t="s">
        <v>623</v>
      </c>
      <c r="AF6" s="636" t="s">
        <v>624</v>
      </c>
    </row>
    <row r="7" spans="1:33" ht="63.75">
      <c r="A7" s="637"/>
      <c r="B7" s="638" t="s">
        <v>791</v>
      </c>
      <c r="C7" s="638" t="s">
        <v>604</v>
      </c>
      <c r="D7" s="638" t="s">
        <v>792</v>
      </c>
      <c r="E7" s="638" t="s">
        <v>809</v>
      </c>
      <c r="F7" s="639" t="s">
        <v>1163</v>
      </c>
      <c r="G7" s="638" t="s">
        <v>1164</v>
      </c>
      <c r="H7" s="638" t="s">
        <v>1165</v>
      </c>
      <c r="I7" s="638" t="s">
        <v>1166</v>
      </c>
      <c r="J7" s="638" t="s">
        <v>1167</v>
      </c>
      <c r="K7" s="638" t="s">
        <v>1168</v>
      </c>
      <c r="L7" s="638" t="s">
        <v>1169</v>
      </c>
      <c r="M7" s="638" t="s">
        <v>1170</v>
      </c>
      <c r="N7" s="640" t="s">
        <v>1171</v>
      </c>
      <c r="O7" s="639" t="s">
        <v>1163</v>
      </c>
      <c r="P7" s="638" t="s">
        <v>1164</v>
      </c>
      <c r="Q7" s="638" t="s">
        <v>1165</v>
      </c>
      <c r="R7" s="638" t="s">
        <v>1166</v>
      </c>
      <c r="S7" s="638" t="s">
        <v>1167</v>
      </c>
      <c r="T7" s="638" t="s">
        <v>1168</v>
      </c>
      <c r="U7" s="638" t="s">
        <v>1169</v>
      </c>
      <c r="V7" s="638" t="s">
        <v>1170</v>
      </c>
      <c r="W7" s="640" t="s">
        <v>1171</v>
      </c>
      <c r="X7" s="639" t="s">
        <v>1163</v>
      </c>
      <c r="Y7" s="638" t="s">
        <v>1164</v>
      </c>
      <c r="Z7" s="638" t="s">
        <v>1165</v>
      </c>
      <c r="AA7" s="638" t="s">
        <v>1166</v>
      </c>
      <c r="AB7" s="638" t="s">
        <v>1167</v>
      </c>
      <c r="AC7" s="638" t="s">
        <v>1168</v>
      </c>
      <c r="AD7" s="638" t="s">
        <v>1169</v>
      </c>
      <c r="AE7" s="638" t="s">
        <v>1170</v>
      </c>
      <c r="AF7" s="640" t="s">
        <v>1171</v>
      </c>
      <c r="AG7" s="634"/>
    </row>
    <row r="8" spans="1:33">
      <c r="A8" s="631" t="s">
        <v>1172</v>
      </c>
      <c r="D8" s="634"/>
      <c r="E8" s="634"/>
      <c r="F8" s="641"/>
      <c r="N8" s="642"/>
      <c r="O8" s="641"/>
      <c r="W8" s="642"/>
      <c r="X8" s="641"/>
      <c r="AF8" s="642"/>
      <c r="AG8" s="634"/>
    </row>
    <row r="9" spans="1:33">
      <c r="A9" s="632">
        <v>1</v>
      </c>
      <c r="B9" s="633" t="s">
        <v>815</v>
      </c>
      <c r="C9" s="631" t="s">
        <v>717</v>
      </c>
      <c r="D9" s="643">
        <v>2019</v>
      </c>
      <c r="E9" s="644">
        <f>365/365</f>
        <v>1</v>
      </c>
      <c r="F9" s="645"/>
      <c r="G9" s="494"/>
      <c r="H9" s="494">
        <f>'8c- ADIT BOY'!E54</f>
        <v>0</v>
      </c>
      <c r="I9" s="494"/>
      <c r="J9" s="494"/>
      <c r="K9" s="494"/>
      <c r="L9" s="494"/>
      <c r="M9" s="494"/>
      <c r="N9" s="646">
        <f>'8c- ADIT BOY'!E54</f>
        <v>0</v>
      </c>
      <c r="O9" s="645"/>
      <c r="P9" s="494"/>
      <c r="Q9" s="494">
        <f>'8c- ADIT BOY'!F54</f>
        <v>0</v>
      </c>
      <c r="R9" s="494"/>
      <c r="S9" s="494"/>
      <c r="T9" s="494"/>
      <c r="U9" s="494"/>
      <c r="V9" s="494"/>
      <c r="W9" s="646">
        <v>0</v>
      </c>
      <c r="X9" s="645"/>
      <c r="Y9" s="494"/>
      <c r="Z9" s="494">
        <f>'8c- ADIT BOY'!G54</f>
        <v>0</v>
      </c>
      <c r="AA9" s="494"/>
      <c r="AB9" s="494"/>
      <c r="AC9" s="494"/>
      <c r="AD9" s="494"/>
      <c r="AE9" s="494"/>
      <c r="AF9" s="646">
        <v>0</v>
      </c>
    </row>
    <row r="10" spans="1:33">
      <c r="A10" s="632">
        <f t="shared" ref="A10:A22" si="0">+A9+1</f>
        <v>2</v>
      </c>
      <c r="B10" s="633" t="s">
        <v>816</v>
      </c>
      <c r="C10" s="631" t="s">
        <v>641</v>
      </c>
      <c r="D10" s="643">
        <v>2020</v>
      </c>
      <c r="E10" s="644">
        <f>335/365</f>
        <v>0.9178082191780822</v>
      </c>
      <c r="F10" s="645">
        <f>'8b-ADIT Projection Proration'!G10</f>
        <v>0</v>
      </c>
      <c r="G10" s="494">
        <f t="shared" ref="G10:G21" si="1">$E10*F10</f>
        <v>0</v>
      </c>
      <c r="H10" s="494">
        <f t="shared" ref="H10:H21" si="2">+G10+H9</f>
        <v>0</v>
      </c>
      <c r="I10" s="647">
        <v>0</v>
      </c>
      <c r="J10" s="494">
        <f t="shared" ref="J10:J21" si="3">I10-F10</f>
        <v>0</v>
      </c>
      <c r="K10" s="494">
        <f t="shared" ref="K10:K21" si="4">IF(J10&gt;=0,+J10*0.5,0)</f>
        <v>0</v>
      </c>
      <c r="L10" s="494">
        <f t="shared" ref="L10:L21" si="5">IF(K10&gt;0,0,IF(I10&lt;0,0,(-(J10)*0.5)))</f>
        <v>0</v>
      </c>
      <c r="M10" s="494">
        <f t="shared" ref="M10:M21" si="6">IF(K10&gt;0,0,IF(I10&gt;0,0,(-(J10)*0.5)))</f>
        <v>0</v>
      </c>
      <c r="N10" s="646">
        <f t="shared" ref="N10:N21" si="7">+N9+G10+K10-L10-M10</f>
        <v>0</v>
      </c>
      <c r="O10" s="645">
        <f>'8b-ADIT Projection Proration'!I10</f>
        <v>0</v>
      </c>
      <c r="P10" s="494">
        <f t="shared" ref="P10:P21" si="8">$E10*O10</f>
        <v>0</v>
      </c>
      <c r="Q10" s="494">
        <f t="shared" ref="Q10:Q21" si="9">+P10+Q9</f>
        <v>0</v>
      </c>
      <c r="R10" s="647">
        <v>0</v>
      </c>
      <c r="S10" s="494">
        <f t="shared" ref="S10:S21" si="10">R10-O10</f>
        <v>0</v>
      </c>
      <c r="T10" s="494">
        <f t="shared" ref="T10:T21" si="11">IF(S10&gt;=0,+S10,0)</f>
        <v>0</v>
      </c>
      <c r="U10" s="494">
        <f t="shared" ref="U10:U21" si="12">IF(T10&gt;0,0,IF(R10&lt;0,0,(-(S10)*($E10))))</f>
        <v>0</v>
      </c>
      <c r="V10" s="494">
        <f t="shared" ref="V10:V21" si="13">IF(T10&gt;0,0,IF(R10&gt;0,0,(-(S10)*($E10))))</f>
        <v>0</v>
      </c>
      <c r="W10" s="646">
        <f t="shared" ref="W10:W21" si="14">IF(R10&lt;0,W9+V10,W9+P10+T10-U10)</f>
        <v>0</v>
      </c>
      <c r="X10" s="645">
        <f>'8b-ADIT Projection Proration'!K10</f>
        <v>0</v>
      </c>
      <c r="Y10" s="494">
        <f t="shared" ref="Y10:Y21" si="15">$E10*X10</f>
        <v>0</v>
      </c>
      <c r="Z10" s="494">
        <f t="shared" ref="Z10:Z21" si="16">+Y10+Z9</f>
        <v>0</v>
      </c>
      <c r="AA10" s="647">
        <v>0</v>
      </c>
      <c r="AB10" s="494">
        <f t="shared" ref="AB10:AB21" si="17">AA10-X10</f>
        <v>0</v>
      </c>
      <c r="AC10" s="494">
        <f t="shared" ref="AC10:AC21" si="18">IF(AB10&gt;=0,+AB10,0)</f>
        <v>0</v>
      </c>
      <c r="AD10" s="494">
        <f t="shared" ref="AD10:AD21" si="19">IF(AC10&gt;0,0,IF(AA10&lt;0,0,(-(AB10)*($E10))))</f>
        <v>0</v>
      </c>
      <c r="AE10" s="494">
        <f t="shared" ref="AE10:AE21" si="20">IF(AC10&gt;0,0,IF(AA10&gt;0,0,(-(AB10)*($E10))))</f>
        <v>0</v>
      </c>
      <c r="AF10" s="646">
        <f t="shared" ref="AF10:AF21" si="21">IF(AA10&lt;0,AF9+AE10,AF9+Y10+AC10-AD10)</f>
        <v>0</v>
      </c>
    </row>
    <row r="11" spans="1:33">
      <c r="A11" s="632">
        <f t="shared" si="0"/>
        <v>3</v>
      </c>
      <c r="B11" s="633" t="s">
        <v>816</v>
      </c>
      <c r="C11" s="631" t="s">
        <v>642</v>
      </c>
      <c r="D11" s="643">
        <v>2020</v>
      </c>
      <c r="E11" s="644">
        <f>307/365</f>
        <v>0.84109589041095889</v>
      </c>
      <c r="F11" s="645">
        <f>'8b-ADIT Projection Proration'!G11</f>
        <v>0</v>
      </c>
      <c r="G11" s="494">
        <f t="shared" si="1"/>
        <v>0</v>
      </c>
      <c r="H11" s="494">
        <f t="shared" si="2"/>
        <v>0</v>
      </c>
      <c r="I11" s="647">
        <v>0</v>
      </c>
      <c r="J11" s="494">
        <f t="shared" si="3"/>
        <v>0</v>
      </c>
      <c r="K11" s="494">
        <f t="shared" si="4"/>
        <v>0</v>
      </c>
      <c r="L11" s="494">
        <f t="shared" si="5"/>
        <v>0</v>
      </c>
      <c r="M11" s="494">
        <f t="shared" si="6"/>
        <v>0</v>
      </c>
      <c r="N11" s="646">
        <f t="shared" si="7"/>
        <v>0</v>
      </c>
      <c r="O11" s="645">
        <f>'8b-ADIT Projection Proration'!I11</f>
        <v>0</v>
      </c>
      <c r="P11" s="494">
        <f t="shared" si="8"/>
        <v>0</v>
      </c>
      <c r="Q11" s="494">
        <f t="shared" si="9"/>
        <v>0</v>
      </c>
      <c r="R11" s="647">
        <v>0</v>
      </c>
      <c r="S11" s="494">
        <f t="shared" si="10"/>
        <v>0</v>
      </c>
      <c r="T11" s="494">
        <f t="shared" si="11"/>
        <v>0</v>
      </c>
      <c r="U11" s="494">
        <f t="shared" si="12"/>
        <v>0</v>
      </c>
      <c r="V11" s="494">
        <f t="shared" si="13"/>
        <v>0</v>
      </c>
      <c r="W11" s="646">
        <f t="shared" si="14"/>
        <v>0</v>
      </c>
      <c r="X11" s="645">
        <f>'8b-ADIT Projection Proration'!K11</f>
        <v>0</v>
      </c>
      <c r="Y11" s="494">
        <f t="shared" si="15"/>
        <v>0</v>
      </c>
      <c r="Z11" s="494">
        <f t="shared" si="16"/>
        <v>0</v>
      </c>
      <c r="AA11" s="647">
        <v>0</v>
      </c>
      <c r="AB11" s="494">
        <f t="shared" si="17"/>
        <v>0</v>
      </c>
      <c r="AC11" s="494">
        <f t="shared" si="18"/>
        <v>0</v>
      </c>
      <c r="AD11" s="494">
        <f t="shared" si="19"/>
        <v>0</v>
      </c>
      <c r="AE11" s="494">
        <f t="shared" si="20"/>
        <v>0</v>
      </c>
      <c r="AF11" s="646">
        <f t="shared" si="21"/>
        <v>0</v>
      </c>
    </row>
    <row r="12" spans="1:33">
      <c r="A12" s="632">
        <f t="shared" si="0"/>
        <v>4</v>
      </c>
      <c r="B12" s="633" t="s">
        <v>816</v>
      </c>
      <c r="C12" s="631" t="s">
        <v>714</v>
      </c>
      <c r="D12" s="643">
        <v>2020</v>
      </c>
      <c r="E12" s="644">
        <f>276/365</f>
        <v>0.75616438356164384</v>
      </c>
      <c r="F12" s="645">
        <f>'8b-ADIT Projection Proration'!G12</f>
        <v>0</v>
      </c>
      <c r="G12" s="494">
        <f t="shared" si="1"/>
        <v>0</v>
      </c>
      <c r="H12" s="494">
        <f t="shared" si="2"/>
        <v>0</v>
      </c>
      <c r="I12" s="647">
        <v>-13793</v>
      </c>
      <c r="J12" s="494">
        <f t="shared" si="3"/>
        <v>-13793</v>
      </c>
      <c r="K12" s="494">
        <f t="shared" si="4"/>
        <v>0</v>
      </c>
      <c r="L12" s="494">
        <f t="shared" si="5"/>
        <v>0</v>
      </c>
      <c r="M12" s="494">
        <f t="shared" si="6"/>
        <v>6896.5</v>
      </c>
      <c r="N12" s="646">
        <f t="shared" si="7"/>
        <v>-6896.5</v>
      </c>
      <c r="O12" s="645">
        <f>'8b-ADIT Projection Proration'!I12</f>
        <v>0</v>
      </c>
      <c r="P12" s="494">
        <f t="shared" si="8"/>
        <v>0</v>
      </c>
      <c r="Q12" s="494">
        <f t="shared" si="9"/>
        <v>0</v>
      </c>
      <c r="R12" s="647">
        <v>0</v>
      </c>
      <c r="S12" s="494">
        <f t="shared" si="10"/>
        <v>0</v>
      </c>
      <c r="T12" s="494">
        <f t="shared" si="11"/>
        <v>0</v>
      </c>
      <c r="U12" s="494">
        <f t="shared" si="12"/>
        <v>0</v>
      </c>
      <c r="V12" s="494">
        <f t="shared" si="13"/>
        <v>0</v>
      </c>
      <c r="W12" s="646">
        <f t="shared" si="14"/>
        <v>0</v>
      </c>
      <c r="X12" s="645">
        <f>'8b-ADIT Projection Proration'!K12</f>
        <v>0</v>
      </c>
      <c r="Y12" s="494">
        <f t="shared" si="15"/>
        <v>0</v>
      </c>
      <c r="Z12" s="494">
        <f t="shared" si="16"/>
        <v>0</v>
      </c>
      <c r="AA12" s="647">
        <v>0</v>
      </c>
      <c r="AB12" s="494">
        <f t="shared" si="17"/>
        <v>0</v>
      </c>
      <c r="AC12" s="494">
        <f t="shared" si="18"/>
        <v>0</v>
      </c>
      <c r="AD12" s="494">
        <f t="shared" si="19"/>
        <v>0</v>
      </c>
      <c r="AE12" s="494">
        <f t="shared" si="20"/>
        <v>0</v>
      </c>
      <c r="AF12" s="646">
        <f t="shared" si="21"/>
        <v>0</v>
      </c>
    </row>
    <row r="13" spans="1:33">
      <c r="A13" s="632">
        <f t="shared" si="0"/>
        <v>5</v>
      </c>
      <c r="B13" s="633" t="s">
        <v>816</v>
      </c>
      <c r="C13" s="631" t="s">
        <v>644</v>
      </c>
      <c r="D13" s="643">
        <v>2020</v>
      </c>
      <c r="E13" s="644">
        <f>246/365</f>
        <v>0.67397260273972603</v>
      </c>
      <c r="F13" s="645">
        <f>'8b-ADIT Projection Proration'!G13</f>
        <v>0</v>
      </c>
      <c r="G13" s="494">
        <f t="shared" si="1"/>
        <v>0</v>
      </c>
      <c r="H13" s="494">
        <f t="shared" si="2"/>
        <v>0</v>
      </c>
      <c r="I13" s="647">
        <v>-13794</v>
      </c>
      <c r="J13" s="494">
        <f t="shared" si="3"/>
        <v>-13794</v>
      </c>
      <c r="K13" s="494">
        <f t="shared" si="4"/>
        <v>0</v>
      </c>
      <c r="L13" s="494">
        <f t="shared" si="5"/>
        <v>0</v>
      </c>
      <c r="M13" s="494">
        <f t="shared" si="6"/>
        <v>6897</v>
      </c>
      <c r="N13" s="646">
        <f t="shared" si="7"/>
        <v>-13793.5</v>
      </c>
      <c r="O13" s="645">
        <f>'8b-ADIT Projection Proration'!I13</f>
        <v>0</v>
      </c>
      <c r="P13" s="494">
        <f t="shared" si="8"/>
        <v>0</v>
      </c>
      <c r="Q13" s="494">
        <f t="shared" si="9"/>
        <v>0</v>
      </c>
      <c r="R13" s="647">
        <v>0</v>
      </c>
      <c r="S13" s="494">
        <f t="shared" si="10"/>
        <v>0</v>
      </c>
      <c r="T13" s="494">
        <f t="shared" si="11"/>
        <v>0</v>
      </c>
      <c r="U13" s="494">
        <f t="shared" si="12"/>
        <v>0</v>
      </c>
      <c r="V13" s="494">
        <f t="shared" si="13"/>
        <v>0</v>
      </c>
      <c r="W13" s="646">
        <f t="shared" si="14"/>
        <v>0</v>
      </c>
      <c r="X13" s="645">
        <f>'8b-ADIT Projection Proration'!K13</f>
        <v>0</v>
      </c>
      <c r="Y13" s="494">
        <f t="shared" si="15"/>
        <v>0</v>
      </c>
      <c r="Z13" s="494">
        <f t="shared" si="16"/>
        <v>0</v>
      </c>
      <c r="AA13" s="647">
        <v>0</v>
      </c>
      <c r="AB13" s="494">
        <f t="shared" si="17"/>
        <v>0</v>
      </c>
      <c r="AC13" s="494">
        <f t="shared" si="18"/>
        <v>0</v>
      </c>
      <c r="AD13" s="494">
        <f t="shared" si="19"/>
        <v>0</v>
      </c>
      <c r="AE13" s="494">
        <f t="shared" si="20"/>
        <v>0</v>
      </c>
      <c r="AF13" s="646">
        <f t="shared" si="21"/>
        <v>0</v>
      </c>
    </row>
    <row r="14" spans="1:33">
      <c r="A14" s="632">
        <f t="shared" si="0"/>
        <v>6</v>
      </c>
      <c r="B14" s="633" t="s">
        <v>816</v>
      </c>
      <c r="C14" s="631" t="s">
        <v>645</v>
      </c>
      <c r="D14" s="643">
        <v>2020</v>
      </c>
      <c r="E14" s="644">
        <f>215/365</f>
        <v>0.58904109589041098</v>
      </c>
      <c r="F14" s="645">
        <f>'8b-ADIT Projection Proration'!G14</f>
        <v>0</v>
      </c>
      <c r="G14" s="494">
        <f t="shared" si="1"/>
        <v>0</v>
      </c>
      <c r="H14" s="494">
        <f t="shared" si="2"/>
        <v>0</v>
      </c>
      <c r="I14" s="647">
        <v>-13794</v>
      </c>
      <c r="J14" s="494">
        <f t="shared" si="3"/>
        <v>-13794</v>
      </c>
      <c r="K14" s="494">
        <f t="shared" si="4"/>
        <v>0</v>
      </c>
      <c r="L14" s="494">
        <f t="shared" si="5"/>
        <v>0</v>
      </c>
      <c r="M14" s="494">
        <f t="shared" si="6"/>
        <v>6897</v>
      </c>
      <c r="N14" s="646">
        <f t="shared" si="7"/>
        <v>-20690.5</v>
      </c>
      <c r="O14" s="645">
        <f>'8b-ADIT Projection Proration'!I14</f>
        <v>0</v>
      </c>
      <c r="P14" s="494">
        <f t="shared" si="8"/>
        <v>0</v>
      </c>
      <c r="Q14" s="494">
        <f t="shared" si="9"/>
        <v>0</v>
      </c>
      <c r="R14" s="647">
        <v>0</v>
      </c>
      <c r="S14" s="494">
        <f t="shared" si="10"/>
        <v>0</v>
      </c>
      <c r="T14" s="494">
        <f t="shared" si="11"/>
        <v>0</v>
      </c>
      <c r="U14" s="494">
        <f t="shared" si="12"/>
        <v>0</v>
      </c>
      <c r="V14" s="494">
        <f t="shared" si="13"/>
        <v>0</v>
      </c>
      <c r="W14" s="646">
        <f t="shared" si="14"/>
        <v>0</v>
      </c>
      <c r="X14" s="645">
        <f>'8b-ADIT Projection Proration'!K14</f>
        <v>0</v>
      </c>
      <c r="Y14" s="494">
        <f t="shared" si="15"/>
        <v>0</v>
      </c>
      <c r="Z14" s="494">
        <f t="shared" si="16"/>
        <v>0</v>
      </c>
      <c r="AA14" s="647">
        <v>0</v>
      </c>
      <c r="AB14" s="494">
        <f t="shared" si="17"/>
        <v>0</v>
      </c>
      <c r="AC14" s="494">
        <f t="shared" si="18"/>
        <v>0</v>
      </c>
      <c r="AD14" s="494">
        <f t="shared" si="19"/>
        <v>0</v>
      </c>
      <c r="AE14" s="494">
        <f t="shared" si="20"/>
        <v>0</v>
      </c>
      <c r="AF14" s="646">
        <f t="shared" si="21"/>
        <v>0</v>
      </c>
    </row>
    <row r="15" spans="1:33">
      <c r="A15" s="632">
        <f t="shared" si="0"/>
        <v>7</v>
      </c>
      <c r="B15" s="633" t="s">
        <v>816</v>
      </c>
      <c r="C15" s="631" t="s">
        <v>646</v>
      </c>
      <c r="D15" s="643">
        <v>2020</v>
      </c>
      <c r="E15" s="644">
        <f>185/365</f>
        <v>0.50684931506849318</v>
      </c>
      <c r="F15" s="645">
        <f>'8b-ADIT Projection Proration'!G15</f>
        <v>0</v>
      </c>
      <c r="G15" s="494">
        <f t="shared" si="1"/>
        <v>0</v>
      </c>
      <c r="H15" s="494">
        <f t="shared" si="2"/>
        <v>0</v>
      </c>
      <c r="I15" s="647">
        <v>-13794</v>
      </c>
      <c r="J15" s="494">
        <f t="shared" si="3"/>
        <v>-13794</v>
      </c>
      <c r="K15" s="494">
        <f t="shared" si="4"/>
        <v>0</v>
      </c>
      <c r="L15" s="494">
        <f t="shared" si="5"/>
        <v>0</v>
      </c>
      <c r="M15" s="494">
        <f t="shared" si="6"/>
        <v>6897</v>
      </c>
      <c r="N15" s="646">
        <f t="shared" si="7"/>
        <v>-27587.5</v>
      </c>
      <c r="O15" s="645">
        <f>'8b-ADIT Projection Proration'!I15</f>
        <v>0</v>
      </c>
      <c r="P15" s="494">
        <f t="shared" si="8"/>
        <v>0</v>
      </c>
      <c r="Q15" s="494">
        <f t="shared" si="9"/>
        <v>0</v>
      </c>
      <c r="R15" s="647">
        <v>0</v>
      </c>
      <c r="S15" s="494">
        <f t="shared" si="10"/>
        <v>0</v>
      </c>
      <c r="T15" s="494">
        <f t="shared" si="11"/>
        <v>0</v>
      </c>
      <c r="U15" s="494">
        <f t="shared" si="12"/>
        <v>0</v>
      </c>
      <c r="V15" s="494">
        <f t="shared" si="13"/>
        <v>0</v>
      </c>
      <c r="W15" s="646">
        <f t="shared" si="14"/>
        <v>0</v>
      </c>
      <c r="X15" s="645">
        <f>'8b-ADIT Projection Proration'!K15</f>
        <v>0</v>
      </c>
      <c r="Y15" s="494">
        <f t="shared" si="15"/>
        <v>0</v>
      </c>
      <c r="Z15" s="494">
        <f t="shared" si="16"/>
        <v>0</v>
      </c>
      <c r="AA15" s="647">
        <v>0</v>
      </c>
      <c r="AB15" s="494">
        <f t="shared" si="17"/>
        <v>0</v>
      </c>
      <c r="AC15" s="494">
        <f t="shared" si="18"/>
        <v>0</v>
      </c>
      <c r="AD15" s="494">
        <f t="shared" si="19"/>
        <v>0</v>
      </c>
      <c r="AE15" s="494">
        <f t="shared" si="20"/>
        <v>0</v>
      </c>
      <c r="AF15" s="646">
        <f t="shared" si="21"/>
        <v>0</v>
      </c>
    </row>
    <row r="16" spans="1:33">
      <c r="A16" s="632">
        <f t="shared" si="0"/>
        <v>8</v>
      </c>
      <c r="B16" s="633" t="s">
        <v>816</v>
      </c>
      <c r="C16" s="631" t="s">
        <v>647</v>
      </c>
      <c r="D16" s="643">
        <v>2020</v>
      </c>
      <c r="E16" s="644">
        <f>154/365</f>
        <v>0.42191780821917807</v>
      </c>
      <c r="F16" s="645">
        <f>'8b-ADIT Projection Proration'!G16</f>
        <v>0</v>
      </c>
      <c r="G16" s="494">
        <f t="shared" si="1"/>
        <v>0</v>
      </c>
      <c r="H16" s="494">
        <f t="shared" si="2"/>
        <v>0</v>
      </c>
      <c r="I16" s="647">
        <v>-13794</v>
      </c>
      <c r="J16" s="494">
        <f t="shared" si="3"/>
        <v>-13794</v>
      </c>
      <c r="K16" s="494">
        <f t="shared" si="4"/>
        <v>0</v>
      </c>
      <c r="L16" s="494">
        <f t="shared" si="5"/>
        <v>0</v>
      </c>
      <c r="M16" s="494">
        <f t="shared" si="6"/>
        <v>6897</v>
      </c>
      <c r="N16" s="646">
        <f t="shared" si="7"/>
        <v>-34484.5</v>
      </c>
      <c r="O16" s="645">
        <f>'8b-ADIT Projection Proration'!I16</f>
        <v>0</v>
      </c>
      <c r="P16" s="494">
        <f t="shared" si="8"/>
        <v>0</v>
      </c>
      <c r="Q16" s="494">
        <f t="shared" si="9"/>
        <v>0</v>
      </c>
      <c r="R16" s="647">
        <v>0</v>
      </c>
      <c r="S16" s="494">
        <f t="shared" si="10"/>
        <v>0</v>
      </c>
      <c r="T16" s="494">
        <f t="shared" si="11"/>
        <v>0</v>
      </c>
      <c r="U16" s="494">
        <f t="shared" si="12"/>
        <v>0</v>
      </c>
      <c r="V16" s="494">
        <f t="shared" si="13"/>
        <v>0</v>
      </c>
      <c r="W16" s="646">
        <f t="shared" si="14"/>
        <v>0</v>
      </c>
      <c r="X16" s="645">
        <f>'8b-ADIT Projection Proration'!K16</f>
        <v>0</v>
      </c>
      <c r="Y16" s="494">
        <f t="shared" si="15"/>
        <v>0</v>
      </c>
      <c r="Z16" s="494">
        <f t="shared" si="16"/>
        <v>0</v>
      </c>
      <c r="AA16" s="647">
        <v>0</v>
      </c>
      <c r="AB16" s="494">
        <f t="shared" si="17"/>
        <v>0</v>
      </c>
      <c r="AC16" s="494">
        <f t="shared" si="18"/>
        <v>0</v>
      </c>
      <c r="AD16" s="494">
        <f t="shared" si="19"/>
        <v>0</v>
      </c>
      <c r="AE16" s="494">
        <f t="shared" si="20"/>
        <v>0</v>
      </c>
      <c r="AF16" s="646">
        <f t="shared" si="21"/>
        <v>0</v>
      </c>
    </row>
    <row r="17" spans="1:33">
      <c r="A17" s="632">
        <f t="shared" si="0"/>
        <v>9</v>
      </c>
      <c r="B17" s="633" t="s">
        <v>816</v>
      </c>
      <c r="C17" s="631" t="s">
        <v>716</v>
      </c>
      <c r="D17" s="643">
        <v>2020</v>
      </c>
      <c r="E17" s="644">
        <f>123/365</f>
        <v>0.33698630136986302</v>
      </c>
      <c r="F17" s="645">
        <f>'8b-ADIT Projection Proration'!G17</f>
        <v>0</v>
      </c>
      <c r="G17" s="494">
        <f t="shared" si="1"/>
        <v>0</v>
      </c>
      <c r="H17" s="494">
        <f t="shared" si="2"/>
        <v>0</v>
      </c>
      <c r="I17" s="647">
        <v>-13794</v>
      </c>
      <c r="J17" s="494">
        <f t="shared" si="3"/>
        <v>-13794</v>
      </c>
      <c r="K17" s="494">
        <f t="shared" si="4"/>
        <v>0</v>
      </c>
      <c r="L17" s="494">
        <f t="shared" si="5"/>
        <v>0</v>
      </c>
      <c r="M17" s="494">
        <f t="shared" si="6"/>
        <v>6897</v>
      </c>
      <c r="N17" s="646">
        <f t="shared" si="7"/>
        <v>-41381.5</v>
      </c>
      <c r="O17" s="645">
        <f>'8b-ADIT Projection Proration'!I17</f>
        <v>0</v>
      </c>
      <c r="P17" s="494">
        <f t="shared" si="8"/>
        <v>0</v>
      </c>
      <c r="Q17" s="494">
        <f t="shared" si="9"/>
        <v>0</v>
      </c>
      <c r="R17" s="647">
        <v>0</v>
      </c>
      <c r="S17" s="494">
        <f t="shared" si="10"/>
        <v>0</v>
      </c>
      <c r="T17" s="494">
        <f t="shared" si="11"/>
        <v>0</v>
      </c>
      <c r="U17" s="494">
        <f t="shared" si="12"/>
        <v>0</v>
      </c>
      <c r="V17" s="494">
        <f t="shared" si="13"/>
        <v>0</v>
      </c>
      <c r="W17" s="646">
        <f t="shared" si="14"/>
        <v>0</v>
      </c>
      <c r="X17" s="645">
        <f>'8b-ADIT Projection Proration'!K17</f>
        <v>0</v>
      </c>
      <c r="Y17" s="494">
        <f t="shared" si="15"/>
        <v>0</v>
      </c>
      <c r="Z17" s="494">
        <f t="shared" si="16"/>
        <v>0</v>
      </c>
      <c r="AA17" s="647">
        <v>0</v>
      </c>
      <c r="AB17" s="494">
        <f t="shared" si="17"/>
        <v>0</v>
      </c>
      <c r="AC17" s="494">
        <f t="shared" si="18"/>
        <v>0</v>
      </c>
      <c r="AD17" s="494">
        <f t="shared" si="19"/>
        <v>0</v>
      </c>
      <c r="AE17" s="494">
        <f t="shared" si="20"/>
        <v>0</v>
      </c>
      <c r="AF17" s="646">
        <f t="shared" si="21"/>
        <v>0</v>
      </c>
    </row>
    <row r="18" spans="1:33">
      <c r="A18" s="632">
        <f t="shared" si="0"/>
        <v>10</v>
      </c>
      <c r="B18" s="633" t="s">
        <v>816</v>
      </c>
      <c r="C18" s="631" t="s">
        <v>649</v>
      </c>
      <c r="D18" s="643">
        <v>2020</v>
      </c>
      <c r="E18" s="644">
        <f>93/365</f>
        <v>0.25479452054794521</v>
      </c>
      <c r="F18" s="645">
        <f>'8b-ADIT Projection Proration'!G18</f>
        <v>-59615.25</v>
      </c>
      <c r="G18" s="494">
        <f t="shared" si="1"/>
        <v>-15189.63904109589</v>
      </c>
      <c r="H18" s="494">
        <f t="shared" si="2"/>
        <v>-15189.63904109589</v>
      </c>
      <c r="I18" s="647">
        <v>-13794</v>
      </c>
      <c r="J18" s="494">
        <f t="shared" si="3"/>
        <v>45821.25</v>
      </c>
      <c r="K18" s="494">
        <f t="shared" si="4"/>
        <v>22910.625</v>
      </c>
      <c r="L18" s="494">
        <f t="shared" si="5"/>
        <v>0</v>
      </c>
      <c r="M18" s="494">
        <f t="shared" si="6"/>
        <v>0</v>
      </c>
      <c r="N18" s="646">
        <f t="shared" si="7"/>
        <v>-33660.514041095892</v>
      </c>
      <c r="O18" s="645">
        <f>'8b-ADIT Projection Proration'!I18</f>
        <v>0</v>
      </c>
      <c r="P18" s="494">
        <f t="shared" si="8"/>
        <v>0</v>
      </c>
      <c r="Q18" s="494">
        <f t="shared" si="9"/>
        <v>0</v>
      </c>
      <c r="R18" s="647">
        <v>0</v>
      </c>
      <c r="S18" s="494">
        <f t="shared" si="10"/>
        <v>0</v>
      </c>
      <c r="T18" s="494">
        <f t="shared" si="11"/>
        <v>0</v>
      </c>
      <c r="U18" s="494">
        <f t="shared" si="12"/>
        <v>0</v>
      </c>
      <c r="V18" s="494">
        <f t="shared" si="13"/>
        <v>0</v>
      </c>
      <c r="W18" s="646">
        <f t="shared" si="14"/>
        <v>0</v>
      </c>
      <c r="X18" s="645">
        <f>'8b-ADIT Projection Proration'!K18</f>
        <v>0</v>
      </c>
      <c r="Y18" s="494">
        <f t="shared" si="15"/>
        <v>0</v>
      </c>
      <c r="Z18" s="494">
        <f t="shared" si="16"/>
        <v>0</v>
      </c>
      <c r="AA18" s="647">
        <v>0</v>
      </c>
      <c r="AB18" s="494">
        <f t="shared" si="17"/>
        <v>0</v>
      </c>
      <c r="AC18" s="494">
        <f t="shared" si="18"/>
        <v>0</v>
      </c>
      <c r="AD18" s="494">
        <f t="shared" si="19"/>
        <v>0</v>
      </c>
      <c r="AE18" s="494">
        <f t="shared" si="20"/>
        <v>0</v>
      </c>
      <c r="AF18" s="646">
        <f t="shared" si="21"/>
        <v>0</v>
      </c>
    </row>
    <row r="19" spans="1:33">
      <c r="A19" s="632">
        <f t="shared" si="0"/>
        <v>11</v>
      </c>
      <c r="B19" s="633" t="s">
        <v>816</v>
      </c>
      <c r="C19" s="631" t="s">
        <v>650</v>
      </c>
      <c r="D19" s="643">
        <v>2020</v>
      </c>
      <c r="E19" s="644">
        <f>62/365</f>
        <v>0.16986301369863013</v>
      </c>
      <c r="F19" s="645">
        <f>'8b-ADIT Projection Proration'!G19</f>
        <v>-59615.25</v>
      </c>
      <c r="G19" s="494">
        <f t="shared" si="1"/>
        <v>-10126.42602739726</v>
      </c>
      <c r="H19" s="494">
        <f t="shared" si="2"/>
        <v>-25316.06506849315</v>
      </c>
      <c r="I19" s="647">
        <v>-13794</v>
      </c>
      <c r="J19" s="494">
        <f t="shared" si="3"/>
        <v>45821.25</v>
      </c>
      <c r="K19" s="494">
        <f t="shared" si="4"/>
        <v>22910.625</v>
      </c>
      <c r="L19" s="494">
        <f t="shared" si="5"/>
        <v>0</v>
      </c>
      <c r="M19" s="494">
        <f t="shared" si="6"/>
        <v>0</v>
      </c>
      <c r="N19" s="646">
        <f t="shared" si="7"/>
        <v>-20876.315068493153</v>
      </c>
      <c r="O19" s="645">
        <f>'8b-ADIT Projection Proration'!I19</f>
        <v>0</v>
      </c>
      <c r="P19" s="494">
        <f t="shared" si="8"/>
        <v>0</v>
      </c>
      <c r="Q19" s="494">
        <f t="shared" si="9"/>
        <v>0</v>
      </c>
      <c r="R19" s="647">
        <v>0</v>
      </c>
      <c r="S19" s="494">
        <f t="shared" si="10"/>
        <v>0</v>
      </c>
      <c r="T19" s="494">
        <f t="shared" si="11"/>
        <v>0</v>
      </c>
      <c r="U19" s="494">
        <f t="shared" si="12"/>
        <v>0</v>
      </c>
      <c r="V19" s="494">
        <f t="shared" si="13"/>
        <v>0</v>
      </c>
      <c r="W19" s="646">
        <f t="shared" si="14"/>
        <v>0</v>
      </c>
      <c r="X19" s="645">
        <f>'8b-ADIT Projection Proration'!K19</f>
        <v>0</v>
      </c>
      <c r="Y19" s="494">
        <f t="shared" si="15"/>
        <v>0</v>
      </c>
      <c r="Z19" s="494">
        <f t="shared" si="16"/>
        <v>0</v>
      </c>
      <c r="AA19" s="647">
        <v>0</v>
      </c>
      <c r="AB19" s="494">
        <f t="shared" si="17"/>
        <v>0</v>
      </c>
      <c r="AC19" s="494">
        <f t="shared" si="18"/>
        <v>0</v>
      </c>
      <c r="AD19" s="494">
        <f t="shared" si="19"/>
        <v>0</v>
      </c>
      <c r="AE19" s="494">
        <f t="shared" si="20"/>
        <v>0</v>
      </c>
      <c r="AF19" s="646">
        <f t="shared" si="21"/>
        <v>0</v>
      </c>
    </row>
    <row r="20" spans="1:33">
      <c r="A20" s="632">
        <f t="shared" si="0"/>
        <v>12</v>
      </c>
      <c r="B20" s="633" t="s">
        <v>816</v>
      </c>
      <c r="C20" s="631" t="s">
        <v>651</v>
      </c>
      <c r="D20" s="643">
        <v>2020</v>
      </c>
      <c r="E20" s="644">
        <f>32/365</f>
        <v>8.7671232876712329E-2</v>
      </c>
      <c r="F20" s="645">
        <f>'8b-ADIT Projection Proration'!G20</f>
        <v>-59615.25</v>
      </c>
      <c r="G20" s="494">
        <f t="shared" si="1"/>
        <v>-5226.5424657534249</v>
      </c>
      <c r="H20" s="494">
        <f t="shared" si="2"/>
        <v>-30542.607534246574</v>
      </c>
      <c r="I20" s="647">
        <v>-13794</v>
      </c>
      <c r="J20" s="494">
        <f t="shared" si="3"/>
        <v>45821.25</v>
      </c>
      <c r="K20" s="494">
        <f t="shared" si="4"/>
        <v>22910.625</v>
      </c>
      <c r="L20" s="494">
        <f t="shared" si="5"/>
        <v>0</v>
      </c>
      <c r="M20" s="494">
        <f t="shared" si="6"/>
        <v>0</v>
      </c>
      <c r="N20" s="646">
        <f t="shared" si="7"/>
        <v>-3192.2325342465774</v>
      </c>
      <c r="O20" s="645">
        <f>'8b-ADIT Projection Proration'!I20</f>
        <v>0</v>
      </c>
      <c r="P20" s="494">
        <f t="shared" si="8"/>
        <v>0</v>
      </c>
      <c r="Q20" s="494">
        <f t="shared" si="9"/>
        <v>0</v>
      </c>
      <c r="R20" s="647">
        <v>0</v>
      </c>
      <c r="S20" s="494">
        <f t="shared" si="10"/>
        <v>0</v>
      </c>
      <c r="T20" s="494">
        <f t="shared" si="11"/>
        <v>0</v>
      </c>
      <c r="U20" s="494">
        <f t="shared" si="12"/>
        <v>0</v>
      </c>
      <c r="V20" s="494">
        <f t="shared" si="13"/>
        <v>0</v>
      </c>
      <c r="W20" s="646">
        <f t="shared" si="14"/>
        <v>0</v>
      </c>
      <c r="X20" s="645">
        <f>'8b-ADIT Projection Proration'!K20</f>
        <v>0</v>
      </c>
      <c r="Y20" s="494">
        <f t="shared" si="15"/>
        <v>0</v>
      </c>
      <c r="Z20" s="494">
        <f t="shared" si="16"/>
        <v>0</v>
      </c>
      <c r="AA20" s="647">
        <v>0</v>
      </c>
      <c r="AB20" s="494">
        <f t="shared" si="17"/>
        <v>0</v>
      </c>
      <c r="AC20" s="494">
        <f t="shared" si="18"/>
        <v>0</v>
      </c>
      <c r="AD20" s="494">
        <f t="shared" si="19"/>
        <v>0</v>
      </c>
      <c r="AE20" s="494">
        <f t="shared" si="20"/>
        <v>0</v>
      </c>
      <c r="AF20" s="646">
        <f t="shared" si="21"/>
        <v>0</v>
      </c>
    </row>
    <row r="21" spans="1:33">
      <c r="A21" s="632">
        <f t="shared" si="0"/>
        <v>13</v>
      </c>
      <c r="B21" s="633" t="s">
        <v>816</v>
      </c>
      <c r="C21" s="631" t="s">
        <v>717</v>
      </c>
      <c r="D21" s="643">
        <v>2020</v>
      </c>
      <c r="E21" s="644">
        <f>1/365</f>
        <v>2.7397260273972603E-3</v>
      </c>
      <c r="F21" s="648">
        <f>'8b-ADIT Projection Proration'!G21</f>
        <v>-59615.25</v>
      </c>
      <c r="G21" s="649">
        <f t="shared" si="1"/>
        <v>-163.32945205479453</v>
      </c>
      <c r="H21" s="649">
        <f t="shared" si="2"/>
        <v>-30705.936986301367</v>
      </c>
      <c r="I21" s="650">
        <v>-13794</v>
      </c>
      <c r="J21" s="649">
        <f t="shared" si="3"/>
        <v>45821.25</v>
      </c>
      <c r="K21" s="649">
        <f t="shared" si="4"/>
        <v>22910.625</v>
      </c>
      <c r="L21" s="649">
        <f t="shared" si="5"/>
        <v>0</v>
      </c>
      <c r="M21" s="649">
        <f t="shared" si="6"/>
        <v>0</v>
      </c>
      <c r="N21" s="651">
        <f t="shared" si="7"/>
        <v>19555.063013698629</v>
      </c>
      <c r="O21" s="648">
        <f>'8b-ADIT Projection Proration'!I21</f>
        <v>0</v>
      </c>
      <c r="P21" s="649">
        <f t="shared" si="8"/>
        <v>0</v>
      </c>
      <c r="Q21" s="649">
        <f t="shared" si="9"/>
        <v>0</v>
      </c>
      <c r="R21" s="650">
        <v>0</v>
      </c>
      <c r="S21" s="649">
        <f t="shared" si="10"/>
        <v>0</v>
      </c>
      <c r="T21" s="649">
        <f t="shared" si="11"/>
        <v>0</v>
      </c>
      <c r="U21" s="649">
        <f t="shared" si="12"/>
        <v>0</v>
      </c>
      <c r="V21" s="649">
        <f t="shared" si="13"/>
        <v>0</v>
      </c>
      <c r="W21" s="651">
        <f t="shared" si="14"/>
        <v>0</v>
      </c>
      <c r="X21" s="648">
        <f>'8b-ADIT Projection Proration'!K21</f>
        <v>0</v>
      </c>
      <c r="Y21" s="649">
        <f t="shared" si="15"/>
        <v>0</v>
      </c>
      <c r="Z21" s="649">
        <f t="shared" si="16"/>
        <v>0</v>
      </c>
      <c r="AA21" s="650">
        <v>0</v>
      </c>
      <c r="AB21" s="649">
        <f t="shared" si="17"/>
        <v>0</v>
      </c>
      <c r="AC21" s="649">
        <f t="shared" si="18"/>
        <v>0</v>
      </c>
      <c r="AD21" s="649">
        <f t="shared" si="19"/>
        <v>0</v>
      </c>
      <c r="AE21" s="649">
        <f t="shared" si="20"/>
        <v>0</v>
      </c>
      <c r="AF21" s="651">
        <f t="shared" si="21"/>
        <v>0</v>
      </c>
    </row>
    <row r="22" spans="1:33">
      <c r="A22" s="632">
        <f t="shared" si="0"/>
        <v>14</v>
      </c>
      <c r="B22" s="633" t="s">
        <v>817</v>
      </c>
      <c r="D22" s="494"/>
      <c r="F22" s="645">
        <f>SUM(F9:F21)</f>
        <v>-238461</v>
      </c>
      <c r="G22" s="494">
        <f>SUM(G9:G21)</f>
        <v>-30705.936986301367</v>
      </c>
      <c r="H22" s="494"/>
      <c r="I22" s="494">
        <f>SUM(I9:I21)</f>
        <v>-137939</v>
      </c>
      <c r="J22" s="494">
        <f>SUM(J9:J21)</f>
        <v>100522</v>
      </c>
      <c r="K22" s="494">
        <f>SUM(K9:K21)</f>
        <v>91642.5</v>
      </c>
      <c r="L22" s="494">
        <f>SUM(L9:L21)</f>
        <v>0</v>
      </c>
      <c r="M22" s="494">
        <f>SUM(M9:M21)</f>
        <v>41381.5</v>
      </c>
      <c r="N22" s="646">
        <f>N21</f>
        <v>19555.063013698629</v>
      </c>
      <c r="O22" s="645">
        <f>SUM(O9:O21)</f>
        <v>0</v>
      </c>
      <c r="P22" s="494">
        <f>SUM(P9:P21)</f>
        <v>0</v>
      </c>
      <c r="Q22" s="494"/>
      <c r="R22" s="494">
        <f>SUM(R9:R21)</f>
        <v>0</v>
      </c>
      <c r="S22" s="494">
        <f>SUM(S9:S21)</f>
        <v>0</v>
      </c>
      <c r="T22" s="494">
        <f>SUM(T9:T21)</f>
        <v>0</v>
      </c>
      <c r="U22" s="494">
        <f>SUM(U9:U21)</f>
        <v>0</v>
      </c>
      <c r="V22" s="494">
        <f>SUM(V9:V21)</f>
        <v>0</v>
      </c>
      <c r="W22" s="646"/>
      <c r="X22" s="645">
        <f>SUM(X9:X21)</f>
        <v>0</v>
      </c>
      <c r="Y22" s="494">
        <f>SUM(Y9:Y21)</f>
        <v>0</v>
      </c>
      <c r="Z22" s="494"/>
      <c r="AA22" s="494">
        <f>SUM(AA9:AA21)</f>
        <v>0</v>
      </c>
      <c r="AB22" s="494">
        <f>SUM(AB9:AB21)</f>
        <v>0</v>
      </c>
      <c r="AC22" s="494">
        <f>SUM(AC9:AC21)</f>
        <v>0</v>
      </c>
      <c r="AD22" s="494">
        <f>SUM(AD9:AD21)</f>
        <v>0</v>
      </c>
      <c r="AE22" s="494">
        <f>SUM(AE9:AE21)</f>
        <v>0</v>
      </c>
      <c r="AF22" s="646"/>
    </row>
    <row r="23" spans="1:33">
      <c r="A23" s="632"/>
      <c r="F23" s="645"/>
      <c r="G23" s="494"/>
      <c r="H23" s="494"/>
      <c r="I23" s="494"/>
      <c r="J23" s="494"/>
      <c r="K23" s="494"/>
      <c r="L23" s="494"/>
      <c r="M23" s="494"/>
      <c r="N23" s="646"/>
      <c r="O23" s="645"/>
      <c r="P23" s="494"/>
      <c r="Q23" s="494"/>
      <c r="R23" s="494"/>
      <c r="S23" s="494"/>
      <c r="T23" s="494"/>
      <c r="U23" s="494"/>
      <c r="V23" s="494"/>
      <c r="W23" s="646"/>
      <c r="X23" s="645"/>
      <c r="Y23" s="494"/>
      <c r="Z23" s="494"/>
      <c r="AA23" s="494"/>
      <c r="AB23" s="494"/>
      <c r="AC23" s="494"/>
      <c r="AD23" s="494"/>
      <c r="AE23" s="494"/>
      <c r="AF23" s="646"/>
    </row>
    <row r="24" spans="1:33">
      <c r="A24" s="631" t="s">
        <v>1173</v>
      </c>
      <c r="D24" s="634"/>
      <c r="E24" s="634"/>
      <c r="F24" s="645"/>
      <c r="G24" s="494"/>
      <c r="H24" s="494"/>
      <c r="I24" s="494"/>
      <c r="J24" s="494"/>
      <c r="K24" s="494"/>
      <c r="L24" s="494"/>
      <c r="M24" s="494"/>
      <c r="N24" s="646"/>
      <c r="O24" s="645"/>
      <c r="P24" s="494"/>
      <c r="Q24" s="494"/>
      <c r="R24" s="494"/>
      <c r="S24" s="494"/>
      <c r="T24" s="494"/>
      <c r="U24" s="494"/>
      <c r="V24" s="494"/>
      <c r="W24" s="646"/>
      <c r="X24" s="645"/>
      <c r="Y24" s="494"/>
      <c r="Z24" s="494"/>
      <c r="AA24" s="494"/>
      <c r="AB24" s="494"/>
      <c r="AC24" s="494"/>
      <c r="AD24" s="494"/>
      <c r="AE24" s="494"/>
      <c r="AF24" s="646"/>
      <c r="AG24" s="634"/>
    </row>
    <row r="25" spans="1:33">
      <c r="A25" s="632">
        <f>A22+1</f>
        <v>15</v>
      </c>
      <c r="B25" s="633" t="s">
        <v>819</v>
      </c>
      <c r="C25" s="631" t="s">
        <v>717</v>
      </c>
      <c r="D25" s="643">
        <v>2019</v>
      </c>
      <c r="E25" s="644">
        <f>365/365</f>
        <v>1</v>
      </c>
      <c r="F25" s="645"/>
      <c r="G25" s="494"/>
      <c r="H25" s="494">
        <f>'8c- ADIT BOY'!E73</f>
        <v>0</v>
      </c>
      <c r="I25" s="494"/>
      <c r="J25" s="494"/>
      <c r="K25" s="494"/>
      <c r="L25" s="494"/>
      <c r="M25" s="494"/>
      <c r="N25" s="646">
        <f>'8c- ADIT BOY'!E77</f>
        <v>0</v>
      </c>
      <c r="O25" s="645"/>
      <c r="P25" s="494"/>
      <c r="Q25" s="494">
        <f>'8c- ADIT BOY'!F73</f>
        <v>0</v>
      </c>
      <c r="R25" s="494"/>
      <c r="S25" s="494"/>
      <c r="T25" s="494"/>
      <c r="U25" s="494"/>
      <c r="V25" s="494"/>
      <c r="W25" s="646"/>
      <c r="X25" s="645"/>
      <c r="Y25" s="494"/>
      <c r="Z25" s="494">
        <f>'8c- ADIT BOY'!G73</f>
        <v>0</v>
      </c>
      <c r="AA25" s="494"/>
      <c r="AB25" s="494"/>
      <c r="AC25" s="494"/>
      <c r="AD25" s="494"/>
      <c r="AE25" s="494"/>
      <c r="AF25" s="646"/>
    </row>
    <row r="26" spans="1:33">
      <c r="A26" s="632">
        <f t="shared" ref="A26:A38" si="22">+A25+1</f>
        <v>16</v>
      </c>
      <c r="B26" s="633" t="s">
        <v>816</v>
      </c>
      <c r="C26" s="631" t="s">
        <v>641</v>
      </c>
      <c r="D26" s="643">
        <v>2020</v>
      </c>
      <c r="E26" s="644">
        <f>335/365</f>
        <v>0.9178082191780822</v>
      </c>
      <c r="F26" s="645">
        <f>'8b-ADIT Projection Proration'!G26</f>
        <v>0</v>
      </c>
      <c r="G26" s="494">
        <f t="shared" ref="G26:G37" si="23">$E26*F26</f>
        <v>0</v>
      </c>
      <c r="H26" s="494">
        <f t="shared" ref="H26:H37" si="24">+G26+H25</f>
        <v>0</v>
      </c>
      <c r="I26" s="647">
        <v>0</v>
      </c>
      <c r="J26" s="494">
        <f t="shared" ref="J26:J37" si="25">I26-F26</f>
        <v>0</v>
      </c>
      <c r="K26" s="494">
        <f t="shared" ref="K26:K37" si="26">IF(J26&gt;=0,+J26*0.5,0)</f>
        <v>0</v>
      </c>
      <c r="L26" s="494">
        <f t="shared" ref="L26:L37" si="27">IF(K26&gt;0,0,IF(I26&lt;0,0,(-(J26)*0.5)))</f>
        <v>0</v>
      </c>
      <c r="M26" s="494">
        <f t="shared" ref="M26:M37" si="28">IF(K26&gt;0,0,IF(I26&gt;0,0,(-(J26)*0.5)))</f>
        <v>0</v>
      </c>
      <c r="N26" s="646">
        <f t="shared" ref="N26:N37" si="29">+N25+G26+K26-L26-M26</f>
        <v>0</v>
      </c>
      <c r="O26" s="645">
        <f>'8b-ADIT Projection Proration'!I26</f>
        <v>0</v>
      </c>
      <c r="P26" s="494">
        <f t="shared" ref="P26:P37" si="30">$E26*O26</f>
        <v>0</v>
      </c>
      <c r="Q26" s="494">
        <f t="shared" ref="Q26:Q37" si="31">+P26+Q25</f>
        <v>0</v>
      </c>
      <c r="R26" s="647">
        <v>0</v>
      </c>
      <c r="S26" s="494">
        <f t="shared" ref="S26:S37" si="32">R26-O26</f>
        <v>0</v>
      </c>
      <c r="T26" s="494">
        <f t="shared" ref="T26:T37" si="33">IF(S26&gt;=0,+S26,0)</f>
        <v>0</v>
      </c>
      <c r="U26" s="494">
        <f t="shared" ref="U26:U37" si="34">IF(T26&gt;0,0,IF(R26&lt;0,0,(-(S26)*($E26))))</f>
        <v>0</v>
      </c>
      <c r="V26" s="494">
        <f t="shared" ref="V26:V37" si="35">IF(T26&gt;0,0,IF(R26&gt;0,0,(-(S26)*($E26))))</f>
        <v>0</v>
      </c>
      <c r="W26" s="646">
        <f t="shared" ref="W26:W37" si="36">IF(R26&lt;0,W25+V26,W25+P26+T26-U26)</f>
        <v>0</v>
      </c>
      <c r="X26" s="645">
        <f>'8b-ADIT Projection Proration'!K26</f>
        <v>0</v>
      </c>
      <c r="Y26" s="494">
        <f t="shared" ref="Y26:Y37" si="37">$E26*X26</f>
        <v>0</v>
      </c>
      <c r="Z26" s="494">
        <f t="shared" ref="Z26:Z37" si="38">+Y26+Z25</f>
        <v>0</v>
      </c>
      <c r="AA26" s="647">
        <v>0</v>
      </c>
      <c r="AB26" s="494">
        <f t="shared" ref="AB26:AB37" si="39">AA26-X26</f>
        <v>0</v>
      </c>
      <c r="AC26" s="494">
        <f t="shared" ref="AC26:AC37" si="40">IF(AB26&gt;=0,+AB26,0)</f>
        <v>0</v>
      </c>
      <c r="AD26" s="494">
        <f t="shared" ref="AD26:AD37" si="41">IF(AC26&gt;0,0,IF(AA26&lt;0,0,(-(AB26)*($E26))))</f>
        <v>0</v>
      </c>
      <c r="AE26" s="494">
        <f t="shared" ref="AE26:AE37" si="42">IF(AC26&gt;0,0,IF(AA26&gt;0,0,(-(AB26)*($E26))))</f>
        <v>0</v>
      </c>
      <c r="AF26" s="646">
        <f t="shared" ref="AF26:AF37" si="43">IF(AA26&lt;0,AF25+AE26,AF25+Y26+AC26-AD26)</f>
        <v>0</v>
      </c>
    </row>
    <row r="27" spans="1:33">
      <c r="A27" s="632">
        <f t="shared" si="22"/>
        <v>17</v>
      </c>
      <c r="B27" s="633" t="s">
        <v>816</v>
      </c>
      <c r="C27" s="631" t="s">
        <v>642</v>
      </c>
      <c r="D27" s="643">
        <v>2020</v>
      </c>
      <c r="E27" s="644">
        <f>307/365</f>
        <v>0.84109589041095889</v>
      </c>
      <c r="F27" s="645">
        <f>'8b-ADIT Projection Proration'!G27</f>
        <v>0</v>
      </c>
      <c r="G27" s="494">
        <f t="shared" si="23"/>
        <v>0</v>
      </c>
      <c r="H27" s="494">
        <f t="shared" si="24"/>
        <v>0</v>
      </c>
      <c r="I27" s="647">
        <v>0</v>
      </c>
      <c r="J27" s="494">
        <f t="shared" si="25"/>
        <v>0</v>
      </c>
      <c r="K27" s="494">
        <f t="shared" si="26"/>
        <v>0</v>
      </c>
      <c r="L27" s="494">
        <f t="shared" si="27"/>
        <v>0</v>
      </c>
      <c r="M27" s="494">
        <f t="shared" si="28"/>
        <v>0</v>
      </c>
      <c r="N27" s="646">
        <f t="shared" si="29"/>
        <v>0</v>
      </c>
      <c r="O27" s="645">
        <f>'8b-ADIT Projection Proration'!I27</f>
        <v>0</v>
      </c>
      <c r="P27" s="494">
        <f t="shared" si="30"/>
        <v>0</v>
      </c>
      <c r="Q27" s="494">
        <f t="shared" si="31"/>
        <v>0</v>
      </c>
      <c r="R27" s="647">
        <v>0</v>
      </c>
      <c r="S27" s="494">
        <f t="shared" si="32"/>
        <v>0</v>
      </c>
      <c r="T27" s="494">
        <f t="shared" si="33"/>
        <v>0</v>
      </c>
      <c r="U27" s="494">
        <f t="shared" si="34"/>
        <v>0</v>
      </c>
      <c r="V27" s="494">
        <f t="shared" si="35"/>
        <v>0</v>
      </c>
      <c r="W27" s="646">
        <f t="shared" si="36"/>
        <v>0</v>
      </c>
      <c r="X27" s="645">
        <f>'8b-ADIT Projection Proration'!K27</f>
        <v>0</v>
      </c>
      <c r="Y27" s="494">
        <f t="shared" si="37"/>
        <v>0</v>
      </c>
      <c r="Z27" s="494">
        <f t="shared" si="38"/>
        <v>0</v>
      </c>
      <c r="AA27" s="647">
        <v>0</v>
      </c>
      <c r="AB27" s="494">
        <f t="shared" si="39"/>
        <v>0</v>
      </c>
      <c r="AC27" s="494">
        <f t="shared" si="40"/>
        <v>0</v>
      </c>
      <c r="AD27" s="494">
        <f t="shared" si="41"/>
        <v>0</v>
      </c>
      <c r="AE27" s="494">
        <f t="shared" si="42"/>
        <v>0</v>
      </c>
      <c r="AF27" s="646">
        <f t="shared" si="43"/>
        <v>0</v>
      </c>
    </row>
    <row r="28" spans="1:33">
      <c r="A28" s="632">
        <f t="shared" si="22"/>
        <v>18</v>
      </c>
      <c r="B28" s="633" t="s">
        <v>816</v>
      </c>
      <c r="C28" s="631" t="s">
        <v>714</v>
      </c>
      <c r="D28" s="643">
        <v>2020</v>
      </c>
      <c r="E28" s="644">
        <f>276/365</f>
        <v>0.75616438356164384</v>
      </c>
      <c r="F28" s="645">
        <f>'8b-ADIT Projection Proration'!G28</f>
        <v>0</v>
      </c>
      <c r="G28" s="494">
        <f t="shared" si="23"/>
        <v>0</v>
      </c>
      <c r="H28" s="494">
        <f t="shared" si="24"/>
        <v>0</v>
      </c>
      <c r="I28" s="647">
        <v>-23850</v>
      </c>
      <c r="J28" s="494">
        <f t="shared" si="25"/>
        <v>-23850</v>
      </c>
      <c r="K28" s="494">
        <f t="shared" si="26"/>
        <v>0</v>
      </c>
      <c r="L28" s="494">
        <f t="shared" si="27"/>
        <v>0</v>
      </c>
      <c r="M28" s="494">
        <f t="shared" si="28"/>
        <v>11925</v>
      </c>
      <c r="N28" s="646">
        <f t="shared" si="29"/>
        <v>-11925</v>
      </c>
      <c r="O28" s="645">
        <f>'8b-ADIT Projection Proration'!I28</f>
        <v>0</v>
      </c>
      <c r="P28" s="494">
        <f t="shared" si="30"/>
        <v>0</v>
      </c>
      <c r="Q28" s="494">
        <f t="shared" si="31"/>
        <v>0</v>
      </c>
      <c r="R28" s="647">
        <v>0</v>
      </c>
      <c r="S28" s="494">
        <f t="shared" si="32"/>
        <v>0</v>
      </c>
      <c r="T28" s="494">
        <f t="shared" si="33"/>
        <v>0</v>
      </c>
      <c r="U28" s="494">
        <f t="shared" si="34"/>
        <v>0</v>
      </c>
      <c r="V28" s="494">
        <f t="shared" si="35"/>
        <v>0</v>
      </c>
      <c r="W28" s="646">
        <f t="shared" si="36"/>
        <v>0</v>
      </c>
      <c r="X28" s="645">
        <f>'8b-ADIT Projection Proration'!K28</f>
        <v>0</v>
      </c>
      <c r="Y28" s="494">
        <f t="shared" si="37"/>
        <v>0</v>
      </c>
      <c r="Z28" s="494">
        <f t="shared" si="38"/>
        <v>0</v>
      </c>
      <c r="AA28" s="647">
        <v>0</v>
      </c>
      <c r="AB28" s="494">
        <f t="shared" si="39"/>
        <v>0</v>
      </c>
      <c r="AC28" s="494">
        <f t="shared" si="40"/>
        <v>0</v>
      </c>
      <c r="AD28" s="494">
        <f t="shared" si="41"/>
        <v>0</v>
      </c>
      <c r="AE28" s="494">
        <f t="shared" si="42"/>
        <v>0</v>
      </c>
      <c r="AF28" s="646">
        <f t="shared" si="43"/>
        <v>0</v>
      </c>
    </row>
    <row r="29" spans="1:33">
      <c r="A29" s="632">
        <f t="shared" si="22"/>
        <v>19</v>
      </c>
      <c r="B29" s="633" t="s">
        <v>816</v>
      </c>
      <c r="C29" s="631" t="s">
        <v>644</v>
      </c>
      <c r="D29" s="643">
        <v>2020</v>
      </c>
      <c r="E29" s="644">
        <f>246/365</f>
        <v>0.67397260273972603</v>
      </c>
      <c r="F29" s="645">
        <f>'8b-ADIT Projection Proration'!G29</f>
        <v>0</v>
      </c>
      <c r="G29" s="494">
        <f t="shared" si="23"/>
        <v>0</v>
      </c>
      <c r="H29" s="494">
        <f t="shared" si="24"/>
        <v>0</v>
      </c>
      <c r="I29" s="647">
        <v>-23850</v>
      </c>
      <c r="J29" s="494">
        <f t="shared" si="25"/>
        <v>-23850</v>
      </c>
      <c r="K29" s="494">
        <f t="shared" si="26"/>
        <v>0</v>
      </c>
      <c r="L29" s="494">
        <f t="shared" si="27"/>
        <v>0</v>
      </c>
      <c r="M29" s="494">
        <f t="shared" si="28"/>
        <v>11925</v>
      </c>
      <c r="N29" s="646">
        <f t="shared" si="29"/>
        <v>-23850</v>
      </c>
      <c r="O29" s="645">
        <f>'8b-ADIT Projection Proration'!I29</f>
        <v>0</v>
      </c>
      <c r="P29" s="494">
        <f t="shared" si="30"/>
        <v>0</v>
      </c>
      <c r="Q29" s="494">
        <f t="shared" si="31"/>
        <v>0</v>
      </c>
      <c r="R29" s="647">
        <v>0</v>
      </c>
      <c r="S29" s="494">
        <f t="shared" si="32"/>
        <v>0</v>
      </c>
      <c r="T29" s="494">
        <f t="shared" si="33"/>
        <v>0</v>
      </c>
      <c r="U29" s="494">
        <f t="shared" si="34"/>
        <v>0</v>
      </c>
      <c r="V29" s="494">
        <f t="shared" si="35"/>
        <v>0</v>
      </c>
      <c r="W29" s="646">
        <f t="shared" si="36"/>
        <v>0</v>
      </c>
      <c r="X29" s="645">
        <f>'8b-ADIT Projection Proration'!K29</f>
        <v>0</v>
      </c>
      <c r="Y29" s="494">
        <f t="shared" si="37"/>
        <v>0</v>
      </c>
      <c r="Z29" s="494">
        <f t="shared" si="38"/>
        <v>0</v>
      </c>
      <c r="AA29" s="647">
        <v>0</v>
      </c>
      <c r="AB29" s="494">
        <f t="shared" si="39"/>
        <v>0</v>
      </c>
      <c r="AC29" s="494">
        <f t="shared" si="40"/>
        <v>0</v>
      </c>
      <c r="AD29" s="494">
        <f t="shared" si="41"/>
        <v>0</v>
      </c>
      <c r="AE29" s="494">
        <f t="shared" si="42"/>
        <v>0</v>
      </c>
      <c r="AF29" s="646">
        <f t="shared" si="43"/>
        <v>0</v>
      </c>
    </row>
    <row r="30" spans="1:33">
      <c r="A30" s="632">
        <f t="shared" si="22"/>
        <v>20</v>
      </c>
      <c r="B30" s="633" t="s">
        <v>816</v>
      </c>
      <c r="C30" s="631" t="s">
        <v>645</v>
      </c>
      <c r="D30" s="643">
        <v>2020</v>
      </c>
      <c r="E30" s="644">
        <f>215/365</f>
        <v>0.58904109589041098</v>
      </c>
      <c r="F30" s="645">
        <f>'8b-ADIT Projection Proration'!G30</f>
        <v>0</v>
      </c>
      <c r="G30" s="494">
        <f t="shared" si="23"/>
        <v>0</v>
      </c>
      <c r="H30" s="494">
        <f t="shared" si="24"/>
        <v>0</v>
      </c>
      <c r="I30" s="647">
        <v>-23850</v>
      </c>
      <c r="J30" s="494">
        <f t="shared" si="25"/>
        <v>-23850</v>
      </c>
      <c r="K30" s="494">
        <f t="shared" si="26"/>
        <v>0</v>
      </c>
      <c r="L30" s="494">
        <f t="shared" si="27"/>
        <v>0</v>
      </c>
      <c r="M30" s="494">
        <f t="shared" si="28"/>
        <v>11925</v>
      </c>
      <c r="N30" s="646">
        <f t="shared" si="29"/>
        <v>-35775</v>
      </c>
      <c r="O30" s="645">
        <f>'8b-ADIT Projection Proration'!I30</f>
        <v>0</v>
      </c>
      <c r="P30" s="494">
        <f t="shared" si="30"/>
        <v>0</v>
      </c>
      <c r="Q30" s="494">
        <f t="shared" si="31"/>
        <v>0</v>
      </c>
      <c r="R30" s="647">
        <v>0</v>
      </c>
      <c r="S30" s="494">
        <f t="shared" si="32"/>
        <v>0</v>
      </c>
      <c r="T30" s="494">
        <f t="shared" si="33"/>
        <v>0</v>
      </c>
      <c r="U30" s="494">
        <f t="shared" si="34"/>
        <v>0</v>
      </c>
      <c r="V30" s="494">
        <f t="shared" si="35"/>
        <v>0</v>
      </c>
      <c r="W30" s="646">
        <f t="shared" si="36"/>
        <v>0</v>
      </c>
      <c r="X30" s="645">
        <f>'8b-ADIT Projection Proration'!K30</f>
        <v>0</v>
      </c>
      <c r="Y30" s="494">
        <f t="shared" si="37"/>
        <v>0</v>
      </c>
      <c r="Z30" s="494">
        <f t="shared" si="38"/>
        <v>0</v>
      </c>
      <c r="AA30" s="647">
        <v>0</v>
      </c>
      <c r="AB30" s="494">
        <f t="shared" si="39"/>
        <v>0</v>
      </c>
      <c r="AC30" s="494">
        <f t="shared" si="40"/>
        <v>0</v>
      </c>
      <c r="AD30" s="494">
        <f t="shared" si="41"/>
        <v>0</v>
      </c>
      <c r="AE30" s="494">
        <f t="shared" si="42"/>
        <v>0</v>
      </c>
      <c r="AF30" s="646">
        <f t="shared" si="43"/>
        <v>0</v>
      </c>
    </row>
    <row r="31" spans="1:33">
      <c r="A31" s="632">
        <f t="shared" si="22"/>
        <v>21</v>
      </c>
      <c r="B31" s="633" t="s">
        <v>816</v>
      </c>
      <c r="C31" s="631" t="s">
        <v>646</v>
      </c>
      <c r="D31" s="643">
        <v>2020</v>
      </c>
      <c r="E31" s="644">
        <f>185/365</f>
        <v>0.50684931506849318</v>
      </c>
      <c r="F31" s="645">
        <f>'8b-ADIT Projection Proration'!G31</f>
        <v>0</v>
      </c>
      <c r="G31" s="494">
        <f t="shared" si="23"/>
        <v>0</v>
      </c>
      <c r="H31" s="494">
        <f t="shared" si="24"/>
        <v>0</v>
      </c>
      <c r="I31" s="647">
        <v>-23850</v>
      </c>
      <c r="J31" s="494">
        <f t="shared" si="25"/>
        <v>-23850</v>
      </c>
      <c r="K31" s="494">
        <f t="shared" si="26"/>
        <v>0</v>
      </c>
      <c r="L31" s="494">
        <f t="shared" si="27"/>
        <v>0</v>
      </c>
      <c r="M31" s="494">
        <f t="shared" si="28"/>
        <v>11925</v>
      </c>
      <c r="N31" s="646">
        <f t="shared" si="29"/>
        <v>-47700</v>
      </c>
      <c r="O31" s="645">
        <f>'8b-ADIT Projection Proration'!I31</f>
        <v>0</v>
      </c>
      <c r="P31" s="494">
        <f t="shared" si="30"/>
        <v>0</v>
      </c>
      <c r="Q31" s="494">
        <f t="shared" si="31"/>
        <v>0</v>
      </c>
      <c r="R31" s="647">
        <v>0</v>
      </c>
      <c r="S31" s="494">
        <f t="shared" si="32"/>
        <v>0</v>
      </c>
      <c r="T31" s="494">
        <f t="shared" si="33"/>
        <v>0</v>
      </c>
      <c r="U31" s="494">
        <f t="shared" si="34"/>
        <v>0</v>
      </c>
      <c r="V31" s="494">
        <f t="shared" si="35"/>
        <v>0</v>
      </c>
      <c r="W31" s="646">
        <f t="shared" si="36"/>
        <v>0</v>
      </c>
      <c r="X31" s="645">
        <f>'8b-ADIT Projection Proration'!K31</f>
        <v>0</v>
      </c>
      <c r="Y31" s="494">
        <f t="shared" si="37"/>
        <v>0</v>
      </c>
      <c r="Z31" s="494">
        <f t="shared" si="38"/>
        <v>0</v>
      </c>
      <c r="AA31" s="647">
        <v>0</v>
      </c>
      <c r="AB31" s="494">
        <f t="shared" si="39"/>
        <v>0</v>
      </c>
      <c r="AC31" s="494">
        <f t="shared" si="40"/>
        <v>0</v>
      </c>
      <c r="AD31" s="494">
        <f t="shared" si="41"/>
        <v>0</v>
      </c>
      <c r="AE31" s="494">
        <f t="shared" si="42"/>
        <v>0</v>
      </c>
      <c r="AF31" s="646">
        <f t="shared" si="43"/>
        <v>0</v>
      </c>
    </row>
    <row r="32" spans="1:33">
      <c r="A32" s="632">
        <f t="shared" si="22"/>
        <v>22</v>
      </c>
      <c r="B32" s="633" t="s">
        <v>816</v>
      </c>
      <c r="C32" s="631" t="s">
        <v>647</v>
      </c>
      <c r="D32" s="643">
        <v>2020</v>
      </c>
      <c r="E32" s="644">
        <f>154/365</f>
        <v>0.42191780821917807</v>
      </c>
      <c r="F32" s="645">
        <f>'8b-ADIT Projection Proration'!G32</f>
        <v>0</v>
      </c>
      <c r="G32" s="494">
        <f t="shared" si="23"/>
        <v>0</v>
      </c>
      <c r="H32" s="494">
        <f t="shared" si="24"/>
        <v>0</v>
      </c>
      <c r="I32" s="647">
        <v>-23849</v>
      </c>
      <c r="J32" s="494">
        <f t="shared" si="25"/>
        <v>-23849</v>
      </c>
      <c r="K32" s="494">
        <f t="shared" si="26"/>
        <v>0</v>
      </c>
      <c r="L32" s="494">
        <f t="shared" si="27"/>
        <v>0</v>
      </c>
      <c r="M32" s="494">
        <f t="shared" si="28"/>
        <v>11924.5</v>
      </c>
      <c r="N32" s="646">
        <f t="shared" si="29"/>
        <v>-59624.5</v>
      </c>
      <c r="O32" s="645">
        <f>'8b-ADIT Projection Proration'!I32</f>
        <v>0</v>
      </c>
      <c r="P32" s="494">
        <f t="shared" si="30"/>
        <v>0</v>
      </c>
      <c r="Q32" s="494">
        <f t="shared" si="31"/>
        <v>0</v>
      </c>
      <c r="R32" s="647">
        <v>0</v>
      </c>
      <c r="S32" s="494">
        <f t="shared" si="32"/>
        <v>0</v>
      </c>
      <c r="T32" s="494">
        <f t="shared" si="33"/>
        <v>0</v>
      </c>
      <c r="U32" s="494">
        <f t="shared" si="34"/>
        <v>0</v>
      </c>
      <c r="V32" s="494">
        <f t="shared" si="35"/>
        <v>0</v>
      </c>
      <c r="W32" s="646">
        <f t="shared" si="36"/>
        <v>0</v>
      </c>
      <c r="X32" s="645">
        <f>'8b-ADIT Projection Proration'!K32</f>
        <v>0</v>
      </c>
      <c r="Y32" s="494">
        <f t="shared" si="37"/>
        <v>0</v>
      </c>
      <c r="Z32" s="494">
        <f t="shared" si="38"/>
        <v>0</v>
      </c>
      <c r="AA32" s="647">
        <v>0</v>
      </c>
      <c r="AB32" s="494">
        <f t="shared" si="39"/>
        <v>0</v>
      </c>
      <c r="AC32" s="494">
        <f t="shared" si="40"/>
        <v>0</v>
      </c>
      <c r="AD32" s="494">
        <f t="shared" si="41"/>
        <v>0</v>
      </c>
      <c r="AE32" s="494">
        <f t="shared" si="42"/>
        <v>0</v>
      </c>
      <c r="AF32" s="646">
        <f t="shared" si="43"/>
        <v>0</v>
      </c>
    </row>
    <row r="33" spans="1:33">
      <c r="A33" s="632">
        <f t="shared" si="22"/>
        <v>23</v>
      </c>
      <c r="B33" s="633" t="s">
        <v>816</v>
      </c>
      <c r="C33" s="631" t="s">
        <v>716</v>
      </c>
      <c r="D33" s="643">
        <v>2020</v>
      </c>
      <c r="E33" s="644">
        <f>123/365</f>
        <v>0.33698630136986302</v>
      </c>
      <c r="F33" s="645">
        <f>'8b-ADIT Projection Proration'!G33</f>
        <v>0</v>
      </c>
      <c r="G33" s="494">
        <f t="shared" si="23"/>
        <v>0</v>
      </c>
      <c r="H33" s="494">
        <f t="shared" si="24"/>
        <v>0</v>
      </c>
      <c r="I33" s="647">
        <v>-23849</v>
      </c>
      <c r="J33" s="494">
        <f t="shared" si="25"/>
        <v>-23849</v>
      </c>
      <c r="K33" s="494">
        <f t="shared" si="26"/>
        <v>0</v>
      </c>
      <c r="L33" s="494">
        <f t="shared" si="27"/>
        <v>0</v>
      </c>
      <c r="M33" s="494">
        <f t="shared" si="28"/>
        <v>11924.5</v>
      </c>
      <c r="N33" s="646">
        <f t="shared" si="29"/>
        <v>-71549</v>
      </c>
      <c r="O33" s="645">
        <f>'8b-ADIT Projection Proration'!I33</f>
        <v>0</v>
      </c>
      <c r="P33" s="494">
        <f t="shared" si="30"/>
        <v>0</v>
      </c>
      <c r="Q33" s="494">
        <f t="shared" si="31"/>
        <v>0</v>
      </c>
      <c r="R33" s="647">
        <v>0</v>
      </c>
      <c r="S33" s="494">
        <f t="shared" si="32"/>
        <v>0</v>
      </c>
      <c r="T33" s="494">
        <f t="shared" si="33"/>
        <v>0</v>
      </c>
      <c r="U33" s="494">
        <f t="shared" si="34"/>
        <v>0</v>
      </c>
      <c r="V33" s="494">
        <f t="shared" si="35"/>
        <v>0</v>
      </c>
      <c r="W33" s="646">
        <f t="shared" si="36"/>
        <v>0</v>
      </c>
      <c r="X33" s="645">
        <f>'8b-ADIT Projection Proration'!K33</f>
        <v>0</v>
      </c>
      <c r="Y33" s="494">
        <f t="shared" si="37"/>
        <v>0</v>
      </c>
      <c r="Z33" s="494">
        <f t="shared" si="38"/>
        <v>0</v>
      </c>
      <c r="AA33" s="647">
        <v>0</v>
      </c>
      <c r="AB33" s="494">
        <f t="shared" si="39"/>
        <v>0</v>
      </c>
      <c r="AC33" s="494">
        <f t="shared" si="40"/>
        <v>0</v>
      </c>
      <c r="AD33" s="494">
        <f t="shared" si="41"/>
        <v>0</v>
      </c>
      <c r="AE33" s="494">
        <f t="shared" si="42"/>
        <v>0</v>
      </c>
      <c r="AF33" s="646">
        <f t="shared" si="43"/>
        <v>0</v>
      </c>
    </row>
    <row r="34" spans="1:33">
      <c r="A34" s="632">
        <f t="shared" si="22"/>
        <v>24</v>
      </c>
      <c r="B34" s="633" t="s">
        <v>816</v>
      </c>
      <c r="C34" s="631" t="s">
        <v>649</v>
      </c>
      <c r="D34" s="643">
        <v>2020</v>
      </c>
      <c r="E34" s="644">
        <f>93/365</f>
        <v>0.25479452054794521</v>
      </c>
      <c r="F34" s="645">
        <f>'8b-ADIT Projection Proration'!G34</f>
        <v>0</v>
      </c>
      <c r="G34" s="494">
        <f t="shared" si="23"/>
        <v>0</v>
      </c>
      <c r="H34" s="494">
        <f t="shared" si="24"/>
        <v>0</v>
      </c>
      <c r="I34" s="647">
        <v>-23849</v>
      </c>
      <c r="J34" s="494">
        <f t="shared" si="25"/>
        <v>-23849</v>
      </c>
      <c r="K34" s="494">
        <f t="shared" si="26"/>
        <v>0</v>
      </c>
      <c r="L34" s="494">
        <f t="shared" si="27"/>
        <v>0</v>
      </c>
      <c r="M34" s="494">
        <f t="shared" si="28"/>
        <v>11924.5</v>
      </c>
      <c r="N34" s="646">
        <f t="shared" si="29"/>
        <v>-83473.5</v>
      </c>
      <c r="O34" s="645">
        <f>'8b-ADIT Projection Proration'!I34</f>
        <v>0</v>
      </c>
      <c r="P34" s="494">
        <f t="shared" si="30"/>
        <v>0</v>
      </c>
      <c r="Q34" s="494">
        <f t="shared" si="31"/>
        <v>0</v>
      </c>
      <c r="R34" s="647">
        <v>0</v>
      </c>
      <c r="S34" s="494">
        <f t="shared" si="32"/>
        <v>0</v>
      </c>
      <c r="T34" s="494">
        <f t="shared" si="33"/>
        <v>0</v>
      </c>
      <c r="U34" s="494">
        <f t="shared" si="34"/>
        <v>0</v>
      </c>
      <c r="V34" s="494">
        <f t="shared" si="35"/>
        <v>0</v>
      </c>
      <c r="W34" s="646">
        <f t="shared" si="36"/>
        <v>0</v>
      </c>
      <c r="X34" s="645">
        <f>'8b-ADIT Projection Proration'!K34</f>
        <v>0</v>
      </c>
      <c r="Y34" s="494">
        <f t="shared" si="37"/>
        <v>0</v>
      </c>
      <c r="Z34" s="494">
        <f t="shared" si="38"/>
        <v>0</v>
      </c>
      <c r="AA34" s="647">
        <v>0</v>
      </c>
      <c r="AB34" s="494">
        <f t="shared" si="39"/>
        <v>0</v>
      </c>
      <c r="AC34" s="494">
        <f t="shared" si="40"/>
        <v>0</v>
      </c>
      <c r="AD34" s="494">
        <f t="shared" si="41"/>
        <v>0</v>
      </c>
      <c r="AE34" s="494">
        <f t="shared" si="42"/>
        <v>0</v>
      </c>
      <c r="AF34" s="646">
        <f t="shared" si="43"/>
        <v>0</v>
      </c>
    </row>
    <row r="35" spans="1:33">
      <c r="A35" s="632">
        <f t="shared" si="22"/>
        <v>25</v>
      </c>
      <c r="B35" s="633" t="s">
        <v>816</v>
      </c>
      <c r="C35" s="631" t="s">
        <v>650</v>
      </c>
      <c r="D35" s="643">
        <v>2020</v>
      </c>
      <c r="E35" s="644">
        <f>62/365</f>
        <v>0.16986301369863013</v>
      </c>
      <c r="F35" s="645">
        <f>'8b-ADIT Projection Proration'!G35</f>
        <v>0</v>
      </c>
      <c r="G35" s="494">
        <f t="shared" si="23"/>
        <v>0</v>
      </c>
      <c r="H35" s="494">
        <f t="shared" si="24"/>
        <v>0</v>
      </c>
      <c r="I35" s="647">
        <v>-23849</v>
      </c>
      <c r="J35" s="494">
        <f t="shared" si="25"/>
        <v>-23849</v>
      </c>
      <c r="K35" s="494">
        <f t="shared" si="26"/>
        <v>0</v>
      </c>
      <c r="L35" s="494">
        <f t="shared" si="27"/>
        <v>0</v>
      </c>
      <c r="M35" s="494">
        <f t="shared" si="28"/>
        <v>11924.5</v>
      </c>
      <c r="N35" s="646">
        <f t="shared" si="29"/>
        <v>-95398</v>
      </c>
      <c r="O35" s="645">
        <f>'8b-ADIT Projection Proration'!I35</f>
        <v>0</v>
      </c>
      <c r="P35" s="494">
        <f t="shared" si="30"/>
        <v>0</v>
      </c>
      <c r="Q35" s="494">
        <f t="shared" si="31"/>
        <v>0</v>
      </c>
      <c r="R35" s="647">
        <v>0</v>
      </c>
      <c r="S35" s="494">
        <f t="shared" si="32"/>
        <v>0</v>
      </c>
      <c r="T35" s="494">
        <f t="shared" si="33"/>
        <v>0</v>
      </c>
      <c r="U35" s="494">
        <f t="shared" si="34"/>
        <v>0</v>
      </c>
      <c r="V35" s="494">
        <f t="shared" si="35"/>
        <v>0</v>
      </c>
      <c r="W35" s="646">
        <f t="shared" si="36"/>
        <v>0</v>
      </c>
      <c r="X35" s="645">
        <f>'8b-ADIT Projection Proration'!K35</f>
        <v>0</v>
      </c>
      <c r="Y35" s="494">
        <f t="shared" si="37"/>
        <v>0</v>
      </c>
      <c r="Z35" s="494">
        <f t="shared" si="38"/>
        <v>0</v>
      </c>
      <c r="AA35" s="647">
        <v>0</v>
      </c>
      <c r="AB35" s="494">
        <f t="shared" si="39"/>
        <v>0</v>
      </c>
      <c r="AC35" s="494">
        <f t="shared" si="40"/>
        <v>0</v>
      </c>
      <c r="AD35" s="494">
        <f t="shared" si="41"/>
        <v>0</v>
      </c>
      <c r="AE35" s="494">
        <f t="shared" si="42"/>
        <v>0</v>
      </c>
      <c r="AF35" s="646">
        <f t="shared" si="43"/>
        <v>0</v>
      </c>
    </row>
    <row r="36" spans="1:33">
      <c r="A36" s="632">
        <f t="shared" si="22"/>
        <v>26</v>
      </c>
      <c r="B36" s="633" t="s">
        <v>816</v>
      </c>
      <c r="C36" s="631" t="s">
        <v>651</v>
      </c>
      <c r="D36" s="643">
        <v>2020</v>
      </c>
      <c r="E36" s="644">
        <f>32/365</f>
        <v>8.7671232876712329E-2</v>
      </c>
      <c r="F36" s="645">
        <f>'8b-ADIT Projection Proration'!G36</f>
        <v>0</v>
      </c>
      <c r="G36" s="494">
        <f t="shared" si="23"/>
        <v>0</v>
      </c>
      <c r="H36" s="494">
        <f t="shared" si="24"/>
        <v>0</v>
      </c>
      <c r="I36" s="647">
        <v>-23849</v>
      </c>
      <c r="J36" s="494">
        <f t="shared" si="25"/>
        <v>-23849</v>
      </c>
      <c r="K36" s="494">
        <f t="shared" si="26"/>
        <v>0</v>
      </c>
      <c r="L36" s="494">
        <f t="shared" si="27"/>
        <v>0</v>
      </c>
      <c r="M36" s="494">
        <f t="shared" si="28"/>
        <v>11924.5</v>
      </c>
      <c r="N36" s="646">
        <f t="shared" si="29"/>
        <v>-107322.5</v>
      </c>
      <c r="O36" s="645">
        <f>'8b-ADIT Projection Proration'!I36</f>
        <v>0</v>
      </c>
      <c r="P36" s="494">
        <f t="shared" si="30"/>
        <v>0</v>
      </c>
      <c r="Q36" s="494">
        <f t="shared" si="31"/>
        <v>0</v>
      </c>
      <c r="R36" s="647">
        <v>0</v>
      </c>
      <c r="S36" s="494">
        <f t="shared" si="32"/>
        <v>0</v>
      </c>
      <c r="T36" s="494">
        <f t="shared" si="33"/>
        <v>0</v>
      </c>
      <c r="U36" s="494">
        <f t="shared" si="34"/>
        <v>0</v>
      </c>
      <c r="V36" s="494">
        <f t="shared" si="35"/>
        <v>0</v>
      </c>
      <c r="W36" s="646">
        <f t="shared" si="36"/>
        <v>0</v>
      </c>
      <c r="X36" s="645">
        <f>'8b-ADIT Projection Proration'!K36</f>
        <v>0</v>
      </c>
      <c r="Y36" s="494">
        <f t="shared" si="37"/>
        <v>0</v>
      </c>
      <c r="Z36" s="494">
        <f t="shared" si="38"/>
        <v>0</v>
      </c>
      <c r="AA36" s="647">
        <v>0</v>
      </c>
      <c r="AB36" s="494">
        <f t="shared" si="39"/>
        <v>0</v>
      </c>
      <c r="AC36" s="494">
        <f t="shared" si="40"/>
        <v>0</v>
      </c>
      <c r="AD36" s="494">
        <f t="shared" si="41"/>
        <v>0</v>
      </c>
      <c r="AE36" s="494">
        <f t="shared" si="42"/>
        <v>0</v>
      </c>
      <c r="AF36" s="646">
        <f t="shared" si="43"/>
        <v>0</v>
      </c>
    </row>
    <row r="37" spans="1:33">
      <c r="A37" s="632">
        <f t="shared" si="22"/>
        <v>27</v>
      </c>
      <c r="B37" s="633" t="s">
        <v>816</v>
      </c>
      <c r="C37" s="631" t="s">
        <v>717</v>
      </c>
      <c r="D37" s="643">
        <v>2020</v>
      </c>
      <c r="E37" s="644">
        <f>1/365</f>
        <v>2.7397260273972603E-3</v>
      </c>
      <c r="F37" s="648">
        <f>'8b-ADIT Projection Proration'!G37</f>
        <v>0</v>
      </c>
      <c r="G37" s="649">
        <f t="shared" si="23"/>
        <v>0</v>
      </c>
      <c r="H37" s="649">
        <f t="shared" si="24"/>
        <v>0</v>
      </c>
      <c r="I37" s="650">
        <v>-23849</v>
      </c>
      <c r="J37" s="649">
        <f t="shared" si="25"/>
        <v>-23849</v>
      </c>
      <c r="K37" s="649">
        <f t="shared" si="26"/>
        <v>0</v>
      </c>
      <c r="L37" s="649">
        <f t="shared" si="27"/>
        <v>0</v>
      </c>
      <c r="M37" s="649">
        <f t="shared" si="28"/>
        <v>11924.5</v>
      </c>
      <c r="N37" s="651">
        <f t="shared" si="29"/>
        <v>-119247</v>
      </c>
      <c r="O37" s="648">
        <f>'8b-ADIT Projection Proration'!I37</f>
        <v>0</v>
      </c>
      <c r="P37" s="649">
        <f t="shared" si="30"/>
        <v>0</v>
      </c>
      <c r="Q37" s="649">
        <f t="shared" si="31"/>
        <v>0</v>
      </c>
      <c r="R37" s="650">
        <v>0</v>
      </c>
      <c r="S37" s="649">
        <f t="shared" si="32"/>
        <v>0</v>
      </c>
      <c r="T37" s="649">
        <f t="shared" si="33"/>
        <v>0</v>
      </c>
      <c r="U37" s="649">
        <f t="shared" si="34"/>
        <v>0</v>
      </c>
      <c r="V37" s="649">
        <f t="shared" si="35"/>
        <v>0</v>
      </c>
      <c r="W37" s="651">
        <f t="shared" si="36"/>
        <v>0</v>
      </c>
      <c r="X37" s="648">
        <f>'8b-ADIT Projection Proration'!K37</f>
        <v>0</v>
      </c>
      <c r="Y37" s="649">
        <f t="shared" si="37"/>
        <v>0</v>
      </c>
      <c r="Z37" s="649">
        <f t="shared" si="38"/>
        <v>0</v>
      </c>
      <c r="AA37" s="650">
        <v>0</v>
      </c>
      <c r="AB37" s="649">
        <f t="shared" si="39"/>
        <v>0</v>
      </c>
      <c r="AC37" s="649">
        <f t="shared" si="40"/>
        <v>0</v>
      </c>
      <c r="AD37" s="649">
        <f t="shared" si="41"/>
        <v>0</v>
      </c>
      <c r="AE37" s="649">
        <f t="shared" si="42"/>
        <v>0</v>
      </c>
      <c r="AF37" s="651">
        <f t="shared" si="43"/>
        <v>0</v>
      </c>
    </row>
    <row r="38" spans="1:33">
      <c r="A38" s="632">
        <f t="shared" si="22"/>
        <v>28</v>
      </c>
      <c r="B38" s="633" t="s">
        <v>820</v>
      </c>
      <c r="F38" s="645">
        <f>SUM(F25:F37)</f>
        <v>0</v>
      </c>
      <c r="G38" s="652">
        <f>SUM(G25:G37)</f>
        <v>0</v>
      </c>
      <c r="H38" s="494"/>
      <c r="I38" s="494">
        <f>SUM(I25:I37)</f>
        <v>-238494</v>
      </c>
      <c r="J38" s="494">
        <f>SUM(J25:J37)</f>
        <v>-238494</v>
      </c>
      <c r="K38" s="494">
        <f>SUM(K25:K37)</f>
        <v>0</v>
      </c>
      <c r="L38" s="494">
        <f>SUM(L25:L37)</f>
        <v>0</v>
      </c>
      <c r="M38" s="494">
        <f>SUM(M25:M37)</f>
        <v>119247</v>
      </c>
      <c r="N38" s="646">
        <f>N37</f>
        <v>-119247</v>
      </c>
      <c r="O38" s="645">
        <f>SUM(O25:O37)</f>
        <v>0</v>
      </c>
      <c r="P38" s="652">
        <f>SUM(P25:P37)</f>
        <v>0</v>
      </c>
      <c r="Q38" s="494"/>
      <c r="R38" s="494">
        <f>SUM(R25:R37)</f>
        <v>0</v>
      </c>
      <c r="S38" s="494">
        <f>SUM(S25:S37)</f>
        <v>0</v>
      </c>
      <c r="T38" s="494">
        <f>SUM(T25:T37)</f>
        <v>0</v>
      </c>
      <c r="U38" s="494">
        <f>SUM(U25:U37)</f>
        <v>0</v>
      </c>
      <c r="V38" s="494">
        <f>SUM(V25:V37)</f>
        <v>0</v>
      </c>
      <c r="W38" s="646"/>
      <c r="X38" s="645">
        <f>SUM(X25:X37)</f>
        <v>0</v>
      </c>
      <c r="Y38" s="652">
        <f>SUM(Y25:Y37)</f>
        <v>0</v>
      </c>
      <c r="Z38" s="494"/>
      <c r="AA38" s="494">
        <f>SUM(AA25:AA37)</f>
        <v>0</v>
      </c>
      <c r="AB38" s="494">
        <f>SUM(AB25:AB37)</f>
        <v>0</v>
      </c>
      <c r="AC38" s="494">
        <f>SUM(AC25:AC37)</f>
        <v>0</v>
      </c>
      <c r="AD38" s="494">
        <f>SUM(AD25:AD37)</f>
        <v>0</v>
      </c>
      <c r="AE38" s="494">
        <f>SUM(AE25:AE37)</f>
        <v>0</v>
      </c>
      <c r="AF38" s="646"/>
    </row>
    <row r="39" spans="1:33">
      <c r="A39" s="632"/>
      <c r="F39" s="645"/>
      <c r="G39" s="494"/>
      <c r="H39" s="494"/>
      <c r="I39" s="494"/>
      <c r="J39" s="494"/>
      <c r="K39" s="494"/>
      <c r="L39" s="494"/>
      <c r="M39" s="494"/>
      <c r="N39" s="646"/>
      <c r="O39" s="645"/>
      <c r="P39" s="494"/>
      <c r="Q39" s="494"/>
      <c r="R39" s="494"/>
      <c r="S39" s="494"/>
      <c r="T39" s="494"/>
      <c r="U39" s="494"/>
      <c r="V39" s="494"/>
      <c r="W39" s="646"/>
      <c r="X39" s="645"/>
      <c r="Y39" s="494"/>
      <c r="Z39" s="494"/>
      <c r="AA39" s="494"/>
      <c r="AB39" s="494"/>
      <c r="AC39" s="494"/>
      <c r="AD39" s="494"/>
      <c r="AE39" s="494"/>
      <c r="AF39" s="646"/>
    </row>
    <row r="40" spans="1:33">
      <c r="A40" s="631" t="s">
        <v>1174</v>
      </c>
      <c r="D40" s="634"/>
      <c r="E40" s="634"/>
      <c r="F40" s="645"/>
      <c r="G40" s="494"/>
      <c r="H40" s="494"/>
      <c r="I40" s="494"/>
      <c r="J40" s="494"/>
      <c r="K40" s="494"/>
      <c r="L40" s="494"/>
      <c r="M40" s="494"/>
      <c r="N40" s="646"/>
      <c r="O40" s="645"/>
      <c r="P40" s="494"/>
      <c r="Q40" s="494"/>
      <c r="R40" s="494"/>
      <c r="S40" s="494"/>
      <c r="T40" s="494"/>
      <c r="U40" s="494"/>
      <c r="V40" s="494"/>
      <c r="W40" s="646"/>
      <c r="X40" s="645"/>
      <c r="Y40" s="494"/>
      <c r="Z40" s="494"/>
      <c r="AA40" s="494"/>
      <c r="AB40" s="494"/>
      <c r="AC40" s="494"/>
      <c r="AD40" s="494"/>
      <c r="AE40" s="494"/>
      <c r="AF40" s="646"/>
      <c r="AG40" s="634"/>
    </row>
    <row r="41" spans="1:33">
      <c r="A41" s="632">
        <f>A38+1</f>
        <v>29</v>
      </c>
      <c r="B41" s="633" t="s">
        <v>822</v>
      </c>
      <c r="C41" s="631" t="s">
        <v>717</v>
      </c>
      <c r="D41" s="643">
        <v>2019</v>
      </c>
      <c r="E41" s="644">
        <f>365/365</f>
        <v>1</v>
      </c>
      <c r="F41" s="645"/>
      <c r="G41" s="494"/>
      <c r="H41" s="494">
        <f>'8c- ADIT BOY'!E25</f>
        <v>0</v>
      </c>
      <c r="I41" s="494"/>
      <c r="J41" s="494"/>
      <c r="K41" s="494"/>
      <c r="L41" s="494"/>
      <c r="M41" s="494"/>
      <c r="N41" s="646">
        <f>'8c- ADIT BOY'!E29</f>
        <v>0</v>
      </c>
      <c r="O41" s="645"/>
      <c r="P41" s="494"/>
      <c r="Q41" s="494">
        <f>'8c- ADIT BOY'!F25</f>
        <v>0</v>
      </c>
      <c r="R41" s="494"/>
      <c r="S41" s="494"/>
      <c r="T41" s="494"/>
      <c r="U41" s="494"/>
      <c r="V41" s="494"/>
      <c r="W41" s="646"/>
      <c r="X41" s="645"/>
      <c r="Y41" s="494"/>
      <c r="Z41" s="494">
        <f>'8c- ADIT BOY'!G25</f>
        <v>0</v>
      </c>
      <c r="AA41" s="494"/>
      <c r="AB41" s="494"/>
      <c r="AC41" s="494"/>
      <c r="AD41" s="494"/>
      <c r="AE41" s="494"/>
      <c r="AF41" s="646"/>
    </row>
    <row r="42" spans="1:33">
      <c r="A42" s="632">
        <f t="shared" ref="A42:A54" si="44">+A41+1</f>
        <v>30</v>
      </c>
      <c r="B42" s="633" t="s">
        <v>816</v>
      </c>
      <c r="C42" s="631" t="s">
        <v>641</v>
      </c>
      <c r="D42" s="643">
        <v>2020</v>
      </c>
      <c r="E42" s="644">
        <f>335/365</f>
        <v>0.9178082191780822</v>
      </c>
      <c r="F42" s="645">
        <f>'8b-ADIT Projection Proration'!G42</f>
        <v>0</v>
      </c>
      <c r="G42" s="494">
        <f t="shared" ref="G42:G53" si="45">$E42*F42</f>
        <v>0</v>
      </c>
      <c r="H42" s="494">
        <f t="shared" ref="H42:H53" si="46">+G42+H41</f>
        <v>0</v>
      </c>
      <c r="I42" s="647">
        <v>0</v>
      </c>
      <c r="J42" s="494">
        <f t="shared" ref="J42:J53" si="47">I42-F42</f>
        <v>0</v>
      </c>
      <c r="K42" s="494">
        <f t="shared" ref="K42:K53" si="48">IF(J42&gt;=0,+J42*0.5,0)</f>
        <v>0</v>
      </c>
      <c r="L42" s="494">
        <f t="shared" ref="L42:L53" si="49">IF(K42&gt;0,0,IF(I42&lt;0,0,(-(J42)*0.5)))</f>
        <v>0</v>
      </c>
      <c r="M42" s="494">
        <f t="shared" ref="M42:M53" si="50">IF(K42&gt;0,0,IF(I42&gt;0,0,(-(J42)*0.5)))</f>
        <v>0</v>
      </c>
      <c r="N42" s="646">
        <f t="shared" ref="N42:N53" si="51">+N41+G42+K42-L42-M42</f>
        <v>0</v>
      </c>
      <c r="O42" s="645">
        <f>'8b-ADIT Projection Proration'!I42</f>
        <v>0</v>
      </c>
      <c r="P42" s="494">
        <f t="shared" ref="P42:P53" si="52">$E42*O42</f>
        <v>0</v>
      </c>
      <c r="Q42" s="494">
        <f t="shared" ref="Q42:Q53" si="53">+P42+Q41</f>
        <v>0</v>
      </c>
      <c r="R42" s="647">
        <v>0</v>
      </c>
      <c r="S42" s="494">
        <f t="shared" ref="S42:S53" si="54">R42-O42</f>
        <v>0</v>
      </c>
      <c r="T42" s="494">
        <f t="shared" ref="T42:T53" si="55">IF(S42&gt;=0,+S42,0)</f>
        <v>0</v>
      </c>
      <c r="U42" s="494">
        <f t="shared" ref="U42:U53" si="56">IF(T42&gt;0,0,IF(R42&lt;0,0,(-(S42)*($E42))))</f>
        <v>0</v>
      </c>
      <c r="V42" s="494">
        <f t="shared" ref="V42:V53" si="57">IF(T42&gt;0,0,IF(R42&gt;0,0,(-(S42)*($E42))))</f>
        <v>0</v>
      </c>
      <c r="W42" s="646">
        <f t="shared" ref="W42:W53" si="58">IF(R42&lt;0,W41+V42,W41+P42+T42-U42)</f>
        <v>0</v>
      </c>
      <c r="X42" s="645">
        <f>'8b-ADIT Projection Proration'!K42</f>
        <v>0</v>
      </c>
      <c r="Y42" s="494">
        <f t="shared" ref="Y42:Y53" si="59">$E42*X42</f>
        <v>0</v>
      </c>
      <c r="Z42" s="494">
        <f t="shared" ref="Z42:Z53" si="60">+Y42+Z41</f>
        <v>0</v>
      </c>
      <c r="AA42" s="647">
        <v>0</v>
      </c>
      <c r="AB42" s="494">
        <f t="shared" ref="AB42:AB53" si="61">AA42-X42</f>
        <v>0</v>
      </c>
      <c r="AC42" s="494">
        <f t="shared" ref="AC42:AC53" si="62">IF(AB42&gt;=0,+AB42,0)</f>
        <v>0</v>
      </c>
      <c r="AD42" s="494">
        <f t="shared" ref="AD42:AD53" si="63">IF(AC42&gt;0,0,IF(AA42&lt;0,0,(-(AB42)*($E42))))</f>
        <v>0</v>
      </c>
      <c r="AE42" s="494">
        <f t="shared" ref="AE42:AE53" si="64">IF(AC42&gt;0,0,IF(AA42&gt;0,0,(-(AB42)*($E42))))</f>
        <v>0</v>
      </c>
      <c r="AF42" s="646">
        <f t="shared" ref="AF42:AF53" si="65">IF(AA42&lt;0,AF41+AE42,AF41+Y42+AC42-AD42)</f>
        <v>0</v>
      </c>
    </row>
    <row r="43" spans="1:33">
      <c r="A43" s="632">
        <f t="shared" si="44"/>
        <v>31</v>
      </c>
      <c r="B43" s="633" t="s">
        <v>816</v>
      </c>
      <c r="C43" s="631" t="s">
        <v>642</v>
      </c>
      <c r="D43" s="643">
        <v>2020</v>
      </c>
      <c r="E43" s="644">
        <f>307/365</f>
        <v>0.84109589041095889</v>
      </c>
      <c r="F43" s="645">
        <f>'8b-ADIT Projection Proration'!G43</f>
        <v>0</v>
      </c>
      <c r="G43" s="494">
        <f t="shared" si="45"/>
        <v>0</v>
      </c>
      <c r="H43" s="494">
        <f t="shared" si="46"/>
        <v>0</v>
      </c>
      <c r="I43" s="647">
        <v>0</v>
      </c>
      <c r="J43" s="494">
        <f t="shared" si="47"/>
        <v>0</v>
      </c>
      <c r="K43" s="494">
        <f t="shared" si="48"/>
        <v>0</v>
      </c>
      <c r="L43" s="494">
        <f t="shared" si="49"/>
        <v>0</v>
      </c>
      <c r="M43" s="494">
        <f t="shared" si="50"/>
        <v>0</v>
      </c>
      <c r="N43" s="646">
        <f t="shared" si="51"/>
        <v>0</v>
      </c>
      <c r="O43" s="645">
        <f>'8b-ADIT Projection Proration'!I43</f>
        <v>0</v>
      </c>
      <c r="P43" s="494">
        <f t="shared" si="52"/>
        <v>0</v>
      </c>
      <c r="Q43" s="494">
        <f t="shared" si="53"/>
        <v>0</v>
      </c>
      <c r="R43" s="647">
        <v>0</v>
      </c>
      <c r="S43" s="494">
        <f t="shared" si="54"/>
        <v>0</v>
      </c>
      <c r="T43" s="494">
        <f t="shared" si="55"/>
        <v>0</v>
      </c>
      <c r="U43" s="494">
        <f t="shared" si="56"/>
        <v>0</v>
      </c>
      <c r="V43" s="494">
        <f t="shared" si="57"/>
        <v>0</v>
      </c>
      <c r="W43" s="646">
        <f t="shared" si="58"/>
        <v>0</v>
      </c>
      <c r="X43" s="645">
        <f>'8b-ADIT Projection Proration'!K43</f>
        <v>0</v>
      </c>
      <c r="Y43" s="494">
        <f t="shared" si="59"/>
        <v>0</v>
      </c>
      <c r="Z43" s="494">
        <f t="shared" si="60"/>
        <v>0</v>
      </c>
      <c r="AA43" s="647">
        <v>0</v>
      </c>
      <c r="AB43" s="494">
        <f t="shared" si="61"/>
        <v>0</v>
      </c>
      <c r="AC43" s="494">
        <f t="shared" si="62"/>
        <v>0</v>
      </c>
      <c r="AD43" s="494">
        <f t="shared" si="63"/>
        <v>0</v>
      </c>
      <c r="AE43" s="494">
        <f t="shared" si="64"/>
        <v>0</v>
      </c>
      <c r="AF43" s="646">
        <f t="shared" si="65"/>
        <v>0</v>
      </c>
    </row>
    <row r="44" spans="1:33">
      <c r="A44" s="632">
        <f t="shared" si="44"/>
        <v>32</v>
      </c>
      <c r="B44" s="633" t="s">
        <v>816</v>
      </c>
      <c r="C44" s="631" t="s">
        <v>714</v>
      </c>
      <c r="D44" s="643">
        <v>2020</v>
      </c>
      <c r="E44" s="644">
        <f>276/365</f>
        <v>0.75616438356164384</v>
      </c>
      <c r="F44" s="645">
        <f>'8b-ADIT Projection Proration'!G44</f>
        <v>0</v>
      </c>
      <c r="G44" s="494">
        <f t="shared" si="45"/>
        <v>0</v>
      </c>
      <c r="H44" s="494">
        <f t="shared" si="46"/>
        <v>0</v>
      </c>
      <c r="I44" s="647">
        <v>37644</v>
      </c>
      <c r="J44" s="494">
        <f t="shared" si="47"/>
        <v>37644</v>
      </c>
      <c r="K44" s="494">
        <f t="shared" si="48"/>
        <v>18822</v>
      </c>
      <c r="L44" s="494">
        <f t="shared" si="49"/>
        <v>0</v>
      </c>
      <c r="M44" s="494">
        <f t="shared" si="50"/>
        <v>0</v>
      </c>
      <c r="N44" s="646">
        <f t="shared" si="51"/>
        <v>18822</v>
      </c>
      <c r="O44" s="645">
        <f>'8b-ADIT Projection Proration'!I44</f>
        <v>0</v>
      </c>
      <c r="P44" s="494">
        <f t="shared" si="52"/>
        <v>0</v>
      </c>
      <c r="Q44" s="494">
        <f t="shared" si="53"/>
        <v>0</v>
      </c>
      <c r="R44" s="647">
        <v>0</v>
      </c>
      <c r="S44" s="494">
        <f t="shared" si="54"/>
        <v>0</v>
      </c>
      <c r="T44" s="494">
        <f t="shared" si="55"/>
        <v>0</v>
      </c>
      <c r="U44" s="494">
        <f t="shared" si="56"/>
        <v>0</v>
      </c>
      <c r="V44" s="494">
        <f t="shared" si="57"/>
        <v>0</v>
      </c>
      <c r="W44" s="646">
        <f t="shared" si="58"/>
        <v>0</v>
      </c>
      <c r="X44" s="645">
        <f>'8b-ADIT Projection Proration'!K44</f>
        <v>0</v>
      </c>
      <c r="Y44" s="494">
        <f t="shared" si="59"/>
        <v>0</v>
      </c>
      <c r="Z44" s="494">
        <f t="shared" si="60"/>
        <v>0</v>
      </c>
      <c r="AA44" s="647">
        <v>0</v>
      </c>
      <c r="AB44" s="494">
        <f t="shared" si="61"/>
        <v>0</v>
      </c>
      <c r="AC44" s="494">
        <f t="shared" si="62"/>
        <v>0</v>
      </c>
      <c r="AD44" s="494">
        <f t="shared" si="63"/>
        <v>0</v>
      </c>
      <c r="AE44" s="494">
        <f t="shared" si="64"/>
        <v>0</v>
      </c>
      <c r="AF44" s="646">
        <f t="shared" si="65"/>
        <v>0</v>
      </c>
    </row>
    <row r="45" spans="1:33">
      <c r="A45" s="632">
        <f t="shared" si="44"/>
        <v>33</v>
      </c>
      <c r="B45" s="633" t="s">
        <v>816</v>
      </c>
      <c r="C45" s="631" t="s">
        <v>644</v>
      </c>
      <c r="D45" s="643">
        <v>2020</v>
      </c>
      <c r="E45" s="644">
        <f>246/365</f>
        <v>0.67397260273972603</v>
      </c>
      <c r="F45" s="645">
        <f>'8b-ADIT Projection Proration'!G45</f>
        <v>0</v>
      </c>
      <c r="G45" s="494">
        <f t="shared" si="45"/>
        <v>0</v>
      </c>
      <c r="H45" s="494">
        <f t="shared" si="46"/>
        <v>0</v>
      </c>
      <c r="I45" s="647">
        <v>37644</v>
      </c>
      <c r="J45" s="494">
        <f t="shared" si="47"/>
        <v>37644</v>
      </c>
      <c r="K45" s="494">
        <f t="shared" si="48"/>
        <v>18822</v>
      </c>
      <c r="L45" s="494">
        <f t="shared" si="49"/>
        <v>0</v>
      </c>
      <c r="M45" s="494">
        <f t="shared" si="50"/>
        <v>0</v>
      </c>
      <c r="N45" s="646">
        <f t="shared" si="51"/>
        <v>37644</v>
      </c>
      <c r="O45" s="645">
        <f>'8b-ADIT Projection Proration'!I45</f>
        <v>0</v>
      </c>
      <c r="P45" s="494">
        <f t="shared" si="52"/>
        <v>0</v>
      </c>
      <c r="Q45" s="494">
        <f t="shared" si="53"/>
        <v>0</v>
      </c>
      <c r="R45" s="647">
        <v>0</v>
      </c>
      <c r="S45" s="494">
        <f t="shared" si="54"/>
        <v>0</v>
      </c>
      <c r="T45" s="494">
        <f t="shared" si="55"/>
        <v>0</v>
      </c>
      <c r="U45" s="494">
        <f t="shared" si="56"/>
        <v>0</v>
      </c>
      <c r="V45" s="494">
        <f t="shared" si="57"/>
        <v>0</v>
      </c>
      <c r="W45" s="646">
        <f t="shared" si="58"/>
        <v>0</v>
      </c>
      <c r="X45" s="645">
        <f>'8b-ADIT Projection Proration'!K45</f>
        <v>0</v>
      </c>
      <c r="Y45" s="494">
        <f t="shared" si="59"/>
        <v>0</v>
      </c>
      <c r="Z45" s="494">
        <f t="shared" si="60"/>
        <v>0</v>
      </c>
      <c r="AA45" s="647">
        <v>0</v>
      </c>
      <c r="AB45" s="494">
        <f t="shared" si="61"/>
        <v>0</v>
      </c>
      <c r="AC45" s="494">
        <f t="shared" si="62"/>
        <v>0</v>
      </c>
      <c r="AD45" s="494">
        <f t="shared" si="63"/>
        <v>0</v>
      </c>
      <c r="AE45" s="494">
        <f t="shared" si="64"/>
        <v>0</v>
      </c>
      <c r="AF45" s="646">
        <f t="shared" si="65"/>
        <v>0</v>
      </c>
    </row>
    <row r="46" spans="1:33">
      <c r="A46" s="632">
        <f t="shared" si="44"/>
        <v>34</v>
      </c>
      <c r="B46" s="633" t="s">
        <v>816</v>
      </c>
      <c r="C46" s="631" t="s">
        <v>645</v>
      </c>
      <c r="D46" s="643">
        <v>2020</v>
      </c>
      <c r="E46" s="644">
        <f>215/365</f>
        <v>0.58904109589041098</v>
      </c>
      <c r="F46" s="645">
        <f>'8b-ADIT Projection Proration'!G46</f>
        <v>0</v>
      </c>
      <c r="G46" s="494">
        <f t="shared" si="45"/>
        <v>0</v>
      </c>
      <c r="H46" s="494">
        <f t="shared" si="46"/>
        <v>0</v>
      </c>
      <c r="I46" s="647">
        <v>37644</v>
      </c>
      <c r="J46" s="494">
        <f t="shared" si="47"/>
        <v>37644</v>
      </c>
      <c r="K46" s="494">
        <f t="shared" si="48"/>
        <v>18822</v>
      </c>
      <c r="L46" s="494">
        <f t="shared" si="49"/>
        <v>0</v>
      </c>
      <c r="M46" s="494">
        <f t="shared" si="50"/>
        <v>0</v>
      </c>
      <c r="N46" s="646">
        <f t="shared" si="51"/>
        <v>56466</v>
      </c>
      <c r="O46" s="645">
        <f>'8b-ADIT Projection Proration'!I46</f>
        <v>0</v>
      </c>
      <c r="P46" s="494">
        <f t="shared" si="52"/>
        <v>0</v>
      </c>
      <c r="Q46" s="494">
        <f t="shared" si="53"/>
        <v>0</v>
      </c>
      <c r="R46" s="647">
        <v>0</v>
      </c>
      <c r="S46" s="494">
        <f t="shared" si="54"/>
        <v>0</v>
      </c>
      <c r="T46" s="494">
        <f t="shared" si="55"/>
        <v>0</v>
      </c>
      <c r="U46" s="494">
        <f t="shared" si="56"/>
        <v>0</v>
      </c>
      <c r="V46" s="494">
        <f t="shared" si="57"/>
        <v>0</v>
      </c>
      <c r="W46" s="646">
        <f t="shared" si="58"/>
        <v>0</v>
      </c>
      <c r="X46" s="645">
        <f>'8b-ADIT Projection Proration'!K46</f>
        <v>0</v>
      </c>
      <c r="Y46" s="494">
        <f t="shared" si="59"/>
        <v>0</v>
      </c>
      <c r="Z46" s="494">
        <f t="shared" si="60"/>
        <v>0</v>
      </c>
      <c r="AA46" s="647">
        <v>0</v>
      </c>
      <c r="AB46" s="494">
        <f t="shared" si="61"/>
        <v>0</v>
      </c>
      <c r="AC46" s="494">
        <f t="shared" si="62"/>
        <v>0</v>
      </c>
      <c r="AD46" s="494">
        <f t="shared" si="63"/>
        <v>0</v>
      </c>
      <c r="AE46" s="494">
        <f t="shared" si="64"/>
        <v>0</v>
      </c>
      <c r="AF46" s="646">
        <f t="shared" si="65"/>
        <v>0</v>
      </c>
    </row>
    <row r="47" spans="1:33">
      <c r="A47" s="632">
        <f t="shared" si="44"/>
        <v>35</v>
      </c>
      <c r="B47" s="633" t="s">
        <v>816</v>
      </c>
      <c r="C47" s="631" t="s">
        <v>646</v>
      </c>
      <c r="D47" s="643">
        <v>2020</v>
      </c>
      <c r="E47" s="644">
        <f>185/365</f>
        <v>0.50684931506849318</v>
      </c>
      <c r="F47" s="645">
        <f>'8b-ADIT Projection Proration'!G47</f>
        <v>0</v>
      </c>
      <c r="G47" s="494">
        <f t="shared" si="45"/>
        <v>0</v>
      </c>
      <c r="H47" s="494">
        <f t="shared" si="46"/>
        <v>0</v>
      </c>
      <c r="I47" s="647">
        <v>37643</v>
      </c>
      <c r="J47" s="494">
        <f t="shared" si="47"/>
        <v>37643</v>
      </c>
      <c r="K47" s="494">
        <f t="shared" si="48"/>
        <v>18821.5</v>
      </c>
      <c r="L47" s="494">
        <f t="shared" si="49"/>
        <v>0</v>
      </c>
      <c r="M47" s="494">
        <f t="shared" si="50"/>
        <v>0</v>
      </c>
      <c r="N47" s="646">
        <f t="shared" si="51"/>
        <v>75287.5</v>
      </c>
      <c r="O47" s="645">
        <f>'8b-ADIT Projection Proration'!I47</f>
        <v>0</v>
      </c>
      <c r="P47" s="494">
        <f t="shared" si="52"/>
        <v>0</v>
      </c>
      <c r="Q47" s="494">
        <f t="shared" si="53"/>
        <v>0</v>
      </c>
      <c r="R47" s="647">
        <v>0</v>
      </c>
      <c r="S47" s="494">
        <f t="shared" si="54"/>
        <v>0</v>
      </c>
      <c r="T47" s="494">
        <f t="shared" si="55"/>
        <v>0</v>
      </c>
      <c r="U47" s="494">
        <f t="shared" si="56"/>
        <v>0</v>
      </c>
      <c r="V47" s="494">
        <f t="shared" si="57"/>
        <v>0</v>
      </c>
      <c r="W47" s="646">
        <f t="shared" si="58"/>
        <v>0</v>
      </c>
      <c r="X47" s="645">
        <f>'8b-ADIT Projection Proration'!K47</f>
        <v>0</v>
      </c>
      <c r="Y47" s="494">
        <f t="shared" si="59"/>
        <v>0</v>
      </c>
      <c r="Z47" s="494">
        <f t="shared" si="60"/>
        <v>0</v>
      </c>
      <c r="AA47" s="647">
        <v>0</v>
      </c>
      <c r="AB47" s="494">
        <f t="shared" si="61"/>
        <v>0</v>
      </c>
      <c r="AC47" s="494">
        <f t="shared" si="62"/>
        <v>0</v>
      </c>
      <c r="AD47" s="494">
        <f t="shared" si="63"/>
        <v>0</v>
      </c>
      <c r="AE47" s="494">
        <f t="shared" si="64"/>
        <v>0</v>
      </c>
      <c r="AF47" s="646">
        <f t="shared" si="65"/>
        <v>0</v>
      </c>
    </row>
    <row r="48" spans="1:33">
      <c r="A48" s="632">
        <f t="shared" si="44"/>
        <v>36</v>
      </c>
      <c r="B48" s="633" t="s">
        <v>816</v>
      </c>
      <c r="C48" s="631" t="s">
        <v>647</v>
      </c>
      <c r="D48" s="643">
        <v>2020</v>
      </c>
      <c r="E48" s="644">
        <f>154/365</f>
        <v>0.42191780821917807</v>
      </c>
      <c r="F48" s="645">
        <f>'8b-ADIT Projection Proration'!G48</f>
        <v>0</v>
      </c>
      <c r="G48" s="494">
        <f t="shared" si="45"/>
        <v>0</v>
      </c>
      <c r="H48" s="494">
        <f t="shared" si="46"/>
        <v>0</v>
      </c>
      <c r="I48" s="647">
        <v>37643</v>
      </c>
      <c r="J48" s="494">
        <f t="shared" si="47"/>
        <v>37643</v>
      </c>
      <c r="K48" s="494">
        <f t="shared" si="48"/>
        <v>18821.5</v>
      </c>
      <c r="L48" s="494">
        <f t="shared" si="49"/>
        <v>0</v>
      </c>
      <c r="M48" s="494">
        <f t="shared" si="50"/>
        <v>0</v>
      </c>
      <c r="N48" s="646">
        <f t="shared" si="51"/>
        <v>94109</v>
      </c>
      <c r="O48" s="645">
        <f>'8b-ADIT Projection Proration'!I48</f>
        <v>0</v>
      </c>
      <c r="P48" s="494">
        <f t="shared" si="52"/>
        <v>0</v>
      </c>
      <c r="Q48" s="494">
        <f t="shared" si="53"/>
        <v>0</v>
      </c>
      <c r="R48" s="647">
        <v>0</v>
      </c>
      <c r="S48" s="494">
        <f t="shared" si="54"/>
        <v>0</v>
      </c>
      <c r="T48" s="494">
        <f t="shared" si="55"/>
        <v>0</v>
      </c>
      <c r="U48" s="494">
        <f t="shared" si="56"/>
        <v>0</v>
      </c>
      <c r="V48" s="494">
        <f t="shared" si="57"/>
        <v>0</v>
      </c>
      <c r="W48" s="646">
        <f t="shared" si="58"/>
        <v>0</v>
      </c>
      <c r="X48" s="645">
        <f>'8b-ADIT Projection Proration'!K48</f>
        <v>0</v>
      </c>
      <c r="Y48" s="494">
        <f t="shared" si="59"/>
        <v>0</v>
      </c>
      <c r="Z48" s="494">
        <f t="shared" si="60"/>
        <v>0</v>
      </c>
      <c r="AA48" s="647">
        <v>0</v>
      </c>
      <c r="AB48" s="494">
        <f t="shared" si="61"/>
        <v>0</v>
      </c>
      <c r="AC48" s="494">
        <f t="shared" si="62"/>
        <v>0</v>
      </c>
      <c r="AD48" s="494">
        <f t="shared" si="63"/>
        <v>0</v>
      </c>
      <c r="AE48" s="494">
        <f t="shared" si="64"/>
        <v>0</v>
      </c>
      <c r="AF48" s="646">
        <f t="shared" si="65"/>
        <v>0</v>
      </c>
    </row>
    <row r="49" spans="1:32">
      <c r="A49" s="632">
        <f t="shared" si="44"/>
        <v>37</v>
      </c>
      <c r="B49" s="633" t="s">
        <v>816</v>
      </c>
      <c r="C49" s="631" t="s">
        <v>716</v>
      </c>
      <c r="D49" s="643">
        <v>2020</v>
      </c>
      <c r="E49" s="644">
        <f>123/365</f>
        <v>0.33698630136986302</v>
      </c>
      <c r="F49" s="645">
        <f>'8b-ADIT Projection Proration'!G49</f>
        <v>0</v>
      </c>
      <c r="G49" s="494">
        <f t="shared" si="45"/>
        <v>0</v>
      </c>
      <c r="H49" s="494">
        <f t="shared" si="46"/>
        <v>0</v>
      </c>
      <c r="I49" s="647">
        <v>37643</v>
      </c>
      <c r="J49" s="494">
        <f t="shared" si="47"/>
        <v>37643</v>
      </c>
      <c r="K49" s="494">
        <f t="shared" si="48"/>
        <v>18821.5</v>
      </c>
      <c r="L49" s="494">
        <f t="shared" si="49"/>
        <v>0</v>
      </c>
      <c r="M49" s="494">
        <f t="shared" si="50"/>
        <v>0</v>
      </c>
      <c r="N49" s="646">
        <f t="shared" si="51"/>
        <v>112930.5</v>
      </c>
      <c r="O49" s="645">
        <f>'8b-ADIT Projection Proration'!I49</f>
        <v>0</v>
      </c>
      <c r="P49" s="494">
        <f t="shared" si="52"/>
        <v>0</v>
      </c>
      <c r="Q49" s="494">
        <f t="shared" si="53"/>
        <v>0</v>
      </c>
      <c r="R49" s="647">
        <v>0</v>
      </c>
      <c r="S49" s="494">
        <f t="shared" si="54"/>
        <v>0</v>
      </c>
      <c r="T49" s="494">
        <f t="shared" si="55"/>
        <v>0</v>
      </c>
      <c r="U49" s="494">
        <f t="shared" si="56"/>
        <v>0</v>
      </c>
      <c r="V49" s="494">
        <f t="shared" si="57"/>
        <v>0</v>
      </c>
      <c r="W49" s="646">
        <f t="shared" si="58"/>
        <v>0</v>
      </c>
      <c r="X49" s="645">
        <f>'8b-ADIT Projection Proration'!K49</f>
        <v>0</v>
      </c>
      <c r="Y49" s="494">
        <f t="shared" si="59"/>
        <v>0</v>
      </c>
      <c r="Z49" s="494">
        <f t="shared" si="60"/>
        <v>0</v>
      </c>
      <c r="AA49" s="647">
        <v>0</v>
      </c>
      <c r="AB49" s="494">
        <f t="shared" si="61"/>
        <v>0</v>
      </c>
      <c r="AC49" s="494">
        <f t="shared" si="62"/>
        <v>0</v>
      </c>
      <c r="AD49" s="494">
        <f t="shared" si="63"/>
        <v>0</v>
      </c>
      <c r="AE49" s="494">
        <f t="shared" si="64"/>
        <v>0</v>
      </c>
      <c r="AF49" s="646">
        <f t="shared" si="65"/>
        <v>0</v>
      </c>
    </row>
    <row r="50" spans="1:32">
      <c r="A50" s="632">
        <f t="shared" si="44"/>
        <v>38</v>
      </c>
      <c r="B50" s="633" t="s">
        <v>816</v>
      </c>
      <c r="C50" s="631" t="s">
        <v>649</v>
      </c>
      <c r="D50" s="643">
        <v>2020</v>
      </c>
      <c r="E50" s="644">
        <f>93/365</f>
        <v>0.25479452054794521</v>
      </c>
      <c r="F50" s="645">
        <f>'8b-ADIT Projection Proration'!G50</f>
        <v>0</v>
      </c>
      <c r="G50" s="494">
        <f t="shared" si="45"/>
        <v>0</v>
      </c>
      <c r="H50" s="494">
        <f t="shared" si="46"/>
        <v>0</v>
      </c>
      <c r="I50" s="647">
        <v>37643</v>
      </c>
      <c r="J50" s="494">
        <f t="shared" si="47"/>
        <v>37643</v>
      </c>
      <c r="K50" s="494">
        <f t="shared" si="48"/>
        <v>18821.5</v>
      </c>
      <c r="L50" s="494">
        <f t="shared" si="49"/>
        <v>0</v>
      </c>
      <c r="M50" s="494">
        <f t="shared" si="50"/>
        <v>0</v>
      </c>
      <c r="N50" s="646">
        <f t="shared" si="51"/>
        <v>131752</v>
      </c>
      <c r="O50" s="645">
        <f>'8b-ADIT Projection Proration'!I50</f>
        <v>0</v>
      </c>
      <c r="P50" s="494">
        <f t="shared" si="52"/>
        <v>0</v>
      </c>
      <c r="Q50" s="494">
        <f t="shared" si="53"/>
        <v>0</v>
      </c>
      <c r="R50" s="647">
        <v>0</v>
      </c>
      <c r="S50" s="494">
        <f t="shared" si="54"/>
        <v>0</v>
      </c>
      <c r="T50" s="494">
        <f t="shared" si="55"/>
        <v>0</v>
      </c>
      <c r="U50" s="494">
        <f t="shared" si="56"/>
        <v>0</v>
      </c>
      <c r="V50" s="494">
        <f t="shared" si="57"/>
        <v>0</v>
      </c>
      <c r="W50" s="646">
        <f t="shared" si="58"/>
        <v>0</v>
      </c>
      <c r="X50" s="645">
        <f>'8b-ADIT Projection Proration'!K50</f>
        <v>0</v>
      </c>
      <c r="Y50" s="494">
        <f t="shared" si="59"/>
        <v>0</v>
      </c>
      <c r="Z50" s="494">
        <f t="shared" si="60"/>
        <v>0</v>
      </c>
      <c r="AA50" s="647">
        <v>0</v>
      </c>
      <c r="AB50" s="494">
        <f t="shared" si="61"/>
        <v>0</v>
      </c>
      <c r="AC50" s="494">
        <f t="shared" si="62"/>
        <v>0</v>
      </c>
      <c r="AD50" s="494">
        <f t="shared" si="63"/>
        <v>0</v>
      </c>
      <c r="AE50" s="494">
        <f t="shared" si="64"/>
        <v>0</v>
      </c>
      <c r="AF50" s="646">
        <f t="shared" si="65"/>
        <v>0</v>
      </c>
    </row>
    <row r="51" spans="1:32">
      <c r="A51" s="632">
        <f t="shared" si="44"/>
        <v>39</v>
      </c>
      <c r="B51" s="633" t="s">
        <v>816</v>
      </c>
      <c r="C51" s="631" t="s">
        <v>650</v>
      </c>
      <c r="D51" s="643">
        <v>2020</v>
      </c>
      <c r="E51" s="644">
        <f>62/365</f>
        <v>0.16986301369863013</v>
      </c>
      <c r="F51" s="645">
        <f>'8b-ADIT Projection Proration'!G51</f>
        <v>0</v>
      </c>
      <c r="G51" s="494">
        <f t="shared" si="45"/>
        <v>0</v>
      </c>
      <c r="H51" s="494">
        <f t="shared" si="46"/>
        <v>0</v>
      </c>
      <c r="I51" s="647">
        <v>37643</v>
      </c>
      <c r="J51" s="494">
        <f t="shared" si="47"/>
        <v>37643</v>
      </c>
      <c r="K51" s="494">
        <f t="shared" si="48"/>
        <v>18821.5</v>
      </c>
      <c r="L51" s="494">
        <f t="shared" si="49"/>
        <v>0</v>
      </c>
      <c r="M51" s="494">
        <f t="shared" si="50"/>
        <v>0</v>
      </c>
      <c r="N51" s="646">
        <f t="shared" si="51"/>
        <v>150573.5</v>
      </c>
      <c r="O51" s="645">
        <f>'8b-ADIT Projection Proration'!I51</f>
        <v>0</v>
      </c>
      <c r="P51" s="494">
        <f t="shared" si="52"/>
        <v>0</v>
      </c>
      <c r="Q51" s="494">
        <f t="shared" si="53"/>
        <v>0</v>
      </c>
      <c r="R51" s="647">
        <v>0</v>
      </c>
      <c r="S51" s="494">
        <f t="shared" si="54"/>
        <v>0</v>
      </c>
      <c r="T51" s="494">
        <f t="shared" si="55"/>
        <v>0</v>
      </c>
      <c r="U51" s="494">
        <f t="shared" si="56"/>
        <v>0</v>
      </c>
      <c r="V51" s="494">
        <f t="shared" si="57"/>
        <v>0</v>
      </c>
      <c r="W51" s="646">
        <f t="shared" si="58"/>
        <v>0</v>
      </c>
      <c r="X51" s="645">
        <f>'8b-ADIT Projection Proration'!K51</f>
        <v>0</v>
      </c>
      <c r="Y51" s="494">
        <f t="shared" si="59"/>
        <v>0</v>
      </c>
      <c r="Z51" s="494">
        <f t="shared" si="60"/>
        <v>0</v>
      </c>
      <c r="AA51" s="647">
        <v>0</v>
      </c>
      <c r="AB51" s="494">
        <f t="shared" si="61"/>
        <v>0</v>
      </c>
      <c r="AC51" s="494">
        <f t="shared" si="62"/>
        <v>0</v>
      </c>
      <c r="AD51" s="494">
        <f t="shared" si="63"/>
        <v>0</v>
      </c>
      <c r="AE51" s="494">
        <f t="shared" si="64"/>
        <v>0</v>
      </c>
      <c r="AF51" s="646">
        <f t="shared" si="65"/>
        <v>0</v>
      </c>
    </row>
    <row r="52" spans="1:32">
      <c r="A52" s="632">
        <f t="shared" si="44"/>
        <v>40</v>
      </c>
      <c r="B52" s="633" t="s">
        <v>816</v>
      </c>
      <c r="C52" s="631" t="s">
        <v>651</v>
      </c>
      <c r="D52" s="643">
        <v>2020</v>
      </c>
      <c r="E52" s="644">
        <f>32/365</f>
        <v>8.7671232876712329E-2</v>
      </c>
      <c r="F52" s="645">
        <f>'8b-ADIT Projection Proration'!G52</f>
        <v>0</v>
      </c>
      <c r="G52" s="494">
        <f t="shared" si="45"/>
        <v>0</v>
      </c>
      <c r="H52" s="494">
        <f t="shared" si="46"/>
        <v>0</v>
      </c>
      <c r="I52" s="647">
        <v>37643</v>
      </c>
      <c r="J52" s="494">
        <f t="shared" si="47"/>
        <v>37643</v>
      </c>
      <c r="K52" s="494">
        <f t="shared" si="48"/>
        <v>18821.5</v>
      </c>
      <c r="L52" s="494">
        <f t="shared" si="49"/>
        <v>0</v>
      </c>
      <c r="M52" s="494">
        <f t="shared" si="50"/>
        <v>0</v>
      </c>
      <c r="N52" s="646">
        <f t="shared" si="51"/>
        <v>169395</v>
      </c>
      <c r="O52" s="645">
        <f>'8b-ADIT Projection Proration'!I52</f>
        <v>0</v>
      </c>
      <c r="P52" s="494">
        <f t="shared" si="52"/>
        <v>0</v>
      </c>
      <c r="Q52" s="494">
        <f t="shared" si="53"/>
        <v>0</v>
      </c>
      <c r="R52" s="647">
        <v>0</v>
      </c>
      <c r="S52" s="494">
        <f t="shared" si="54"/>
        <v>0</v>
      </c>
      <c r="T52" s="494">
        <f t="shared" si="55"/>
        <v>0</v>
      </c>
      <c r="U52" s="494">
        <f t="shared" si="56"/>
        <v>0</v>
      </c>
      <c r="V52" s="494">
        <f t="shared" si="57"/>
        <v>0</v>
      </c>
      <c r="W52" s="646">
        <f t="shared" si="58"/>
        <v>0</v>
      </c>
      <c r="X52" s="645">
        <f>'8b-ADIT Projection Proration'!K52</f>
        <v>0</v>
      </c>
      <c r="Y52" s="494">
        <f t="shared" si="59"/>
        <v>0</v>
      </c>
      <c r="Z52" s="494">
        <f t="shared" si="60"/>
        <v>0</v>
      </c>
      <c r="AA52" s="647">
        <v>0</v>
      </c>
      <c r="AB52" s="494">
        <f t="shared" si="61"/>
        <v>0</v>
      </c>
      <c r="AC52" s="494">
        <f t="shared" si="62"/>
        <v>0</v>
      </c>
      <c r="AD52" s="494">
        <f t="shared" si="63"/>
        <v>0</v>
      </c>
      <c r="AE52" s="494">
        <f t="shared" si="64"/>
        <v>0</v>
      </c>
      <c r="AF52" s="646">
        <f t="shared" si="65"/>
        <v>0</v>
      </c>
    </row>
    <row r="53" spans="1:32">
      <c r="A53" s="632">
        <f t="shared" si="44"/>
        <v>41</v>
      </c>
      <c r="B53" s="633" t="s">
        <v>816</v>
      </c>
      <c r="C53" s="631" t="s">
        <v>717</v>
      </c>
      <c r="D53" s="643">
        <v>2020</v>
      </c>
      <c r="E53" s="644">
        <f>1/365</f>
        <v>2.7397260273972603E-3</v>
      </c>
      <c r="F53" s="648">
        <f>'8b-ADIT Projection Proration'!G53</f>
        <v>0</v>
      </c>
      <c r="G53" s="649">
        <f t="shared" si="45"/>
        <v>0</v>
      </c>
      <c r="H53" s="649">
        <f t="shared" si="46"/>
        <v>0</v>
      </c>
      <c r="I53" s="650">
        <v>37643</v>
      </c>
      <c r="J53" s="649">
        <f t="shared" si="47"/>
        <v>37643</v>
      </c>
      <c r="K53" s="649">
        <f t="shared" si="48"/>
        <v>18821.5</v>
      </c>
      <c r="L53" s="649">
        <f t="shared" si="49"/>
        <v>0</v>
      </c>
      <c r="M53" s="649">
        <f t="shared" si="50"/>
        <v>0</v>
      </c>
      <c r="N53" s="651">
        <f t="shared" si="51"/>
        <v>188216.5</v>
      </c>
      <c r="O53" s="648">
        <f>'8b-ADIT Projection Proration'!I53</f>
        <v>0</v>
      </c>
      <c r="P53" s="649">
        <f t="shared" si="52"/>
        <v>0</v>
      </c>
      <c r="Q53" s="649">
        <f t="shared" si="53"/>
        <v>0</v>
      </c>
      <c r="R53" s="650">
        <v>0</v>
      </c>
      <c r="S53" s="649">
        <f t="shared" si="54"/>
        <v>0</v>
      </c>
      <c r="T53" s="649">
        <f t="shared" si="55"/>
        <v>0</v>
      </c>
      <c r="U53" s="649">
        <f t="shared" si="56"/>
        <v>0</v>
      </c>
      <c r="V53" s="649">
        <f t="shared" si="57"/>
        <v>0</v>
      </c>
      <c r="W53" s="651">
        <f t="shared" si="58"/>
        <v>0</v>
      </c>
      <c r="X53" s="648">
        <f>'8b-ADIT Projection Proration'!K53</f>
        <v>0</v>
      </c>
      <c r="Y53" s="649">
        <f t="shared" si="59"/>
        <v>0</v>
      </c>
      <c r="Z53" s="649">
        <f t="shared" si="60"/>
        <v>0</v>
      </c>
      <c r="AA53" s="650">
        <v>0</v>
      </c>
      <c r="AB53" s="649">
        <f t="shared" si="61"/>
        <v>0</v>
      </c>
      <c r="AC53" s="649">
        <f t="shared" si="62"/>
        <v>0</v>
      </c>
      <c r="AD53" s="649">
        <f t="shared" si="63"/>
        <v>0</v>
      </c>
      <c r="AE53" s="649">
        <f t="shared" si="64"/>
        <v>0</v>
      </c>
      <c r="AF53" s="651">
        <f t="shared" si="65"/>
        <v>0</v>
      </c>
    </row>
    <row r="54" spans="1:32" ht="13.5" thickBot="1">
      <c r="A54" s="632">
        <f t="shared" si="44"/>
        <v>42</v>
      </c>
      <c r="B54" s="633" t="s">
        <v>823</v>
      </c>
      <c r="F54" s="653">
        <f>SUM(F41:F53)</f>
        <v>0</v>
      </c>
      <c r="G54" s="654">
        <f>SUM(G41:G53)</f>
        <v>0</v>
      </c>
      <c r="H54" s="654"/>
      <c r="I54" s="654">
        <f>SUM(I41:I53)</f>
        <v>376433</v>
      </c>
      <c r="J54" s="654">
        <f>SUM(J41:J53)</f>
        <v>376433</v>
      </c>
      <c r="K54" s="654">
        <f>SUM(K41:K53)</f>
        <v>188216.5</v>
      </c>
      <c r="L54" s="654">
        <f>SUM(L41:L53)</f>
        <v>0</v>
      </c>
      <c r="M54" s="654">
        <f>SUM(M41:M53)</f>
        <v>0</v>
      </c>
      <c r="N54" s="655">
        <f>N53</f>
        <v>188216.5</v>
      </c>
      <c r="O54" s="653">
        <f>SUM(O41:O53)</f>
        <v>0</v>
      </c>
      <c r="P54" s="654">
        <f>SUM(P41:P53)</f>
        <v>0</v>
      </c>
      <c r="Q54" s="654"/>
      <c r="R54" s="654">
        <f>SUM(R41:R53)</f>
        <v>0</v>
      </c>
      <c r="S54" s="654">
        <f>SUM(S41:S53)</f>
        <v>0</v>
      </c>
      <c r="T54" s="654">
        <f>SUM(T41:T53)</f>
        <v>0</v>
      </c>
      <c r="U54" s="654">
        <f>SUM(U41:U53)</f>
        <v>0</v>
      </c>
      <c r="V54" s="654">
        <f>SUM(V41:V53)</f>
        <v>0</v>
      </c>
      <c r="W54" s="655"/>
      <c r="X54" s="653">
        <f>SUM(X41:X53)</f>
        <v>0</v>
      </c>
      <c r="Y54" s="654">
        <f>SUM(Y41:Y53)</f>
        <v>0</v>
      </c>
      <c r="Z54" s="654"/>
      <c r="AA54" s="654">
        <f>SUM(AA41:AA53)</f>
        <v>0</v>
      </c>
      <c r="AB54" s="654">
        <f>SUM(AB41:AB53)</f>
        <v>0</v>
      </c>
      <c r="AC54" s="654">
        <f>SUM(AC41:AC53)</f>
        <v>0</v>
      </c>
      <c r="AD54" s="654">
        <f>SUM(AD41:AD53)</f>
        <v>0</v>
      </c>
      <c r="AE54" s="654">
        <f>SUM(AE41:AE53)</f>
        <v>0</v>
      </c>
      <c r="AF54" s="655"/>
    </row>
    <row r="55" spans="1:32">
      <c r="B55" s="631"/>
      <c r="F55" s="494"/>
      <c r="G55" s="494"/>
      <c r="H55" s="494"/>
      <c r="I55" s="494"/>
      <c r="J55" s="494"/>
      <c r="K55" s="494"/>
      <c r="L55" s="494"/>
      <c r="M55" s="494"/>
      <c r="N55" s="494"/>
      <c r="O55" s="494"/>
      <c r="P55" s="494"/>
      <c r="Q55" s="494"/>
      <c r="R55" s="494"/>
      <c r="S55" s="494"/>
      <c r="T55" s="494"/>
      <c r="U55" s="494"/>
      <c r="V55" s="494"/>
      <c r="W55" s="494"/>
      <c r="X55" s="494"/>
      <c r="Y55" s="494"/>
    </row>
    <row r="56" spans="1:32">
      <c r="B56" s="631"/>
    </row>
    <row r="57" spans="1:32">
      <c r="A57" s="656" t="s">
        <v>824</v>
      </c>
      <c r="B57" s="631" t="s">
        <v>825</v>
      </c>
    </row>
    <row r="58" spans="1:32">
      <c r="A58" s="656" t="s">
        <v>826</v>
      </c>
      <c r="B58" s="631" t="s">
        <v>1175</v>
      </c>
      <c r="D58" s="657"/>
      <c r="E58" s="657"/>
      <c r="F58" s="657"/>
      <c r="G58" s="657"/>
      <c r="H58" s="657"/>
      <c r="I58" s="657"/>
      <c r="J58" s="657"/>
      <c r="K58" s="657"/>
      <c r="L58" s="657"/>
      <c r="M58" s="657"/>
      <c r="N58" s="657"/>
    </row>
    <row r="59" spans="1:32">
      <c r="A59" s="658" t="s">
        <v>354</v>
      </c>
      <c r="B59" s="631" t="s">
        <v>828</v>
      </c>
      <c r="D59" s="657"/>
      <c r="E59" s="657"/>
      <c r="F59" s="657"/>
      <c r="G59" s="657"/>
      <c r="H59" s="657"/>
      <c r="I59" s="657"/>
      <c r="J59" s="657"/>
      <c r="K59" s="657"/>
      <c r="L59" s="657"/>
      <c r="M59" s="657"/>
      <c r="N59" s="657"/>
    </row>
    <row r="60" spans="1:32">
      <c r="A60" s="658" t="s">
        <v>356</v>
      </c>
      <c r="B60" s="631" t="s">
        <v>829</v>
      </c>
      <c r="D60" s="657"/>
      <c r="E60" s="657"/>
      <c r="F60" s="657"/>
      <c r="G60" s="657"/>
      <c r="H60" s="657"/>
      <c r="I60" s="657"/>
      <c r="J60" s="657"/>
      <c r="K60" s="657"/>
      <c r="L60" s="657"/>
      <c r="M60" s="657"/>
      <c r="N60" s="657"/>
    </row>
    <row r="61" spans="1:32">
      <c r="A61" s="658" t="s">
        <v>358</v>
      </c>
      <c r="B61" s="633" t="s">
        <v>1176</v>
      </c>
      <c r="D61" s="634"/>
      <c r="E61" s="634"/>
    </row>
    <row r="62" spans="1:32">
      <c r="D62" s="494"/>
      <c r="E62" s="494"/>
    </row>
    <row r="63" spans="1:32">
      <c r="D63" s="494"/>
      <c r="E63" s="494"/>
    </row>
    <row r="64" spans="1:32">
      <c r="D64" s="494"/>
      <c r="E64" s="494"/>
    </row>
    <row r="65" spans="2:24">
      <c r="D65" s="494"/>
      <c r="E65" s="494"/>
    </row>
    <row r="66" spans="2:24">
      <c r="D66" s="494"/>
      <c r="E66" s="494"/>
      <c r="O66" s="494"/>
      <c r="P66" s="494"/>
      <c r="Q66" s="494"/>
      <c r="R66" s="494"/>
      <c r="S66" s="494"/>
      <c r="T66" s="494"/>
      <c r="U66" s="494"/>
      <c r="V66" s="494"/>
      <c r="W66" s="494"/>
      <c r="X66" s="494"/>
    </row>
    <row r="67" spans="2:24">
      <c r="D67" s="494"/>
      <c r="E67" s="494"/>
    </row>
    <row r="68" spans="2:24">
      <c r="D68" s="494"/>
      <c r="E68" s="494"/>
    </row>
    <row r="69" spans="2:24">
      <c r="D69" s="494"/>
      <c r="E69" s="494"/>
    </row>
    <row r="70" spans="2:24">
      <c r="D70" s="494"/>
      <c r="E70" s="494"/>
    </row>
    <row r="71" spans="2:24">
      <c r="D71" s="494"/>
      <c r="E71" s="494"/>
    </row>
    <row r="72" spans="2:24">
      <c r="B72" s="631"/>
      <c r="D72" s="494"/>
      <c r="E72" s="494"/>
    </row>
    <row r="73" spans="2:24">
      <c r="D73" s="494"/>
      <c r="E73" s="494"/>
    </row>
    <row r="74" spans="2:24">
      <c r="B74" s="631"/>
      <c r="D74" s="494"/>
      <c r="E74" s="494"/>
    </row>
  </sheetData>
  <mergeCells count="13">
    <mergeCell ref="A3:N3"/>
    <mergeCell ref="O3:W3"/>
    <mergeCell ref="X3:AF3"/>
    <mergeCell ref="F5:N5"/>
    <mergeCell ref="O5:W5"/>
    <mergeCell ref="X5:AF5"/>
    <mergeCell ref="A1:I1"/>
    <mergeCell ref="J1:N1"/>
    <mergeCell ref="O1:U1"/>
    <mergeCell ref="X1:AD1"/>
    <mergeCell ref="A2:N2"/>
    <mergeCell ref="O2:W2"/>
    <mergeCell ref="X2:AF2"/>
  </mergeCells>
  <printOptions horizontalCentered="1"/>
  <pageMargins left="0.25" right="0.25" top="0.5" bottom="0.5" header="0.3" footer="0.3"/>
  <pageSetup scale="65" fitToWidth="2" fitToHeight="0" orientation="landscape" cellComments="asDisplayed" r:id="rId1"/>
  <headerFooter alignWithMargins="0"/>
  <colBreaks count="2" manualBreakCount="2">
    <brk id="14" max="60" man="1"/>
    <brk id="23" max="6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93E5-6ABB-40B5-B41B-E4D0246B613A}">
  <sheetPr>
    <pageSetUpPr fitToPage="1"/>
  </sheetPr>
  <dimension ref="A2:R92"/>
  <sheetViews>
    <sheetView view="pageBreakPreview" topLeftCell="B1" zoomScaleNormal="85" zoomScaleSheetLayoutView="100" workbookViewId="0">
      <selection activeCell="N26" sqref="N26"/>
    </sheetView>
  </sheetViews>
  <sheetFormatPr defaultColWidth="8.77734375" defaultRowHeight="15"/>
  <cols>
    <col min="1" max="1" width="5.88671875" style="383" bestFit="1" customWidth="1"/>
    <col min="2" max="2" width="47.77734375" style="383" customWidth="1"/>
    <col min="3" max="3" width="5.109375" style="383" bestFit="1" customWidth="1"/>
    <col min="4" max="4" width="17.6640625" style="383" bestFit="1" customWidth="1"/>
    <col min="5" max="13" width="10.44140625" style="383" customWidth="1"/>
    <col min="14" max="14" width="10.33203125" style="383" bestFit="1" customWidth="1"/>
    <col min="15" max="15" width="19.6640625" style="383" bestFit="1" customWidth="1"/>
    <col min="16" max="16" width="9.21875" style="383" bestFit="1" customWidth="1"/>
    <col min="17" max="17" width="8.77734375" style="383"/>
    <col min="18" max="18" width="9.21875" style="383" bestFit="1" customWidth="1"/>
    <col min="19" max="16384" width="8.77734375" style="383"/>
  </cols>
  <sheetData>
    <row r="2" spans="1:17">
      <c r="M2" s="384" t="s">
        <v>831</v>
      </c>
    </row>
    <row r="3" spans="1:17">
      <c r="G3" s="385" t="s">
        <v>832</v>
      </c>
    </row>
    <row r="4" spans="1:17">
      <c r="G4" s="386" t="s">
        <v>833</v>
      </c>
    </row>
    <row r="5" spans="1:17">
      <c r="G5" s="387" t="s">
        <v>5</v>
      </c>
    </row>
    <row r="6" spans="1:17">
      <c r="G6" s="388" t="s">
        <v>834</v>
      </c>
    </row>
    <row r="7" spans="1:17">
      <c r="G7" s="389"/>
    </row>
    <row r="8" spans="1:17">
      <c r="B8" s="390" t="s">
        <v>6</v>
      </c>
      <c r="C8" s="390" t="s">
        <v>7</v>
      </c>
      <c r="D8" s="390" t="s">
        <v>8</v>
      </c>
      <c r="E8" s="390" t="s">
        <v>10</v>
      </c>
      <c r="F8" s="390" t="s">
        <v>11</v>
      </c>
      <c r="G8" s="390">
        <v>-6</v>
      </c>
      <c r="H8" s="390" t="s">
        <v>835</v>
      </c>
      <c r="I8" s="390" t="s">
        <v>836</v>
      </c>
      <c r="J8" s="390" t="s">
        <v>837</v>
      </c>
      <c r="K8" s="390" t="s">
        <v>838</v>
      </c>
      <c r="L8" s="390" t="s">
        <v>839</v>
      </c>
      <c r="M8" s="390" t="s">
        <v>840</v>
      </c>
      <c r="N8" s="390" t="s">
        <v>841</v>
      </c>
    </row>
    <row r="9" spans="1:17" ht="63.75">
      <c r="A9" s="391" t="s">
        <v>527</v>
      </c>
      <c r="B9" s="392" t="s">
        <v>842</v>
      </c>
      <c r="C9" s="391" t="s">
        <v>352</v>
      </c>
      <c r="D9" s="391" t="s">
        <v>15</v>
      </c>
      <c r="E9" s="392"/>
      <c r="F9" s="393" t="s">
        <v>843</v>
      </c>
      <c r="G9" s="393" t="s">
        <v>844</v>
      </c>
      <c r="H9" s="393" t="s">
        <v>845</v>
      </c>
      <c r="I9" s="391" t="s">
        <v>846</v>
      </c>
      <c r="J9" s="391" t="s">
        <v>847</v>
      </c>
      <c r="K9" s="393" t="s">
        <v>848</v>
      </c>
      <c r="L9" s="393" t="s">
        <v>849</v>
      </c>
      <c r="M9" s="393" t="s">
        <v>850</v>
      </c>
      <c r="N9" s="393" t="s">
        <v>851</v>
      </c>
    </row>
    <row r="10" spans="1:17">
      <c r="A10" s="394"/>
      <c r="B10" s="395" t="s">
        <v>612</v>
      </c>
      <c r="C10" s="395"/>
      <c r="D10" s="395"/>
      <c r="E10" s="395"/>
      <c r="F10" s="396" t="s">
        <v>613</v>
      </c>
      <c r="G10" s="396"/>
      <c r="H10" s="394" t="s">
        <v>614</v>
      </c>
      <c r="I10" s="396" t="s">
        <v>615</v>
      </c>
      <c r="J10" s="394" t="s">
        <v>616</v>
      </c>
      <c r="K10" s="394" t="s">
        <v>617</v>
      </c>
      <c r="L10" s="394" t="s">
        <v>619</v>
      </c>
      <c r="M10" s="394" t="s">
        <v>620</v>
      </c>
      <c r="N10" s="394"/>
    </row>
    <row r="11" spans="1:17">
      <c r="A11" s="397"/>
      <c r="B11" s="395"/>
      <c r="C11" s="395"/>
      <c r="D11" s="394"/>
      <c r="E11" s="395"/>
      <c r="F11" s="397"/>
      <c r="G11" s="397"/>
      <c r="H11" s="397"/>
      <c r="I11" s="397"/>
      <c r="J11" s="397"/>
      <c r="K11" s="397"/>
      <c r="L11" s="397"/>
      <c r="M11" s="397"/>
      <c r="N11" s="397"/>
    </row>
    <row r="12" spans="1:17">
      <c r="A12" s="394">
        <v>1</v>
      </c>
      <c r="B12" s="395" t="s">
        <v>852</v>
      </c>
      <c r="C12" s="394" t="s">
        <v>853</v>
      </c>
      <c r="D12" s="396"/>
      <c r="E12" s="395"/>
      <c r="F12" s="398">
        <v>0.21</v>
      </c>
      <c r="G12" s="398">
        <v>0.29599999999999999</v>
      </c>
      <c r="H12" s="398">
        <v>0.29599999999999999</v>
      </c>
      <c r="I12" s="398">
        <v>0.15</v>
      </c>
      <c r="J12" s="398">
        <v>0.21</v>
      </c>
      <c r="K12" s="398">
        <v>0.21</v>
      </c>
      <c r="L12" s="399">
        <v>0</v>
      </c>
      <c r="M12" s="394"/>
      <c r="N12" s="394"/>
    </row>
    <row r="13" spans="1:17">
      <c r="A13" s="394">
        <f>+A12+1</f>
        <v>2</v>
      </c>
      <c r="B13" s="395" t="s">
        <v>854</v>
      </c>
      <c r="C13" s="396" t="s">
        <v>855</v>
      </c>
      <c r="D13" s="396" t="s">
        <v>856</v>
      </c>
      <c r="E13" s="395"/>
      <c r="F13" s="400">
        <f>+N45</f>
        <v>0.63948401966513224</v>
      </c>
      <c r="G13" s="400">
        <f>+N46</f>
        <v>0</v>
      </c>
      <c r="H13" s="401">
        <f>+N47</f>
        <v>0</v>
      </c>
      <c r="I13" s="401">
        <f>+N48</f>
        <v>0</v>
      </c>
      <c r="J13" s="401">
        <f>+N49</f>
        <v>0</v>
      </c>
      <c r="K13" s="401">
        <f>+N50</f>
        <v>1.7341413459866735E-2</v>
      </c>
      <c r="L13" s="401">
        <f>+N51</f>
        <v>0.39227168705882354</v>
      </c>
      <c r="M13" s="402"/>
      <c r="N13" s="402"/>
    </row>
    <row r="14" spans="1:17">
      <c r="A14" s="394">
        <f>+A13+1</f>
        <v>3</v>
      </c>
      <c r="B14" s="395" t="s">
        <v>857</v>
      </c>
      <c r="C14" s="395"/>
      <c r="D14" s="396" t="str">
        <f>"(Line "&amp;A12&amp;" * Line "&amp;A13&amp;")"</f>
        <v>(Line 1 * Line 2)</v>
      </c>
      <c r="E14" s="395"/>
      <c r="F14" s="403">
        <f t="shared" ref="F14:L14" si="0">F12*F13</f>
        <v>0.13429164412967776</v>
      </c>
      <c r="G14" s="403">
        <f t="shared" si="0"/>
        <v>0</v>
      </c>
      <c r="H14" s="403">
        <f t="shared" si="0"/>
        <v>0</v>
      </c>
      <c r="I14" s="403">
        <f t="shared" si="0"/>
        <v>0</v>
      </c>
      <c r="J14" s="403">
        <f t="shared" si="0"/>
        <v>0</v>
      </c>
      <c r="K14" s="403">
        <f t="shared" si="0"/>
        <v>3.6416968265720142E-3</v>
      </c>
      <c r="L14" s="403">
        <f t="shared" si="0"/>
        <v>0</v>
      </c>
      <c r="M14" s="404">
        <f>SUM(F14:L14)</f>
        <v>0.13793334095624976</v>
      </c>
      <c r="N14" s="404"/>
      <c r="Q14" s="405"/>
    </row>
    <row r="15" spans="1:17">
      <c r="A15" s="394"/>
      <c r="B15" s="395"/>
      <c r="C15" s="395"/>
      <c r="D15" s="396"/>
      <c r="E15" s="395"/>
      <c r="F15" s="403"/>
      <c r="G15" s="403"/>
      <c r="H15" s="403"/>
      <c r="I15" s="403"/>
      <c r="J15" s="403"/>
      <c r="K15" s="403"/>
      <c r="L15" s="403"/>
      <c r="M15" s="394"/>
      <c r="N15" s="394"/>
    </row>
    <row r="16" spans="1:17">
      <c r="A16" s="394">
        <f>+A14+1</f>
        <v>4</v>
      </c>
      <c r="B16" s="395" t="s">
        <v>858</v>
      </c>
      <c r="C16" s="394" t="s">
        <v>853</v>
      </c>
      <c r="D16" s="396" t="str">
        <f>"(Page 2, Col. "&amp;J84&amp;", Line "&amp;$A$91&amp;")"</f>
        <v>(Page 2, Col. (5), Line 6)</v>
      </c>
      <c r="E16" s="395"/>
      <c r="F16" s="403">
        <f>J91</f>
        <v>8.85686943E-2</v>
      </c>
      <c r="G16" s="403">
        <f>J91</f>
        <v>8.85686943E-2</v>
      </c>
      <c r="H16" s="399">
        <f>J91</f>
        <v>8.85686943E-2</v>
      </c>
      <c r="I16" s="399">
        <f>J91</f>
        <v>8.85686943E-2</v>
      </c>
      <c r="J16" s="403">
        <f>J91</f>
        <v>8.85686943E-2</v>
      </c>
      <c r="K16" s="403">
        <f>J91</f>
        <v>8.85686943E-2</v>
      </c>
      <c r="L16" s="403">
        <v>0</v>
      </c>
      <c r="M16" s="394"/>
      <c r="N16" s="394"/>
    </row>
    <row r="17" spans="1:17">
      <c r="A17" s="394">
        <f>+A16+1</f>
        <v>5</v>
      </c>
      <c r="B17" s="395" t="s">
        <v>854</v>
      </c>
      <c r="C17" s="396" t="s">
        <v>855</v>
      </c>
      <c r="D17" s="396" t="s">
        <v>856</v>
      </c>
      <c r="E17" s="395"/>
      <c r="F17" s="401">
        <f>+N45</f>
        <v>0.63948401966513224</v>
      </c>
      <c r="G17" s="401">
        <f>N46</f>
        <v>0</v>
      </c>
      <c r="H17" s="401">
        <f>+N47</f>
        <v>0</v>
      </c>
      <c r="I17" s="401">
        <f>+N48</f>
        <v>0</v>
      </c>
      <c r="J17" s="401">
        <f>+N49</f>
        <v>0</v>
      </c>
      <c r="K17" s="401">
        <f>+N50</f>
        <v>1.7341413459866735E-2</v>
      </c>
      <c r="L17" s="401">
        <f>+N51</f>
        <v>0.39227168705882354</v>
      </c>
      <c r="M17" s="402"/>
      <c r="N17" s="402"/>
    </row>
    <row r="18" spans="1:17">
      <c r="A18" s="394">
        <f>+A17+1</f>
        <v>6</v>
      </c>
      <c r="B18" s="395" t="s">
        <v>859</v>
      </c>
      <c r="C18" s="395"/>
      <c r="D18" s="396" t="str">
        <f>"(Line "&amp;A16&amp;" * Line "&amp;A17&amp;")"</f>
        <v>(Line 4 * Line 5)</v>
      </c>
      <c r="E18" s="395"/>
      <c r="F18" s="403">
        <f t="shared" ref="F18:L18" si="1">F16*F17</f>
        <v>5.6638264647456284E-2</v>
      </c>
      <c r="G18" s="403">
        <f t="shared" si="1"/>
        <v>0</v>
      </c>
      <c r="H18" s="403">
        <f t="shared" si="1"/>
        <v>0</v>
      </c>
      <c r="I18" s="403">
        <f t="shared" si="1"/>
        <v>0</v>
      </c>
      <c r="J18" s="403">
        <f t="shared" si="1"/>
        <v>0</v>
      </c>
      <c r="K18" s="403">
        <f t="shared" si="1"/>
        <v>1.5359063474568422E-3</v>
      </c>
      <c r="L18" s="403">
        <f t="shared" si="1"/>
        <v>0</v>
      </c>
      <c r="M18" s="404">
        <f>SUM(F18:L18)</f>
        <v>5.8174170994913128E-2</v>
      </c>
      <c r="N18" s="404"/>
      <c r="Q18" s="405"/>
    </row>
    <row r="19" spans="1:17">
      <c r="A19" s="394"/>
      <c r="B19" s="395"/>
      <c r="C19" s="395"/>
      <c r="D19" s="396"/>
      <c r="E19" s="395"/>
      <c r="F19" s="403"/>
      <c r="G19" s="403"/>
      <c r="H19" s="403"/>
      <c r="I19" s="403"/>
      <c r="J19" s="403"/>
      <c r="K19" s="403"/>
      <c r="L19" s="403"/>
      <c r="M19" s="394"/>
      <c r="N19" s="394"/>
    </row>
    <row r="20" spans="1:17">
      <c r="A20" s="394">
        <f>+A18+1</f>
        <v>7</v>
      </c>
      <c r="B20" s="395" t="s">
        <v>860</v>
      </c>
      <c r="C20" s="394" t="s">
        <v>758</v>
      </c>
      <c r="D20" s="396" t="s">
        <v>861</v>
      </c>
      <c r="E20" s="395"/>
      <c r="F20" s="403">
        <f>$L$91</f>
        <v>0</v>
      </c>
      <c r="G20" s="403">
        <f t="shared" ref="G20:K20" si="2">$L$91</f>
        <v>0</v>
      </c>
      <c r="H20" s="403">
        <f t="shared" si="2"/>
        <v>0</v>
      </c>
      <c r="I20" s="403">
        <f t="shared" si="2"/>
        <v>0</v>
      </c>
      <c r="J20" s="403">
        <f t="shared" si="2"/>
        <v>0</v>
      </c>
      <c r="K20" s="403">
        <f t="shared" si="2"/>
        <v>0</v>
      </c>
      <c r="L20" s="403">
        <v>0</v>
      </c>
      <c r="M20" s="394"/>
      <c r="N20" s="394"/>
    </row>
    <row r="21" spans="1:17">
      <c r="A21" s="394">
        <f>+A20+1</f>
        <v>8</v>
      </c>
      <c r="B21" s="395" t="s">
        <v>854</v>
      </c>
      <c r="C21" s="396" t="s">
        <v>855</v>
      </c>
      <c r="D21" s="396" t="s">
        <v>856</v>
      </c>
      <c r="E21" s="395"/>
      <c r="F21" s="401">
        <f>+N45</f>
        <v>0.63948401966513224</v>
      </c>
      <c r="G21" s="401">
        <f>+N46</f>
        <v>0</v>
      </c>
      <c r="H21" s="401">
        <f>+N47</f>
        <v>0</v>
      </c>
      <c r="I21" s="401">
        <f>+N48</f>
        <v>0</v>
      </c>
      <c r="J21" s="401">
        <f>+N49</f>
        <v>0</v>
      </c>
      <c r="K21" s="401">
        <f>+N50</f>
        <v>1.7341413459866735E-2</v>
      </c>
      <c r="L21" s="401">
        <f>+N51</f>
        <v>0.39227168705882354</v>
      </c>
      <c r="M21" s="402"/>
      <c r="N21" s="402"/>
    </row>
    <row r="22" spans="1:17">
      <c r="A22" s="394">
        <f>+A21+1</f>
        <v>9</v>
      </c>
      <c r="B22" s="395" t="s">
        <v>862</v>
      </c>
      <c r="C22" s="395"/>
      <c r="D22" s="396" t="str">
        <f>"(Line "&amp;A20&amp;" * Line "&amp;A21&amp;")"</f>
        <v>(Line 7 * Line 8)</v>
      </c>
      <c r="E22" s="395"/>
      <c r="F22" s="403">
        <f t="shared" ref="F22:L22" si="3">F20*F21</f>
        <v>0</v>
      </c>
      <c r="G22" s="403">
        <f t="shared" si="3"/>
        <v>0</v>
      </c>
      <c r="H22" s="403">
        <f t="shared" si="3"/>
        <v>0</v>
      </c>
      <c r="I22" s="403">
        <f t="shared" si="3"/>
        <v>0</v>
      </c>
      <c r="J22" s="403">
        <f t="shared" si="3"/>
        <v>0</v>
      </c>
      <c r="K22" s="403">
        <f t="shared" si="3"/>
        <v>0</v>
      </c>
      <c r="L22" s="403">
        <f t="shared" si="3"/>
        <v>0</v>
      </c>
      <c r="M22" s="404">
        <f>SUM(F22:L22)</f>
        <v>0</v>
      </c>
      <c r="N22" s="404"/>
    </row>
    <row r="23" spans="1:17">
      <c r="A23" s="394"/>
      <c r="B23" s="395"/>
      <c r="C23" s="395"/>
      <c r="D23" s="396"/>
      <c r="E23" s="395"/>
      <c r="F23" s="397"/>
      <c r="G23" s="397"/>
      <c r="H23" s="397"/>
      <c r="I23" s="397"/>
      <c r="J23" s="397"/>
      <c r="K23" s="397"/>
      <c r="L23" s="397"/>
      <c r="N23" s="397"/>
    </row>
    <row r="24" spans="1:17">
      <c r="A24" s="394">
        <f>+A22+1</f>
        <v>10</v>
      </c>
      <c r="B24" s="395" t="s">
        <v>863</v>
      </c>
      <c r="C24" s="394" t="s">
        <v>855</v>
      </c>
      <c r="D24" s="396" t="s">
        <v>864</v>
      </c>
      <c r="E24" s="395"/>
      <c r="F24" s="403">
        <f>K57</f>
        <v>0.63904980175968262</v>
      </c>
      <c r="G24" s="403">
        <f>K58</f>
        <v>0</v>
      </c>
      <c r="H24" s="403">
        <f>K59</f>
        <v>6.7901291056027139E-4</v>
      </c>
      <c r="I24" s="403">
        <f>K60</f>
        <v>0</v>
      </c>
      <c r="J24" s="403">
        <f>K61</f>
        <v>0</v>
      </c>
      <c r="K24" s="403">
        <f>K62</f>
        <v>1.732963841624012E-2</v>
      </c>
      <c r="L24" s="403">
        <f>K63</f>
        <v>0.39200532951886335</v>
      </c>
      <c r="N24" s="404">
        <f>+SUM(F24:L24)</f>
        <v>1.0490637826053464</v>
      </c>
    </row>
    <row r="25" spans="1:17">
      <c r="A25" s="394"/>
      <c r="B25" s="395"/>
      <c r="C25" s="395"/>
      <c r="D25" s="396"/>
      <c r="E25" s="395"/>
      <c r="F25" s="403"/>
      <c r="G25" s="403"/>
      <c r="H25" s="403"/>
      <c r="I25" s="403"/>
      <c r="J25" s="403"/>
      <c r="K25" s="403"/>
      <c r="L25" s="406"/>
      <c r="M25" s="404"/>
      <c r="N25" s="404"/>
    </row>
    <row r="26" spans="1:17">
      <c r="A26" s="394">
        <f>+A24+1</f>
        <v>11</v>
      </c>
      <c r="B26" s="395" t="s">
        <v>865</v>
      </c>
      <c r="C26" s="394" t="s">
        <v>866</v>
      </c>
      <c r="D26" s="396" t="str">
        <f>"(Line "&amp;A24&amp;", Col. "&amp;N8&amp;" - Col. "&amp;L8&amp;")"</f>
        <v>(Line 10, Col. (13) - Col. (11))</v>
      </c>
      <c r="E26" s="395"/>
      <c r="F26" s="403"/>
      <c r="G26" s="403"/>
      <c r="H26" s="403"/>
      <c r="I26" s="403"/>
      <c r="J26" s="403"/>
      <c r="K26" s="403"/>
      <c r="L26" s="406"/>
      <c r="M26" s="404"/>
      <c r="N26" s="407">
        <f>N24-L24</f>
        <v>0.65705845308648303</v>
      </c>
    </row>
    <row r="27" spans="1:17">
      <c r="A27" s="394"/>
      <c r="B27" s="395"/>
      <c r="C27" s="395"/>
      <c r="D27" s="396"/>
      <c r="E27" s="395"/>
      <c r="F27" s="403"/>
      <c r="G27" s="403"/>
      <c r="H27" s="403"/>
      <c r="I27" s="403"/>
      <c r="J27" s="403"/>
      <c r="K27" s="403"/>
      <c r="L27" s="403"/>
      <c r="M27" s="397"/>
      <c r="N27" s="397"/>
    </row>
    <row r="28" spans="1:17">
      <c r="A28" s="394">
        <f>+A26+1</f>
        <v>12</v>
      </c>
      <c r="B28" s="395" t="s">
        <v>867</v>
      </c>
      <c r="C28" s="395"/>
      <c r="D28" s="396" t="str">
        <f>"@ ITA = "&amp;MROUND(N26*100,0.01)&amp;"%"</f>
        <v>@ ITA = 65.71%</v>
      </c>
      <c r="E28" s="395"/>
      <c r="F28" s="403">
        <f>+F18*(1-F14)+F14-(F22*F14)</f>
        <v>0.18332386309697535</v>
      </c>
      <c r="G28" s="403">
        <f>+G18*(1-G14)+G14-(G22*G14)</f>
        <v>0</v>
      </c>
      <c r="H28" s="403">
        <f>+H18*(1-H14)+H14-(H22*H14)</f>
        <v>0</v>
      </c>
      <c r="I28" s="403">
        <f t="shared" ref="I28:L28" si="4">+I18*(1-I14)+I14-(I22*I14)</f>
        <v>0</v>
      </c>
      <c r="J28" s="403">
        <f t="shared" si="4"/>
        <v>0</v>
      </c>
      <c r="K28" s="403">
        <f t="shared" si="4"/>
        <v>5.1720098687574115E-3</v>
      </c>
      <c r="L28" s="403">
        <f t="shared" si="4"/>
        <v>0</v>
      </c>
      <c r="M28" s="691">
        <f>SUM(F28:L28)</f>
        <v>0.18849587296573275</v>
      </c>
      <c r="N28" s="408"/>
      <c r="O28" s="403"/>
      <c r="Q28" s="405"/>
    </row>
    <row r="29" spans="1:17">
      <c r="A29" s="394"/>
      <c r="B29" s="395"/>
      <c r="C29" s="395"/>
      <c r="D29" s="396"/>
      <c r="E29" s="395"/>
      <c r="F29" s="397"/>
      <c r="G29" s="397"/>
      <c r="H29" s="397"/>
      <c r="I29" s="397"/>
      <c r="J29" s="397"/>
      <c r="K29" s="397"/>
      <c r="L29" s="397"/>
      <c r="M29" s="397"/>
      <c r="P29" s="405"/>
    </row>
    <row r="30" spans="1:17">
      <c r="A30" s="397"/>
      <c r="B30" s="397"/>
      <c r="C30" s="397"/>
      <c r="D30" s="396"/>
      <c r="E30" s="397"/>
      <c r="F30" s="397"/>
      <c r="G30" s="397"/>
      <c r="H30" s="397"/>
      <c r="I30" s="397"/>
      <c r="J30" s="397"/>
      <c r="K30" s="397"/>
      <c r="L30" s="397"/>
      <c r="M30" s="397"/>
    </row>
    <row r="31" spans="1:17">
      <c r="A31" s="397"/>
      <c r="B31" s="397"/>
      <c r="C31" s="397"/>
      <c r="D31" s="396"/>
      <c r="E31" s="397"/>
      <c r="F31" s="397"/>
      <c r="G31" s="397"/>
      <c r="H31" s="397"/>
      <c r="I31" s="397"/>
      <c r="J31" s="397"/>
      <c r="K31" s="397"/>
      <c r="L31" s="397"/>
      <c r="M31" s="397"/>
    </row>
    <row r="32" spans="1:17">
      <c r="A32" s="394">
        <f>+A28+1</f>
        <v>13</v>
      </c>
      <c r="B32" s="397" t="s">
        <v>868</v>
      </c>
      <c r="C32" s="397" t="s">
        <v>869</v>
      </c>
      <c r="D32" s="396"/>
      <c r="E32" s="397"/>
      <c r="F32" s="400">
        <v>0.496</v>
      </c>
      <c r="G32" s="400">
        <v>0.46200000000000002</v>
      </c>
      <c r="H32" s="400">
        <v>4.0000000000000001E-3</v>
      </c>
      <c r="I32" s="400">
        <v>1.9E-2</v>
      </c>
      <c r="J32" s="400">
        <v>1.9E-2</v>
      </c>
      <c r="L32" s="397"/>
      <c r="M32" s="397"/>
      <c r="N32" s="404">
        <f>SUM(F32:J32)</f>
        <v>1</v>
      </c>
    </row>
    <row r="33" spans="1:18">
      <c r="A33" s="397"/>
      <c r="B33" s="397" t="s">
        <v>870</v>
      </c>
      <c r="C33" s="397" t="s">
        <v>869</v>
      </c>
      <c r="D33" s="396"/>
      <c r="E33" s="394"/>
      <c r="F33" s="409" t="s">
        <v>871</v>
      </c>
      <c r="G33" s="409" t="s">
        <v>872</v>
      </c>
      <c r="H33" s="409" t="s">
        <v>873</v>
      </c>
      <c r="I33" s="409" t="s">
        <v>874</v>
      </c>
      <c r="J33" s="409" t="s">
        <v>875</v>
      </c>
      <c r="L33" s="397"/>
      <c r="M33" s="397"/>
      <c r="N33" s="397"/>
    </row>
    <row r="34" spans="1:18">
      <c r="A34" s="394">
        <f>+A32+1</f>
        <v>14</v>
      </c>
      <c r="B34" s="410" t="s">
        <v>843</v>
      </c>
      <c r="C34" s="397" t="s">
        <v>869</v>
      </c>
      <c r="D34" s="396"/>
      <c r="E34" s="397"/>
      <c r="F34" s="399">
        <v>0.61435026830420236</v>
      </c>
      <c r="G34" s="399">
        <v>0.63369326100919432</v>
      </c>
      <c r="H34" s="399">
        <v>1</v>
      </c>
      <c r="I34" s="399">
        <v>1</v>
      </c>
      <c r="J34" s="399">
        <v>1</v>
      </c>
      <c r="L34" s="397"/>
      <c r="M34" s="397"/>
      <c r="N34" s="404">
        <f t="shared" ref="N34:N40" si="5">SUM(F34:J34)/5</f>
        <v>0.84960870586267934</v>
      </c>
    </row>
    <row r="35" spans="1:18">
      <c r="A35" s="394">
        <f>+A34+1</f>
        <v>15</v>
      </c>
      <c r="B35" s="410" t="s">
        <v>844</v>
      </c>
      <c r="C35" s="397" t="s">
        <v>869</v>
      </c>
      <c r="D35" s="396"/>
      <c r="E35" s="397"/>
      <c r="F35" s="399">
        <v>0</v>
      </c>
      <c r="G35" s="399">
        <v>0</v>
      </c>
      <c r="H35" s="399">
        <v>0</v>
      </c>
      <c r="I35" s="399">
        <v>0</v>
      </c>
      <c r="J35" s="399">
        <v>0</v>
      </c>
      <c r="L35" s="397"/>
      <c r="M35" s="397"/>
      <c r="N35" s="404">
        <f t="shared" si="5"/>
        <v>0</v>
      </c>
    </row>
    <row r="36" spans="1:18">
      <c r="A36" s="394">
        <f t="shared" ref="A36:A66" si="6">+A35+1</f>
        <v>16</v>
      </c>
      <c r="B36" s="410" t="s">
        <v>845</v>
      </c>
      <c r="C36" s="397" t="s">
        <v>869</v>
      </c>
      <c r="D36" s="396"/>
      <c r="E36" s="397"/>
      <c r="F36" s="399">
        <v>0</v>
      </c>
      <c r="G36" s="399">
        <v>0</v>
      </c>
      <c r="H36" s="399">
        <v>0</v>
      </c>
      <c r="I36" s="399">
        <v>0</v>
      </c>
      <c r="J36" s="399">
        <v>0</v>
      </c>
      <c r="L36" s="397"/>
      <c r="M36" s="397"/>
      <c r="N36" s="404">
        <f t="shared" si="5"/>
        <v>0</v>
      </c>
    </row>
    <row r="37" spans="1:18">
      <c r="A37" s="394">
        <f t="shared" si="6"/>
        <v>17</v>
      </c>
      <c r="B37" s="410" t="s">
        <v>846</v>
      </c>
      <c r="C37" s="397" t="s">
        <v>869</v>
      </c>
      <c r="D37" s="396"/>
      <c r="E37" s="397"/>
      <c r="F37" s="399">
        <v>0</v>
      </c>
      <c r="G37" s="399">
        <v>0</v>
      </c>
      <c r="H37" s="399">
        <v>0</v>
      </c>
      <c r="I37" s="399">
        <v>0</v>
      </c>
      <c r="J37" s="399">
        <v>0</v>
      </c>
      <c r="L37" s="397"/>
      <c r="M37" s="397"/>
      <c r="N37" s="404">
        <f t="shared" si="5"/>
        <v>0</v>
      </c>
    </row>
    <row r="38" spans="1:18">
      <c r="A38" s="394">
        <f t="shared" si="6"/>
        <v>18</v>
      </c>
      <c r="B38" s="410" t="s">
        <v>847</v>
      </c>
      <c r="C38" s="397" t="s">
        <v>869</v>
      </c>
      <c r="D38" s="396"/>
      <c r="E38" s="397"/>
      <c r="F38" s="399">
        <v>0</v>
      </c>
      <c r="G38" s="399">
        <v>0</v>
      </c>
      <c r="H38" s="399">
        <v>0</v>
      </c>
      <c r="I38" s="399">
        <v>0</v>
      </c>
      <c r="J38" s="399">
        <v>0</v>
      </c>
      <c r="L38" s="397"/>
      <c r="M38" s="397"/>
      <c r="N38" s="404">
        <f t="shared" si="5"/>
        <v>0</v>
      </c>
    </row>
    <row r="39" spans="1:18">
      <c r="A39" s="394">
        <f t="shared" si="6"/>
        <v>19</v>
      </c>
      <c r="B39" s="410" t="s">
        <v>848</v>
      </c>
      <c r="C39" s="397" t="s">
        <v>869</v>
      </c>
      <c r="D39" s="396"/>
      <c r="E39" s="397"/>
      <c r="F39" s="399">
        <v>2.0078867427464515E-2</v>
      </c>
      <c r="G39" s="399">
        <v>1.5978993973689039E-2</v>
      </c>
      <c r="H39" s="399">
        <v>0</v>
      </c>
      <c r="I39" s="399">
        <v>0</v>
      </c>
      <c r="J39" s="399">
        <v>0</v>
      </c>
      <c r="L39" s="397"/>
      <c r="M39" s="397"/>
      <c r="N39" s="404">
        <f t="shared" si="5"/>
        <v>7.2115722802307105E-3</v>
      </c>
      <c r="O39" s="411"/>
      <c r="Q39" s="405"/>
      <c r="R39" s="405"/>
    </row>
    <row r="40" spans="1:18">
      <c r="A40" s="394">
        <f t="shared" si="6"/>
        <v>20</v>
      </c>
      <c r="B40" s="410" t="s">
        <v>849</v>
      </c>
      <c r="C40" s="397" t="s">
        <v>869</v>
      </c>
      <c r="D40" s="396"/>
      <c r="E40" s="397"/>
      <c r="F40" s="400">
        <v>0.41682046780050686</v>
      </c>
      <c r="G40" s="400">
        <v>0.40157734854929034</v>
      </c>
      <c r="H40" s="400">
        <v>0</v>
      </c>
      <c r="I40" s="400">
        <v>0</v>
      </c>
      <c r="J40" s="400">
        <v>0</v>
      </c>
      <c r="K40" s="412"/>
      <c r="L40" s="413"/>
      <c r="M40" s="413"/>
      <c r="N40" s="414">
        <f t="shared" si="5"/>
        <v>0.16367956326995942</v>
      </c>
      <c r="O40" s="411"/>
    </row>
    <row r="41" spans="1:18">
      <c r="A41" s="394">
        <f t="shared" si="6"/>
        <v>21</v>
      </c>
      <c r="B41" s="397"/>
      <c r="C41" s="397"/>
      <c r="D41" s="396"/>
      <c r="E41" s="397"/>
      <c r="F41" s="403">
        <f t="shared" ref="F41:J41" si="7">SUM(F34:F40)</f>
        <v>1.0512496035321739</v>
      </c>
      <c r="G41" s="403">
        <f t="shared" si="7"/>
        <v>1.0512496035321737</v>
      </c>
      <c r="H41" s="403">
        <f t="shared" si="7"/>
        <v>1</v>
      </c>
      <c r="I41" s="403">
        <f t="shared" si="7"/>
        <v>1</v>
      </c>
      <c r="J41" s="403">
        <f t="shared" si="7"/>
        <v>1</v>
      </c>
      <c r="L41" s="397"/>
      <c r="M41" s="397"/>
      <c r="N41" s="403">
        <f>SUM(N34:N40)</f>
        <v>1.0204998414128694</v>
      </c>
    </row>
    <row r="42" spans="1:18">
      <c r="A42" s="394">
        <f t="shared" si="6"/>
        <v>22</v>
      </c>
      <c r="B42" s="397"/>
      <c r="C42" s="397"/>
      <c r="D42" s="396"/>
      <c r="E42" s="397"/>
      <c r="F42" s="415"/>
      <c r="G42" s="415"/>
      <c r="H42" s="415"/>
      <c r="I42" s="415"/>
      <c r="J42" s="415"/>
      <c r="K42" s="415"/>
      <c r="L42" s="415"/>
      <c r="M42" s="415"/>
      <c r="N42" s="404"/>
    </row>
    <row r="43" spans="1:18">
      <c r="A43" s="394">
        <f t="shared" si="6"/>
        <v>23</v>
      </c>
      <c r="B43" s="397"/>
      <c r="C43" s="397"/>
      <c r="D43" s="396"/>
      <c r="E43" s="397"/>
      <c r="F43" s="752" t="s">
        <v>313</v>
      </c>
      <c r="G43" s="752"/>
      <c r="H43" s="752"/>
      <c r="I43" s="752"/>
      <c r="J43" s="752"/>
      <c r="K43" s="416"/>
      <c r="L43" s="416"/>
      <c r="M43" s="416"/>
      <c r="N43" s="408"/>
    </row>
    <row r="44" spans="1:18">
      <c r="A44" s="394">
        <f t="shared" si="6"/>
        <v>24</v>
      </c>
      <c r="B44" s="397" t="s">
        <v>876</v>
      </c>
      <c r="C44" s="397"/>
      <c r="D44" s="396"/>
      <c r="E44" s="394"/>
      <c r="F44" s="408" t="s">
        <v>871</v>
      </c>
      <c r="G44" s="409" t="s">
        <v>872</v>
      </c>
      <c r="H44" s="408" t="s">
        <v>873</v>
      </c>
      <c r="I44" s="408" t="s">
        <v>874</v>
      </c>
      <c r="J44" s="408" t="s">
        <v>875</v>
      </c>
      <c r="K44" s="415"/>
      <c r="L44" s="397"/>
      <c r="M44" s="397"/>
      <c r="N44" s="394"/>
      <c r="Q44" s="405"/>
      <c r="R44" s="417"/>
    </row>
    <row r="45" spans="1:18">
      <c r="A45" s="394">
        <f t="shared" si="6"/>
        <v>25</v>
      </c>
      <c r="B45" s="410" t="s">
        <v>843</v>
      </c>
      <c r="C45" s="397"/>
      <c r="D45" s="396" t="str">
        <f t="shared" ref="D45:D51" si="8">"(Line "&amp;A$32&amp;" * Line "&amp;A34&amp;")"</f>
        <v>(Line 13 * Line 14)</v>
      </c>
      <c r="E45" s="397"/>
      <c r="F45" s="403">
        <f t="shared" ref="F45:J51" si="9">+F$32*F34</f>
        <v>0.30471773307888439</v>
      </c>
      <c r="G45" s="403">
        <f t="shared" si="9"/>
        <v>0.29276628658624781</v>
      </c>
      <c r="H45" s="403">
        <f t="shared" si="9"/>
        <v>4.0000000000000001E-3</v>
      </c>
      <c r="I45" s="403">
        <f t="shared" si="9"/>
        <v>1.9E-2</v>
      </c>
      <c r="J45" s="403">
        <f t="shared" si="9"/>
        <v>1.9E-2</v>
      </c>
      <c r="L45" s="397"/>
      <c r="M45" s="397"/>
      <c r="N45" s="404">
        <f t="shared" ref="N45:N51" si="10">SUM(F45:J45)</f>
        <v>0.63948401966513224</v>
      </c>
      <c r="O45" s="418"/>
    </row>
    <row r="46" spans="1:18">
      <c r="A46" s="394">
        <f t="shared" si="6"/>
        <v>26</v>
      </c>
      <c r="B46" s="410" t="s">
        <v>844</v>
      </c>
      <c r="C46" s="397"/>
      <c r="D46" s="396" t="str">
        <f t="shared" si="8"/>
        <v>(Line 13 * Line 15)</v>
      </c>
      <c r="E46" s="397"/>
      <c r="F46" s="403">
        <f t="shared" si="9"/>
        <v>0</v>
      </c>
      <c r="G46" s="403">
        <f t="shared" si="9"/>
        <v>0</v>
      </c>
      <c r="H46" s="403">
        <f t="shared" si="9"/>
        <v>0</v>
      </c>
      <c r="I46" s="403">
        <f t="shared" si="9"/>
        <v>0</v>
      </c>
      <c r="J46" s="403">
        <f t="shared" si="9"/>
        <v>0</v>
      </c>
      <c r="L46" s="397"/>
      <c r="M46" s="397"/>
      <c r="N46" s="404">
        <f t="shared" si="10"/>
        <v>0</v>
      </c>
      <c r="O46" s="418"/>
    </row>
    <row r="47" spans="1:18">
      <c r="A47" s="394">
        <f t="shared" si="6"/>
        <v>27</v>
      </c>
      <c r="B47" s="410" t="s">
        <v>845</v>
      </c>
      <c r="C47" s="397"/>
      <c r="D47" s="396" t="str">
        <f t="shared" si="8"/>
        <v>(Line 13 * Line 16)</v>
      </c>
      <c r="E47" s="397"/>
      <c r="F47" s="403">
        <f t="shared" si="9"/>
        <v>0</v>
      </c>
      <c r="G47" s="403">
        <f t="shared" si="9"/>
        <v>0</v>
      </c>
      <c r="H47" s="403">
        <f t="shared" si="9"/>
        <v>0</v>
      </c>
      <c r="I47" s="403">
        <f t="shared" si="9"/>
        <v>0</v>
      </c>
      <c r="J47" s="403">
        <f t="shared" si="9"/>
        <v>0</v>
      </c>
      <c r="L47" s="397"/>
      <c r="M47" s="397"/>
      <c r="N47" s="404">
        <f t="shared" si="10"/>
        <v>0</v>
      </c>
    </row>
    <row r="48" spans="1:18">
      <c r="A48" s="394">
        <f t="shared" si="6"/>
        <v>28</v>
      </c>
      <c r="B48" s="410" t="s">
        <v>846</v>
      </c>
      <c r="C48" s="397"/>
      <c r="D48" s="396" t="str">
        <f t="shared" si="8"/>
        <v>(Line 13 * Line 17)</v>
      </c>
      <c r="E48" s="397"/>
      <c r="F48" s="403">
        <f t="shared" si="9"/>
        <v>0</v>
      </c>
      <c r="G48" s="403">
        <f t="shared" si="9"/>
        <v>0</v>
      </c>
      <c r="H48" s="403">
        <f t="shared" si="9"/>
        <v>0</v>
      </c>
      <c r="I48" s="403">
        <f t="shared" si="9"/>
        <v>0</v>
      </c>
      <c r="J48" s="403">
        <f t="shared" si="9"/>
        <v>0</v>
      </c>
      <c r="L48" s="397"/>
      <c r="M48" s="397"/>
      <c r="N48" s="404">
        <f t="shared" si="10"/>
        <v>0</v>
      </c>
    </row>
    <row r="49" spans="1:18">
      <c r="A49" s="394">
        <f t="shared" si="6"/>
        <v>29</v>
      </c>
      <c r="B49" s="410" t="s">
        <v>847</v>
      </c>
      <c r="C49" s="397"/>
      <c r="D49" s="396" t="str">
        <f t="shared" si="8"/>
        <v>(Line 13 * Line 18)</v>
      </c>
      <c r="E49" s="397"/>
      <c r="F49" s="403">
        <f t="shared" si="9"/>
        <v>0</v>
      </c>
      <c r="G49" s="403">
        <f t="shared" si="9"/>
        <v>0</v>
      </c>
      <c r="H49" s="403">
        <f t="shared" si="9"/>
        <v>0</v>
      </c>
      <c r="I49" s="403">
        <f t="shared" si="9"/>
        <v>0</v>
      </c>
      <c r="J49" s="403">
        <f t="shared" si="9"/>
        <v>0</v>
      </c>
      <c r="L49" s="397"/>
      <c r="M49" s="397"/>
      <c r="N49" s="404">
        <f t="shared" si="10"/>
        <v>0</v>
      </c>
    </row>
    <row r="50" spans="1:18">
      <c r="A50" s="394">
        <f t="shared" si="6"/>
        <v>30</v>
      </c>
      <c r="B50" s="410" t="s">
        <v>848</v>
      </c>
      <c r="C50" s="397"/>
      <c r="D50" s="396" t="str">
        <f t="shared" si="8"/>
        <v>(Line 13 * Line 19)</v>
      </c>
      <c r="E50" s="397"/>
      <c r="F50" s="403">
        <f t="shared" si="9"/>
        <v>9.959118244022399E-3</v>
      </c>
      <c r="G50" s="403">
        <f t="shared" si="9"/>
        <v>7.3822952158443369E-3</v>
      </c>
      <c r="H50" s="403">
        <f t="shared" si="9"/>
        <v>0</v>
      </c>
      <c r="I50" s="403">
        <f t="shared" si="9"/>
        <v>0</v>
      </c>
      <c r="J50" s="403">
        <f t="shared" si="9"/>
        <v>0</v>
      </c>
      <c r="L50" s="415"/>
      <c r="M50" s="415"/>
      <c r="N50" s="404">
        <f t="shared" si="10"/>
        <v>1.7341413459866735E-2</v>
      </c>
      <c r="O50" s="411"/>
      <c r="Q50" s="405"/>
      <c r="R50" s="419"/>
    </row>
    <row r="51" spans="1:18">
      <c r="A51" s="394">
        <f t="shared" si="6"/>
        <v>31</v>
      </c>
      <c r="B51" s="410" t="s">
        <v>849</v>
      </c>
      <c r="C51" s="397"/>
      <c r="D51" s="396" t="str">
        <f t="shared" si="8"/>
        <v>(Line 13 * Line 20)</v>
      </c>
      <c r="E51" s="397"/>
      <c r="F51" s="401">
        <f t="shared" si="9"/>
        <v>0.20674295202905141</v>
      </c>
      <c r="G51" s="401">
        <f t="shared" si="9"/>
        <v>0.18552873502977216</v>
      </c>
      <c r="H51" s="401">
        <f t="shared" si="9"/>
        <v>0</v>
      </c>
      <c r="I51" s="401">
        <f t="shared" si="9"/>
        <v>0</v>
      </c>
      <c r="J51" s="401">
        <f t="shared" si="9"/>
        <v>0</v>
      </c>
      <c r="K51" s="412"/>
      <c r="L51" s="413"/>
      <c r="M51" s="413"/>
      <c r="N51" s="414">
        <f t="shared" si="10"/>
        <v>0.39227168705882354</v>
      </c>
      <c r="O51" s="420"/>
    </row>
    <row r="52" spans="1:18">
      <c r="A52" s="394">
        <f t="shared" si="6"/>
        <v>32</v>
      </c>
      <c r="B52" s="397"/>
      <c r="C52" s="397"/>
      <c r="D52" s="397"/>
      <c r="E52" s="397"/>
      <c r="F52" s="404">
        <f t="shared" ref="F52:J52" si="11">SUM(F45:F51)</f>
        <v>0.52141980335195814</v>
      </c>
      <c r="G52" s="404">
        <f t="shared" si="11"/>
        <v>0.48567731683186433</v>
      </c>
      <c r="H52" s="404">
        <f t="shared" si="11"/>
        <v>4.0000000000000001E-3</v>
      </c>
      <c r="I52" s="404">
        <f t="shared" si="11"/>
        <v>1.9E-2</v>
      </c>
      <c r="J52" s="404">
        <f t="shared" si="11"/>
        <v>1.9E-2</v>
      </c>
      <c r="L52" s="397"/>
      <c r="M52" s="397"/>
      <c r="N52" s="404">
        <f>SUM(N45:N51)</f>
        <v>1.0490971201838226</v>
      </c>
      <c r="O52" s="418"/>
    </row>
    <row r="53" spans="1:18">
      <c r="A53" s="394">
        <f t="shared" si="6"/>
        <v>33</v>
      </c>
      <c r="B53" s="397"/>
      <c r="C53" s="397"/>
      <c r="D53" s="397"/>
      <c r="E53" s="397"/>
      <c r="F53" s="397"/>
      <c r="G53" s="397"/>
      <c r="H53" s="397"/>
      <c r="I53" s="397"/>
      <c r="J53" s="397"/>
      <c r="K53" s="397"/>
      <c r="L53" s="397"/>
      <c r="M53" s="397"/>
    </row>
    <row r="54" spans="1:18">
      <c r="A54" s="394">
        <f t="shared" si="6"/>
        <v>34</v>
      </c>
      <c r="B54" s="397"/>
      <c r="C54" s="397"/>
      <c r="D54" s="397"/>
      <c r="E54" s="397"/>
      <c r="F54" s="397"/>
      <c r="G54" s="397"/>
      <c r="H54" s="397"/>
      <c r="I54" s="397"/>
      <c r="J54" s="397"/>
      <c r="K54" s="397"/>
      <c r="L54" s="397"/>
      <c r="M54" s="397"/>
    </row>
    <row r="55" spans="1:18" ht="51">
      <c r="A55" s="394">
        <f t="shared" si="6"/>
        <v>35</v>
      </c>
      <c r="B55" s="397"/>
      <c r="C55" s="397"/>
      <c r="D55" s="397"/>
      <c r="E55" s="421"/>
      <c r="F55" s="421"/>
      <c r="G55" s="422" t="s">
        <v>877</v>
      </c>
      <c r="H55" s="397"/>
      <c r="I55" s="423"/>
      <c r="J55" s="422" t="s">
        <v>878</v>
      </c>
      <c r="K55" s="422" t="s">
        <v>879</v>
      </c>
      <c r="L55" s="397"/>
      <c r="M55" s="397"/>
    </row>
    <row r="56" spans="1:18">
      <c r="A56" s="394">
        <f t="shared" si="6"/>
        <v>36</v>
      </c>
      <c r="B56" s="397"/>
      <c r="C56" s="397"/>
      <c r="D56" s="397"/>
      <c r="E56" s="397"/>
      <c r="F56" s="397"/>
      <c r="G56" s="397"/>
      <c r="H56" s="397"/>
      <c r="K56" s="397"/>
      <c r="L56" s="397"/>
      <c r="M56" s="397"/>
    </row>
    <row r="57" spans="1:18">
      <c r="A57" s="394">
        <f t="shared" si="6"/>
        <v>37</v>
      </c>
      <c r="B57" s="424"/>
      <c r="C57" s="397"/>
      <c r="D57" s="397"/>
      <c r="E57" s="397"/>
      <c r="F57" s="425" t="s">
        <v>843</v>
      </c>
      <c r="G57" s="404">
        <f t="shared" ref="G57:G63" si="12">N45</f>
        <v>0.63948401966513224</v>
      </c>
      <c r="H57" s="397"/>
      <c r="I57" s="425" t="s">
        <v>880</v>
      </c>
      <c r="J57" s="399">
        <f t="shared" ref="J57:J63" si="13">G57*$J$64</f>
        <v>0.63904980175968262</v>
      </c>
      <c r="K57" s="399">
        <f>+J57</f>
        <v>0.63904980175968262</v>
      </c>
      <c r="L57" s="394"/>
      <c r="M57" s="397"/>
      <c r="N57" s="419"/>
      <c r="O57" s="411"/>
    </row>
    <row r="58" spans="1:18">
      <c r="A58" s="394">
        <f t="shared" si="6"/>
        <v>38</v>
      </c>
      <c r="B58" s="424"/>
      <c r="C58" s="397"/>
      <c r="D58" s="397"/>
      <c r="E58" s="397"/>
      <c r="F58" s="425" t="s">
        <v>844</v>
      </c>
      <c r="G58" s="404">
        <f t="shared" si="12"/>
        <v>0</v>
      </c>
      <c r="H58" s="397"/>
      <c r="I58" s="425" t="s">
        <v>844</v>
      </c>
      <c r="J58" s="399">
        <f t="shared" si="13"/>
        <v>0</v>
      </c>
      <c r="K58" s="399">
        <f>+J58</f>
        <v>0</v>
      </c>
      <c r="L58" s="394"/>
      <c r="M58" s="397"/>
      <c r="N58" s="419"/>
      <c r="O58" s="411"/>
    </row>
    <row r="59" spans="1:18">
      <c r="A59" s="394">
        <f t="shared" si="6"/>
        <v>39</v>
      </c>
      <c r="B59" s="397"/>
      <c r="C59" s="397"/>
      <c r="D59" s="397"/>
      <c r="E59" s="397"/>
      <c r="F59" s="425" t="s">
        <v>845</v>
      </c>
      <c r="G59" s="404">
        <f t="shared" si="12"/>
        <v>0</v>
      </c>
      <c r="H59" s="397"/>
      <c r="I59" s="425" t="s">
        <v>881</v>
      </c>
      <c r="J59" s="399">
        <f t="shared" si="13"/>
        <v>0</v>
      </c>
      <c r="K59" s="399">
        <f>+J59+J65</f>
        <v>6.7901291056027139E-4</v>
      </c>
      <c r="L59" s="394"/>
      <c r="M59" s="397"/>
    </row>
    <row r="60" spans="1:18">
      <c r="A60" s="394">
        <f t="shared" si="6"/>
        <v>40</v>
      </c>
      <c r="B60" s="397"/>
      <c r="C60" s="397"/>
      <c r="D60" s="397"/>
      <c r="E60" s="397"/>
      <c r="F60" s="425" t="s">
        <v>846</v>
      </c>
      <c r="G60" s="404">
        <f t="shared" si="12"/>
        <v>0</v>
      </c>
      <c r="H60" s="397"/>
      <c r="I60" s="425" t="s">
        <v>882</v>
      </c>
      <c r="J60" s="399">
        <f t="shared" si="13"/>
        <v>0</v>
      </c>
      <c r="K60" s="399">
        <f>+J60</f>
        <v>0</v>
      </c>
      <c r="L60" s="394"/>
      <c r="M60" s="397"/>
    </row>
    <row r="61" spans="1:18">
      <c r="A61" s="394">
        <f t="shared" si="6"/>
        <v>41</v>
      </c>
      <c r="B61" s="397"/>
      <c r="C61" s="397"/>
      <c r="D61" s="397"/>
      <c r="E61" s="397"/>
      <c r="F61" s="425" t="s">
        <v>847</v>
      </c>
      <c r="G61" s="404">
        <f t="shared" si="12"/>
        <v>0</v>
      </c>
      <c r="H61" s="397"/>
      <c r="I61" s="425" t="s">
        <v>847</v>
      </c>
      <c r="J61" s="399">
        <f t="shared" si="13"/>
        <v>0</v>
      </c>
      <c r="K61" s="399">
        <f>+J61</f>
        <v>0</v>
      </c>
      <c r="L61" s="394"/>
      <c r="M61" s="397"/>
    </row>
    <row r="62" spans="1:18">
      <c r="A62" s="394">
        <f t="shared" si="6"/>
        <v>42</v>
      </c>
      <c r="B62" s="397"/>
      <c r="C62" s="397"/>
      <c r="D62" s="397"/>
      <c r="E62" s="397"/>
      <c r="F62" s="425" t="s">
        <v>848</v>
      </c>
      <c r="G62" s="404">
        <f t="shared" si="12"/>
        <v>1.7341413459866735E-2</v>
      </c>
      <c r="H62" s="397"/>
      <c r="I62" s="425" t="s">
        <v>883</v>
      </c>
      <c r="J62" s="399">
        <f t="shared" si="13"/>
        <v>1.732963841624012E-2</v>
      </c>
      <c r="K62" s="399">
        <f>+J62</f>
        <v>1.732963841624012E-2</v>
      </c>
      <c r="L62" s="394"/>
      <c r="M62" s="397"/>
    </row>
    <row r="63" spans="1:18">
      <c r="A63" s="394">
        <f t="shared" si="6"/>
        <v>43</v>
      </c>
      <c r="B63" s="397"/>
      <c r="C63" s="397"/>
      <c r="D63" s="397"/>
      <c r="E63" s="397"/>
      <c r="F63" s="425" t="s">
        <v>849</v>
      </c>
      <c r="G63" s="414">
        <f t="shared" si="12"/>
        <v>0.39227168705882354</v>
      </c>
      <c r="H63" s="397"/>
      <c r="I63" s="425" t="s">
        <v>884</v>
      </c>
      <c r="J63" s="399">
        <f t="shared" si="13"/>
        <v>0.39200532951886335</v>
      </c>
      <c r="K63" s="400">
        <f>+J63</f>
        <v>0.39200532951886335</v>
      </c>
      <c r="L63" s="394"/>
      <c r="M63" s="397"/>
    </row>
    <row r="64" spans="1:18">
      <c r="A64" s="394">
        <f t="shared" si="6"/>
        <v>44</v>
      </c>
      <c r="B64" s="397"/>
      <c r="C64" s="397"/>
      <c r="D64" s="397"/>
      <c r="E64" s="397"/>
      <c r="F64" s="397"/>
      <c r="G64" s="404">
        <f>SUM(G57:G63)</f>
        <v>1.0490971201838226</v>
      </c>
      <c r="I64" s="425" t="s">
        <v>885</v>
      </c>
      <c r="J64" s="426">
        <v>0.99932098708943973</v>
      </c>
      <c r="K64" s="404">
        <f>SUM(K57:K63)</f>
        <v>1.0490637826053464</v>
      </c>
    </row>
    <row r="65" spans="1:13">
      <c r="A65" s="394">
        <f t="shared" si="6"/>
        <v>45</v>
      </c>
      <c r="B65" s="397"/>
      <c r="C65" s="397"/>
      <c r="D65" s="397"/>
      <c r="E65" s="397"/>
      <c r="F65" s="397"/>
      <c r="G65" s="427"/>
      <c r="H65" s="397"/>
      <c r="I65" s="425" t="s">
        <v>886</v>
      </c>
      <c r="J65" s="414">
        <v>6.7901291056027139E-4</v>
      </c>
      <c r="K65" s="428"/>
      <c r="L65" s="428"/>
    </row>
    <row r="66" spans="1:13">
      <c r="A66" s="394">
        <f t="shared" si="6"/>
        <v>46</v>
      </c>
      <c r="B66" s="397"/>
      <c r="C66" s="397"/>
      <c r="D66" s="397"/>
      <c r="E66" s="397"/>
      <c r="F66" s="397"/>
      <c r="G66" s="427"/>
      <c r="H66" s="397"/>
      <c r="I66" s="425"/>
      <c r="J66" s="404">
        <f>SUM(J57:J63,J65)</f>
        <v>1.0490637826053464</v>
      </c>
      <c r="K66" s="428"/>
      <c r="L66" s="428"/>
    </row>
    <row r="67" spans="1:13">
      <c r="A67" s="394"/>
    </row>
    <row r="68" spans="1:13">
      <c r="A68" s="394" t="s">
        <v>680</v>
      </c>
      <c r="B68" s="395"/>
      <c r="C68" s="395"/>
      <c r="D68" s="395"/>
      <c r="E68" s="395"/>
      <c r="F68" s="397"/>
      <c r="G68" s="397"/>
      <c r="H68" s="397"/>
      <c r="I68" s="397"/>
      <c r="J68" s="397"/>
      <c r="K68" s="397"/>
      <c r="L68" s="429"/>
      <c r="M68" s="429"/>
    </row>
    <row r="69" spans="1:13">
      <c r="A69" s="394" t="s">
        <v>354</v>
      </c>
      <c r="B69" s="397" t="s">
        <v>887</v>
      </c>
      <c r="C69" s="397"/>
      <c r="D69" s="404"/>
      <c r="E69" s="397"/>
      <c r="F69" s="397"/>
      <c r="G69" s="397"/>
      <c r="H69" s="397"/>
      <c r="I69" s="397"/>
      <c r="J69" s="397"/>
      <c r="K69" s="397"/>
      <c r="L69" s="429"/>
      <c r="M69" s="429"/>
    </row>
    <row r="70" spans="1:13">
      <c r="A70" s="394"/>
      <c r="B70" s="397" t="s">
        <v>888</v>
      </c>
      <c r="C70" s="397"/>
      <c r="D70" s="404"/>
      <c r="E70" s="397"/>
      <c r="F70" s="397"/>
      <c r="G70" s="397"/>
      <c r="H70" s="397"/>
      <c r="I70" s="397"/>
      <c r="J70" s="397"/>
    </row>
    <row r="71" spans="1:13">
      <c r="A71" s="394" t="s">
        <v>356</v>
      </c>
      <c r="B71" s="395" t="s">
        <v>889</v>
      </c>
      <c r="C71" s="397"/>
      <c r="D71" s="397"/>
      <c r="E71" s="397"/>
      <c r="F71" s="397"/>
      <c r="G71" s="397"/>
      <c r="H71" s="397"/>
      <c r="I71" s="397"/>
      <c r="J71" s="397"/>
    </row>
    <row r="72" spans="1:13">
      <c r="A72" s="394" t="s">
        <v>358</v>
      </c>
      <c r="B72" s="397" t="s">
        <v>890</v>
      </c>
      <c r="C72" s="395"/>
      <c r="D72" s="395"/>
      <c r="E72" s="395"/>
      <c r="F72" s="397"/>
      <c r="G72" s="397"/>
      <c r="H72" s="397"/>
      <c r="I72" s="397"/>
      <c r="J72" s="397"/>
    </row>
    <row r="73" spans="1:13">
      <c r="A73" s="394" t="s">
        <v>360</v>
      </c>
      <c r="B73" s="430" t="s">
        <v>891</v>
      </c>
    </row>
    <row r="74" spans="1:13" ht="15" customHeight="1">
      <c r="A74" s="394" t="s">
        <v>362</v>
      </c>
      <c r="B74" s="430" t="s">
        <v>892</v>
      </c>
    </row>
    <row r="75" spans="1:13">
      <c r="A75" s="394" t="s">
        <v>364</v>
      </c>
      <c r="B75" s="430" t="s">
        <v>893</v>
      </c>
    </row>
    <row r="76" spans="1:13">
      <c r="M76" s="384" t="s">
        <v>662</v>
      </c>
    </row>
    <row r="78" spans="1:13">
      <c r="G78" s="386" t="str">
        <f>G3</f>
        <v>Attachment 10</v>
      </c>
    </row>
    <row r="79" spans="1:13">
      <c r="G79" s="386" t="str">
        <f>G4</f>
        <v>Income Tax Allowance</v>
      </c>
    </row>
    <row r="80" spans="1:13">
      <c r="G80" s="387" t="str">
        <f>G5</f>
        <v>GridLiance Heartland LLC</v>
      </c>
    </row>
    <row r="83" spans="1:13">
      <c r="A83" s="431"/>
      <c r="B83" s="432"/>
      <c r="C83" s="432"/>
      <c r="D83" s="432"/>
      <c r="E83" s="432"/>
      <c r="F83" s="432"/>
      <c r="G83" s="432"/>
      <c r="H83" s="432"/>
      <c r="I83" s="432"/>
      <c r="J83" s="432"/>
      <c r="K83" s="432"/>
      <c r="L83" s="432"/>
      <c r="M83" s="433"/>
    </row>
    <row r="84" spans="1:13">
      <c r="A84" s="430"/>
      <c r="B84" s="390" t="s">
        <v>6</v>
      </c>
      <c r="D84" s="390" t="s">
        <v>7</v>
      </c>
      <c r="F84" s="390" t="s">
        <v>8</v>
      </c>
      <c r="H84" s="390" t="s">
        <v>10</v>
      </c>
      <c r="J84" s="390" t="s">
        <v>11</v>
      </c>
      <c r="L84" s="390" t="s">
        <v>894</v>
      </c>
      <c r="M84" s="434"/>
    </row>
    <row r="85" spans="1:13" ht="63.75">
      <c r="A85" s="435" t="s">
        <v>527</v>
      </c>
      <c r="B85" s="436" t="s">
        <v>895</v>
      </c>
      <c r="C85" s="437"/>
      <c r="D85" s="438" t="s">
        <v>896</v>
      </c>
      <c r="E85" s="437"/>
      <c r="F85" s="438" t="s">
        <v>897</v>
      </c>
      <c r="G85" s="439"/>
      <c r="H85" s="438" t="s">
        <v>898</v>
      </c>
      <c r="I85" s="439"/>
      <c r="J85" s="438" t="s">
        <v>899</v>
      </c>
      <c r="K85" s="439"/>
      <c r="L85" s="438" t="s">
        <v>900</v>
      </c>
      <c r="M85" s="440"/>
    </row>
    <row r="86" spans="1:13">
      <c r="A86" s="441">
        <v>1</v>
      </c>
      <c r="B86" s="442" t="s">
        <v>901</v>
      </c>
      <c r="C86" s="443"/>
      <c r="D86" s="398">
        <v>0.74274777199999997</v>
      </c>
      <c r="E86" s="444"/>
      <c r="F86" s="398">
        <v>9.5000000000000001E-2</v>
      </c>
      <c r="G86" s="444"/>
      <c r="H86" s="398">
        <v>0</v>
      </c>
      <c r="I86" s="444"/>
      <c r="J86" s="403">
        <f>D86*F86</f>
        <v>7.0561038339999993E-2</v>
      </c>
      <c r="K86" s="403"/>
      <c r="L86" s="403">
        <f>D86*H86</f>
        <v>0</v>
      </c>
      <c r="M86" s="445"/>
    </row>
    <row r="87" spans="1:13">
      <c r="A87" s="441">
        <f>+A86+1</f>
        <v>2</v>
      </c>
      <c r="B87" s="442" t="s">
        <v>902</v>
      </c>
      <c r="C87" s="443"/>
      <c r="D87" s="398">
        <v>0.25725222800000003</v>
      </c>
      <c r="E87" s="444"/>
      <c r="F87" s="398">
        <v>6.9999999999999993E-2</v>
      </c>
      <c r="G87" s="444"/>
      <c r="H87" s="398">
        <v>0</v>
      </c>
      <c r="I87" s="444"/>
      <c r="J87" s="403">
        <f>D87*F87</f>
        <v>1.8007655960000001E-2</v>
      </c>
      <c r="K87" s="403"/>
      <c r="L87" s="403">
        <f>D87*H87</f>
        <v>0</v>
      </c>
      <c r="M87" s="445"/>
    </row>
    <row r="88" spans="1:13">
      <c r="A88" s="441">
        <f>+A87+1</f>
        <v>3</v>
      </c>
      <c r="B88" s="442" t="s">
        <v>903</v>
      </c>
      <c r="C88" s="443"/>
      <c r="D88" s="398">
        <v>0</v>
      </c>
      <c r="E88" s="444"/>
      <c r="F88" s="398">
        <v>0</v>
      </c>
      <c r="G88" s="444"/>
      <c r="H88" s="398">
        <v>0</v>
      </c>
      <c r="I88" s="444"/>
      <c r="J88" s="403">
        <f>D88*F88</f>
        <v>0</v>
      </c>
      <c r="K88" s="403"/>
      <c r="L88" s="403">
        <f>D88*H88</f>
        <v>0</v>
      </c>
      <c r="M88" s="445"/>
    </row>
    <row r="89" spans="1:13">
      <c r="A89" s="441">
        <f>+A88+1</f>
        <v>4</v>
      </c>
      <c r="B89" s="442" t="s">
        <v>904</v>
      </c>
      <c r="C89" s="443"/>
      <c r="D89" s="398">
        <v>0</v>
      </c>
      <c r="E89" s="444"/>
      <c r="F89" s="398">
        <v>0</v>
      </c>
      <c r="G89" s="444"/>
      <c r="H89" s="398">
        <v>0</v>
      </c>
      <c r="I89" s="444"/>
      <c r="J89" s="403">
        <f>D89*F89</f>
        <v>0</v>
      </c>
      <c r="K89" s="403"/>
      <c r="L89" s="403">
        <f>D89*H89</f>
        <v>0</v>
      </c>
      <c r="M89" s="445"/>
    </row>
    <row r="90" spans="1:13">
      <c r="A90" s="446">
        <f>+A89+1</f>
        <v>5</v>
      </c>
      <c r="B90" s="447" t="s">
        <v>905</v>
      </c>
      <c r="C90" s="448"/>
      <c r="D90" s="449">
        <v>0</v>
      </c>
      <c r="E90" s="439"/>
      <c r="F90" s="449">
        <v>0</v>
      </c>
      <c r="G90" s="439"/>
      <c r="H90" s="449">
        <v>0</v>
      </c>
      <c r="I90" s="439"/>
      <c r="J90" s="403">
        <f>D90*F90</f>
        <v>0</v>
      </c>
      <c r="K90" s="403"/>
      <c r="L90" s="403">
        <f>D90*H90</f>
        <v>0</v>
      </c>
      <c r="M90" s="445"/>
    </row>
    <row r="91" spans="1:13">
      <c r="A91" s="441">
        <f>+A90+1</f>
        <v>6</v>
      </c>
      <c r="B91" s="450" t="s">
        <v>906</v>
      </c>
      <c r="C91" s="443"/>
      <c r="D91" s="444"/>
      <c r="E91" s="444"/>
      <c r="F91" s="444"/>
      <c r="G91" s="444"/>
      <c r="H91" s="444"/>
      <c r="I91" s="444"/>
      <c r="J91" s="426">
        <f>SUM(J86:J90)</f>
        <v>8.85686943E-2</v>
      </c>
      <c r="K91" s="451"/>
      <c r="L91" s="451">
        <f>SUM(L86:L90)</f>
        <v>0</v>
      </c>
      <c r="M91" s="452"/>
    </row>
    <row r="92" spans="1:13" ht="15.75">
      <c r="A92" s="453"/>
      <c r="B92" s="454"/>
      <c r="C92" s="454"/>
      <c r="D92" s="454"/>
      <c r="E92" s="454"/>
      <c r="F92" s="454"/>
      <c r="G92" s="454"/>
      <c r="H92" s="454"/>
      <c r="I92" s="454"/>
      <c r="J92" s="455"/>
      <c r="K92" s="455"/>
      <c r="L92" s="455"/>
      <c r="M92" s="455"/>
    </row>
  </sheetData>
  <mergeCells count="1">
    <mergeCell ref="F43:J43"/>
  </mergeCells>
  <pageMargins left="0.25" right="0.25" top="0.75" bottom="0.75" header="0.3" footer="0.3"/>
  <pageSetup scale="4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C144-9C8E-42DC-8CAA-21BF754BB4BF}">
  <sheetPr>
    <pageSetUpPr fitToPage="1"/>
  </sheetPr>
  <dimension ref="A2:R92"/>
  <sheetViews>
    <sheetView view="pageBreakPreview" zoomScaleNormal="100" zoomScaleSheetLayoutView="100" workbookViewId="0">
      <selection activeCell="G9" sqref="G9"/>
    </sheetView>
  </sheetViews>
  <sheetFormatPr defaultColWidth="8.77734375" defaultRowHeight="15"/>
  <cols>
    <col min="1" max="1" width="5.88671875" style="383" bestFit="1" customWidth="1"/>
    <col min="2" max="2" width="47.77734375" style="383" customWidth="1"/>
    <col min="3" max="3" width="5.109375" style="383" bestFit="1" customWidth="1"/>
    <col min="4" max="4" width="17.6640625" style="383" bestFit="1" customWidth="1"/>
    <col min="5" max="13" width="10.44140625" style="383" customWidth="1"/>
    <col min="14" max="14" width="10.33203125" style="383" bestFit="1" customWidth="1"/>
    <col min="15" max="15" width="19.6640625" style="383" bestFit="1" customWidth="1"/>
    <col min="16" max="16" width="9.21875" style="383" bestFit="1" customWidth="1"/>
    <col min="17" max="17" width="8.77734375" style="383"/>
    <col min="18" max="18" width="9.21875" style="383" bestFit="1" customWidth="1"/>
    <col min="19" max="16384" width="8.77734375" style="383"/>
  </cols>
  <sheetData>
    <row r="2" spans="1:17">
      <c r="M2" s="384" t="s">
        <v>831</v>
      </c>
    </row>
    <row r="3" spans="1:17">
      <c r="G3" s="385" t="s">
        <v>1177</v>
      </c>
    </row>
    <row r="4" spans="1:17">
      <c r="G4" s="386" t="s">
        <v>1178</v>
      </c>
    </row>
    <row r="5" spans="1:17">
      <c r="G5" s="387" t="s">
        <v>5</v>
      </c>
    </row>
    <row r="6" spans="1:17">
      <c r="G6" s="388" t="s">
        <v>1179</v>
      </c>
    </row>
    <row r="7" spans="1:17">
      <c r="G7" s="389"/>
    </row>
    <row r="8" spans="1:17">
      <c r="B8" s="390" t="s">
        <v>6</v>
      </c>
      <c r="C8" s="390" t="s">
        <v>7</v>
      </c>
      <c r="D8" s="390" t="s">
        <v>8</v>
      </c>
      <c r="E8" s="390" t="s">
        <v>10</v>
      </c>
      <c r="F8" s="390" t="s">
        <v>11</v>
      </c>
      <c r="G8" s="390">
        <v>-6</v>
      </c>
      <c r="H8" s="390" t="s">
        <v>835</v>
      </c>
      <c r="I8" s="390" t="s">
        <v>836</v>
      </c>
      <c r="J8" s="390" t="s">
        <v>837</v>
      </c>
      <c r="K8" s="390" t="s">
        <v>838</v>
      </c>
      <c r="L8" s="390" t="s">
        <v>839</v>
      </c>
      <c r="M8" s="390" t="s">
        <v>840</v>
      </c>
      <c r="N8" s="390" t="s">
        <v>841</v>
      </c>
    </row>
    <row r="9" spans="1:17" ht="63.75">
      <c r="A9" s="391" t="s">
        <v>527</v>
      </c>
      <c r="B9" s="392" t="s">
        <v>842</v>
      </c>
      <c r="C9" s="391" t="s">
        <v>352</v>
      </c>
      <c r="D9" s="391" t="s">
        <v>15</v>
      </c>
      <c r="E9" s="392"/>
      <c r="F9" s="393" t="s">
        <v>843</v>
      </c>
      <c r="G9" s="393" t="s">
        <v>844</v>
      </c>
      <c r="H9" s="393" t="s">
        <v>845</v>
      </c>
      <c r="I9" s="391" t="s">
        <v>846</v>
      </c>
      <c r="J9" s="391" t="s">
        <v>847</v>
      </c>
      <c r="K9" s="393" t="s">
        <v>848</v>
      </c>
      <c r="L9" s="393" t="s">
        <v>849</v>
      </c>
      <c r="M9" s="393" t="s">
        <v>850</v>
      </c>
      <c r="N9" s="393" t="s">
        <v>851</v>
      </c>
    </row>
    <row r="10" spans="1:17">
      <c r="A10" s="394"/>
      <c r="B10" s="395" t="s">
        <v>612</v>
      </c>
      <c r="C10" s="395"/>
      <c r="D10" s="395"/>
      <c r="E10" s="395"/>
      <c r="F10" s="396" t="s">
        <v>613</v>
      </c>
      <c r="G10" s="396"/>
      <c r="H10" s="394" t="s">
        <v>614</v>
      </c>
      <c r="I10" s="396" t="s">
        <v>615</v>
      </c>
      <c r="J10" s="394" t="s">
        <v>616</v>
      </c>
      <c r="K10" s="394" t="s">
        <v>617</v>
      </c>
      <c r="L10" s="394" t="s">
        <v>619</v>
      </c>
      <c r="M10" s="394" t="s">
        <v>620</v>
      </c>
      <c r="N10" s="394"/>
    </row>
    <row r="11" spans="1:17">
      <c r="A11" s="397"/>
      <c r="B11" s="395"/>
      <c r="C11" s="395"/>
      <c r="D11" s="394"/>
      <c r="E11" s="395"/>
      <c r="F11" s="397"/>
      <c r="G11" s="397"/>
      <c r="H11" s="397"/>
      <c r="I11" s="397"/>
      <c r="J11" s="397"/>
      <c r="K11" s="397"/>
      <c r="L11" s="397"/>
      <c r="M11" s="397"/>
      <c r="N11" s="397"/>
    </row>
    <row r="12" spans="1:17">
      <c r="A12" s="394">
        <v>1</v>
      </c>
      <c r="B12" s="395" t="s">
        <v>852</v>
      </c>
      <c r="C12" s="394" t="s">
        <v>853</v>
      </c>
      <c r="D12" s="396"/>
      <c r="E12" s="395"/>
      <c r="F12" s="659">
        <v>0</v>
      </c>
      <c r="G12" s="659">
        <v>0</v>
      </c>
      <c r="H12" s="659">
        <v>0</v>
      </c>
      <c r="I12" s="659">
        <v>0</v>
      </c>
      <c r="J12" s="659">
        <v>0</v>
      </c>
      <c r="K12" s="659">
        <v>0</v>
      </c>
      <c r="L12" s="399">
        <v>0</v>
      </c>
      <c r="M12" s="394"/>
      <c r="N12" s="394"/>
    </row>
    <row r="13" spans="1:17">
      <c r="A13" s="394">
        <f>+A12+1</f>
        <v>2</v>
      </c>
      <c r="B13" s="395" t="s">
        <v>854</v>
      </c>
      <c r="C13" s="396" t="s">
        <v>855</v>
      </c>
      <c r="D13" s="396" t="s">
        <v>856</v>
      </c>
      <c r="E13" s="395"/>
      <c r="F13" s="400">
        <f>+N45</f>
        <v>0</v>
      </c>
      <c r="G13" s="400">
        <f>+N46</f>
        <v>0</v>
      </c>
      <c r="H13" s="401">
        <f>+N47</f>
        <v>0</v>
      </c>
      <c r="I13" s="401">
        <f>+N48</f>
        <v>0</v>
      </c>
      <c r="J13" s="401">
        <f>+N49</f>
        <v>0</v>
      </c>
      <c r="K13" s="401">
        <f>+N50</f>
        <v>0</v>
      </c>
      <c r="L13" s="400">
        <f>+N51</f>
        <v>0</v>
      </c>
      <c r="M13" s="402"/>
      <c r="N13" s="402"/>
    </row>
    <row r="14" spans="1:17">
      <c r="A14" s="394">
        <f>+A13+1</f>
        <v>3</v>
      </c>
      <c r="B14" s="395" t="s">
        <v>857</v>
      </c>
      <c r="C14" s="395"/>
      <c r="D14" s="396" t="str">
        <f>"(Line "&amp;A12&amp;" * Line "&amp;A13&amp;")"</f>
        <v>(Line 1 * Line 2)</v>
      </c>
      <c r="E14" s="395"/>
      <c r="F14" s="403">
        <f t="shared" ref="F14:L14" si="0">F12*F13</f>
        <v>0</v>
      </c>
      <c r="G14" s="403">
        <f t="shared" si="0"/>
        <v>0</v>
      </c>
      <c r="H14" s="403">
        <f t="shared" si="0"/>
        <v>0</v>
      </c>
      <c r="I14" s="403">
        <f t="shared" si="0"/>
        <v>0</v>
      </c>
      <c r="J14" s="403">
        <f t="shared" si="0"/>
        <v>0</v>
      </c>
      <c r="K14" s="403">
        <f t="shared" si="0"/>
        <v>0</v>
      </c>
      <c r="L14" s="403">
        <f t="shared" si="0"/>
        <v>0</v>
      </c>
      <c r="M14" s="404">
        <f>SUM(F14:L14)</f>
        <v>0</v>
      </c>
      <c r="N14" s="404"/>
      <c r="Q14" s="405"/>
    </row>
    <row r="15" spans="1:17">
      <c r="A15" s="394"/>
      <c r="B15" s="395"/>
      <c r="C15" s="395"/>
      <c r="D15" s="396"/>
      <c r="E15" s="395"/>
      <c r="F15" s="403"/>
      <c r="G15" s="403"/>
      <c r="H15" s="403"/>
      <c r="I15" s="403"/>
      <c r="J15" s="403"/>
      <c r="K15" s="403"/>
      <c r="L15" s="403"/>
      <c r="M15" s="394"/>
      <c r="N15" s="394"/>
    </row>
    <row r="16" spans="1:17">
      <c r="A16" s="394">
        <f>+A14+1</f>
        <v>4</v>
      </c>
      <c r="B16" s="395" t="s">
        <v>858</v>
      </c>
      <c r="C16" s="394" t="s">
        <v>853</v>
      </c>
      <c r="D16" s="396" t="str">
        <f>"(Page 2, Col. "&amp;J84&amp;", Line "&amp;$A$91&amp;")"</f>
        <v>(Page 2, Col. (5), Line 6)</v>
      </c>
      <c r="E16" s="395"/>
      <c r="F16" s="403">
        <f>J91</f>
        <v>0</v>
      </c>
      <c r="G16" s="403">
        <f>J91</f>
        <v>0</v>
      </c>
      <c r="H16" s="399">
        <f>J91</f>
        <v>0</v>
      </c>
      <c r="I16" s="399">
        <f>J91</f>
        <v>0</v>
      </c>
      <c r="J16" s="403">
        <f>J91</f>
        <v>0</v>
      </c>
      <c r="K16" s="403">
        <f>J91</f>
        <v>0</v>
      </c>
      <c r="L16" s="403">
        <v>0</v>
      </c>
      <c r="M16" s="394"/>
      <c r="N16" s="394"/>
    </row>
    <row r="17" spans="1:17">
      <c r="A17" s="394">
        <f>+A16+1</f>
        <v>5</v>
      </c>
      <c r="B17" s="395" t="s">
        <v>854</v>
      </c>
      <c r="C17" s="396" t="s">
        <v>855</v>
      </c>
      <c r="D17" s="396" t="s">
        <v>856</v>
      </c>
      <c r="E17" s="395"/>
      <c r="F17" s="401">
        <f>+N45</f>
        <v>0</v>
      </c>
      <c r="G17" s="401">
        <f>+N46</f>
        <v>0</v>
      </c>
      <c r="H17" s="401">
        <f>+N47</f>
        <v>0</v>
      </c>
      <c r="I17" s="401">
        <f>+N48</f>
        <v>0</v>
      </c>
      <c r="J17" s="401">
        <f>+N49</f>
        <v>0</v>
      </c>
      <c r="K17" s="401">
        <f>+N50</f>
        <v>0</v>
      </c>
      <c r="L17" s="401">
        <f>+N51</f>
        <v>0</v>
      </c>
      <c r="M17" s="402"/>
      <c r="N17" s="402"/>
    </row>
    <row r="18" spans="1:17">
      <c r="A18" s="394">
        <f>+A17+1</f>
        <v>6</v>
      </c>
      <c r="B18" s="395" t="s">
        <v>859</v>
      </c>
      <c r="C18" s="395"/>
      <c r="D18" s="396" t="str">
        <f>"(Line "&amp;A16&amp;" * Line "&amp;A17&amp;")"</f>
        <v>(Line 4 * Line 5)</v>
      </c>
      <c r="E18" s="395"/>
      <c r="F18" s="403">
        <f t="shared" ref="F18:L18" si="1">F16*F17</f>
        <v>0</v>
      </c>
      <c r="G18" s="403">
        <f t="shared" si="1"/>
        <v>0</v>
      </c>
      <c r="H18" s="403">
        <f t="shared" si="1"/>
        <v>0</v>
      </c>
      <c r="I18" s="403">
        <f t="shared" si="1"/>
        <v>0</v>
      </c>
      <c r="J18" s="403">
        <f t="shared" si="1"/>
        <v>0</v>
      </c>
      <c r="K18" s="403">
        <f t="shared" si="1"/>
        <v>0</v>
      </c>
      <c r="L18" s="403">
        <f t="shared" si="1"/>
        <v>0</v>
      </c>
      <c r="M18" s="404">
        <f>SUM(F18:L18)</f>
        <v>0</v>
      </c>
      <c r="N18" s="404"/>
      <c r="Q18" s="405"/>
    </row>
    <row r="19" spans="1:17">
      <c r="A19" s="394"/>
      <c r="B19" s="395"/>
      <c r="C19" s="395"/>
      <c r="D19" s="396"/>
      <c r="E19" s="395"/>
      <c r="F19" s="403"/>
      <c r="G19" s="403"/>
      <c r="H19" s="403"/>
      <c r="I19" s="403"/>
      <c r="J19" s="403"/>
      <c r="K19" s="403"/>
      <c r="L19" s="403"/>
      <c r="M19" s="394"/>
      <c r="N19" s="394"/>
    </row>
    <row r="20" spans="1:17">
      <c r="A20" s="394">
        <f>+A18+1</f>
        <v>7</v>
      </c>
      <c r="B20" s="395" t="s">
        <v>860</v>
      </c>
      <c r="C20" s="394" t="s">
        <v>758</v>
      </c>
      <c r="D20" s="396" t="s">
        <v>861</v>
      </c>
      <c r="E20" s="395"/>
      <c r="F20" s="403">
        <f>$L$91</f>
        <v>0</v>
      </c>
      <c r="G20" s="403">
        <f t="shared" ref="G20:K20" si="2">$L$91</f>
        <v>0</v>
      </c>
      <c r="H20" s="403">
        <f t="shared" si="2"/>
        <v>0</v>
      </c>
      <c r="I20" s="403">
        <f t="shared" si="2"/>
        <v>0</v>
      </c>
      <c r="J20" s="403">
        <f t="shared" si="2"/>
        <v>0</v>
      </c>
      <c r="K20" s="403">
        <f t="shared" si="2"/>
        <v>0</v>
      </c>
      <c r="L20" s="403">
        <v>0</v>
      </c>
      <c r="M20" s="394"/>
      <c r="N20" s="394"/>
    </row>
    <row r="21" spans="1:17">
      <c r="A21" s="394">
        <f>+A20+1</f>
        <v>8</v>
      </c>
      <c r="B21" s="395" t="s">
        <v>854</v>
      </c>
      <c r="C21" s="396" t="s">
        <v>855</v>
      </c>
      <c r="D21" s="396" t="s">
        <v>856</v>
      </c>
      <c r="E21" s="395"/>
      <c r="F21" s="401">
        <f>+N45</f>
        <v>0</v>
      </c>
      <c r="G21" s="401">
        <f>+N46</f>
        <v>0</v>
      </c>
      <c r="H21" s="401">
        <f>+N47</f>
        <v>0</v>
      </c>
      <c r="I21" s="401">
        <f>+N48</f>
        <v>0</v>
      </c>
      <c r="J21" s="401">
        <f>+N49</f>
        <v>0</v>
      </c>
      <c r="K21" s="401">
        <f>+N50</f>
        <v>0</v>
      </c>
      <c r="L21" s="401">
        <f>+N51</f>
        <v>0</v>
      </c>
      <c r="M21" s="402"/>
      <c r="N21" s="402"/>
    </row>
    <row r="22" spans="1:17">
      <c r="A22" s="394">
        <f>+A21+1</f>
        <v>9</v>
      </c>
      <c r="B22" s="395" t="s">
        <v>862</v>
      </c>
      <c r="C22" s="395"/>
      <c r="D22" s="396" t="str">
        <f>"(Line "&amp;A20&amp;" * Line "&amp;A21&amp;")"</f>
        <v>(Line 7 * Line 8)</v>
      </c>
      <c r="E22" s="395"/>
      <c r="F22" s="403">
        <f t="shared" ref="F22:L22" si="3">F20*F21</f>
        <v>0</v>
      </c>
      <c r="G22" s="403">
        <f t="shared" si="3"/>
        <v>0</v>
      </c>
      <c r="H22" s="403">
        <f t="shared" si="3"/>
        <v>0</v>
      </c>
      <c r="I22" s="403">
        <f t="shared" si="3"/>
        <v>0</v>
      </c>
      <c r="J22" s="403">
        <f t="shared" si="3"/>
        <v>0</v>
      </c>
      <c r="K22" s="403">
        <f t="shared" si="3"/>
        <v>0</v>
      </c>
      <c r="L22" s="403">
        <f t="shared" si="3"/>
        <v>0</v>
      </c>
      <c r="M22" s="404">
        <f>SUM(F22:L22)</f>
        <v>0</v>
      </c>
      <c r="N22" s="404"/>
    </row>
    <row r="23" spans="1:17">
      <c r="A23" s="394"/>
      <c r="B23" s="395"/>
      <c r="C23" s="395"/>
      <c r="D23" s="396"/>
      <c r="E23" s="395"/>
      <c r="F23" s="397"/>
      <c r="G23" s="397"/>
      <c r="H23" s="397"/>
      <c r="I23" s="397"/>
      <c r="J23" s="397"/>
      <c r="K23" s="397"/>
      <c r="L23" s="397"/>
      <c r="N23" s="397"/>
    </row>
    <row r="24" spans="1:17">
      <c r="A24" s="394">
        <f>+A22+1</f>
        <v>10</v>
      </c>
      <c r="B24" s="395" t="s">
        <v>863</v>
      </c>
      <c r="C24" s="394" t="s">
        <v>855</v>
      </c>
      <c r="D24" s="396" t="s">
        <v>864</v>
      </c>
      <c r="E24" s="395"/>
      <c r="F24" s="403">
        <f>K57</f>
        <v>0</v>
      </c>
      <c r="G24" s="403">
        <f>K58</f>
        <v>0</v>
      </c>
      <c r="H24" s="403">
        <f>K59</f>
        <v>0</v>
      </c>
      <c r="I24" s="403">
        <f>K60</f>
        <v>0</v>
      </c>
      <c r="J24" s="403">
        <f>K61</f>
        <v>0</v>
      </c>
      <c r="K24" s="403">
        <f>K62</f>
        <v>0</v>
      </c>
      <c r="L24" s="403">
        <f>K63</f>
        <v>0</v>
      </c>
      <c r="N24" s="404">
        <f>+SUM(F24:L24)</f>
        <v>0</v>
      </c>
    </row>
    <row r="25" spans="1:17">
      <c r="A25" s="394"/>
      <c r="B25" s="395"/>
      <c r="C25" s="395"/>
      <c r="D25" s="396"/>
      <c r="E25" s="395"/>
      <c r="F25" s="403"/>
      <c r="G25" s="403"/>
      <c r="H25" s="403"/>
      <c r="I25" s="403"/>
      <c r="J25" s="403"/>
      <c r="K25" s="403"/>
      <c r="L25" s="406"/>
      <c r="M25" s="404"/>
      <c r="N25" s="404"/>
    </row>
    <row r="26" spans="1:17">
      <c r="A26" s="394">
        <f>+A24+1</f>
        <v>11</v>
      </c>
      <c r="B26" s="395" t="s">
        <v>865</v>
      </c>
      <c r="C26" s="394" t="s">
        <v>866</v>
      </c>
      <c r="D26" s="396" t="str">
        <f>"(Line "&amp;A24&amp;", Col. "&amp;N8&amp;" - Col. "&amp;L8&amp;")"</f>
        <v>(Line 10, Col. (13) - Col. (11))</v>
      </c>
      <c r="E26" s="395"/>
      <c r="F26" s="403"/>
      <c r="G26" s="403"/>
      <c r="H26" s="403"/>
      <c r="I26" s="403"/>
      <c r="J26" s="403"/>
      <c r="K26" s="403"/>
      <c r="L26" s="406"/>
      <c r="M26" s="404"/>
      <c r="N26" s="408">
        <f>N24-L24</f>
        <v>0</v>
      </c>
    </row>
    <row r="27" spans="1:17">
      <c r="A27" s="394"/>
      <c r="B27" s="395"/>
      <c r="C27" s="395"/>
      <c r="D27" s="396"/>
      <c r="E27" s="395"/>
      <c r="F27" s="403"/>
      <c r="G27" s="403"/>
      <c r="H27" s="403"/>
      <c r="I27" s="403"/>
      <c r="J27" s="403"/>
      <c r="K27" s="403"/>
      <c r="L27" s="403"/>
      <c r="M27" s="397"/>
      <c r="N27" s="397"/>
    </row>
    <row r="28" spans="1:17">
      <c r="A28" s="394">
        <f>+A26+1</f>
        <v>12</v>
      </c>
      <c r="B28" s="395" t="s">
        <v>867</v>
      </c>
      <c r="C28" s="395"/>
      <c r="D28" s="396" t="str">
        <f>"@ ITA = "&amp;MROUND(N26*100,0.01)&amp;"%"</f>
        <v>@ ITA = 0%</v>
      </c>
      <c r="E28" s="395"/>
      <c r="F28" s="403">
        <f>+F18*(1-F14)+F14-(F22*F14)</f>
        <v>0</v>
      </c>
      <c r="G28" s="403">
        <f>+G18*(1-G14)+G14-(G22*G14)</f>
        <v>0</v>
      </c>
      <c r="H28" s="403">
        <f t="shared" ref="H28:L28" si="4">+H18*(1-H14)+H14-(H22*H14)</f>
        <v>0</v>
      </c>
      <c r="I28" s="403">
        <f t="shared" si="4"/>
        <v>0</v>
      </c>
      <c r="J28" s="403">
        <f t="shared" si="4"/>
        <v>0</v>
      </c>
      <c r="K28" s="403">
        <f t="shared" si="4"/>
        <v>0</v>
      </c>
      <c r="L28" s="403">
        <f t="shared" si="4"/>
        <v>0</v>
      </c>
      <c r="M28" s="408">
        <f>SUM(F28:L28)</f>
        <v>0</v>
      </c>
      <c r="N28" s="408"/>
      <c r="O28" s="403"/>
      <c r="Q28" s="405"/>
    </row>
    <row r="29" spans="1:17">
      <c r="A29" s="394"/>
      <c r="B29" s="395"/>
      <c r="C29" s="395"/>
      <c r="D29" s="396"/>
      <c r="E29" s="395"/>
      <c r="F29" s="397"/>
      <c r="G29" s="397"/>
      <c r="H29" s="397"/>
      <c r="I29" s="397"/>
      <c r="J29" s="397"/>
      <c r="K29" s="397"/>
      <c r="L29" s="397"/>
      <c r="M29" s="397"/>
      <c r="P29" s="405"/>
    </row>
    <row r="30" spans="1:17">
      <c r="A30" s="397"/>
      <c r="B30" s="397"/>
      <c r="C30" s="397"/>
      <c r="D30" s="397"/>
      <c r="E30" s="397"/>
      <c r="F30" s="397"/>
      <c r="G30" s="397"/>
      <c r="H30" s="397"/>
      <c r="I30" s="397"/>
      <c r="J30" s="397"/>
      <c r="K30" s="397"/>
      <c r="L30" s="397"/>
      <c r="M30" s="397"/>
    </row>
    <row r="31" spans="1:17">
      <c r="A31" s="397"/>
      <c r="B31" s="397"/>
      <c r="C31" s="397"/>
      <c r="D31" s="397"/>
      <c r="E31" s="397"/>
      <c r="F31" s="397"/>
      <c r="G31" s="397"/>
      <c r="H31" s="397"/>
      <c r="I31" s="397"/>
      <c r="J31" s="397"/>
      <c r="K31" s="397"/>
      <c r="L31" s="397"/>
      <c r="M31" s="397"/>
    </row>
    <row r="32" spans="1:17">
      <c r="A32" s="394">
        <f>+A28+1</f>
        <v>13</v>
      </c>
      <c r="B32" s="397" t="s">
        <v>868</v>
      </c>
      <c r="C32" s="397" t="s">
        <v>869</v>
      </c>
      <c r="D32" s="397"/>
      <c r="E32" s="397"/>
      <c r="F32" s="660">
        <v>0</v>
      </c>
      <c r="G32" s="660">
        <v>0</v>
      </c>
      <c r="H32" s="660">
        <v>0</v>
      </c>
      <c r="I32" s="660">
        <v>0</v>
      </c>
      <c r="J32" s="660">
        <v>0</v>
      </c>
      <c r="L32" s="397"/>
      <c r="M32" s="397"/>
      <c r="N32" s="404">
        <f>SUM(F32:J32)</f>
        <v>0</v>
      </c>
    </row>
    <row r="33" spans="1:18">
      <c r="A33" s="397"/>
      <c r="B33" s="397" t="s">
        <v>870</v>
      </c>
      <c r="C33" s="397" t="s">
        <v>869</v>
      </c>
      <c r="D33" s="397"/>
      <c r="E33" s="394"/>
      <c r="F33" s="661" t="s">
        <v>871</v>
      </c>
      <c r="G33" s="661" t="s">
        <v>872</v>
      </c>
      <c r="H33" s="661" t="s">
        <v>873</v>
      </c>
      <c r="I33" s="661" t="s">
        <v>874</v>
      </c>
      <c r="J33" s="661" t="s">
        <v>875</v>
      </c>
      <c r="L33" s="397"/>
      <c r="M33" s="397"/>
      <c r="N33" s="394"/>
    </row>
    <row r="34" spans="1:18">
      <c r="A34" s="394">
        <f>+A32+1</f>
        <v>14</v>
      </c>
      <c r="B34" s="410" t="s">
        <v>843</v>
      </c>
      <c r="C34" s="397" t="s">
        <v>869</v>
      </c>
      <c r="D34" s="397"/>
      <c r="E34" s="397"/>
      <c r="F34" s="662">
        <v>0</v>
      </c>
      <c r="G34" s="662">
        <v>0</v>
      </c>
      <c r="H34" s="662">
        <v>0</v>
      </c>
      <c r="I34" s="662">
        <v>0</v>
      </c>
      <c r="J34" s="662">
        <v>0</v>
      </c>
      <c r="L34" s="397"/>
      <c r="M34" s="397"/>
      <c r="N34" s="404">
        <f t="shared" ref="N34:N40" si="5">SUM(F34:J34)/5</f>
        <v>0</v>
      </c>
    </row>
    <row r="35" spans="1:18">
      <c r="A35" s="394">
        <f>+A34+1</f>
        <v>15</v>
      </c>
      <c r="B35" s="410" t="s">
        <v>844</v>
      </c>
      <c r="C35" s="397" t="s">
        <v>869</v>
      </c>
      <c r="D35" s="397"/>
      <c r="E35" s="397"/>
      <c r="F35" s="662">
        <v>0</v>
      </c>
      <c r="G35" s="662">
        <v>0</v>
      </c>
      <c r="H35" s="662">
        <v>0</v>
      </c>
      <c r="I35" s="662">
        <v>0</v>
      </c>
      <c r="J35" s="662">
        <v>0</v>
      </c>
      <c r="L35" s="397"/>
      <c r="M35" s="397"/>
      <c r="N35" s="404">
        <f t="shared" si="5"/>
        <v>0</v>
      </c>
    </row>
    <row r="36" spans="1:18">
      <c r="A36" s="394">
        <f t="shared" ref="A36:A66" si="6">+A35+1</f>
        <v>16</v>
      </c>
      <c r="B36" s="410" t="s">
        <v>845</v>
      </c>
      <c r="C36" s="397" t="s">
        <v>869</v>
      </c>
      <c r="D36" s="397"/>
      <c r="E36" s="397"/>
      <c r="F36" s="662">
        <v>0</v>
      </c>
      <c r="G36" s="662">
        <v>0</v>
      </c>
      <c r="H36" s="662">
        <v>0</v>
      </c>
      <c r="I36" s="662">
        <v>0</v>
      </c>
      <c r="J36" s="662">
        <v>0</v>
      </c>
      <c r="L36" s="397"/>
      <c r="M36" s="397"/>
      <c r="N36" s="404">
        <f t="shared" si="5"/>
        <v>0</v>
      </c>
    </row>
    <row r="37" spans="1:18">
      <c r="A37" s="394">
        <f t="shared" si="6"/>
        <v>17</v>
      </c>
      <c r="B37" s="410" t="s">
        <v>846</v>
      </c>
      <c r="C37" s="397" t="s">
        <v>869</v>
      </c>
      <c r="D37" s="397"/>
      <c r="E37" s="397"/>
      <c r="F37" s="662">
        <v>0</v>
      </c>
      <c r="G37" s="662">
        <v>0</v>
      </c>
      <c r="H37" s="662">
        <v>0</v>
      </c>
      <c r="I37" s="662">
        <v>0</v>
      </c>
      <c r="J37" s="662">
        <v>0</v>
      </c>
      <c r="L37" s="397"/>
      <c r="M37" s="397"/>
      <c r="N37" s="404">
        <f t="shared" si="5"/>
        <v>0</v>
      </c>
    </row>
    <row r="38" spans="1:18">
      <c r="A38" s="394">
        <f t="shared" si="6"/>
        <v>18</v>
      </c>
      <c r="B38" s="410" t="s">
        <v>847</v>
      </c>
      <c r="C38" s="397" t="s">
        <v>869</v>
      </c>
      <c r="D38" s="397"/>
      <c r="E38" s="397"/>
      <c r="F38" s="662">
        <v>0</v>
      </c>
      <c r="G38" s="662">
        <v>0</v>
      </c>
      <c r="H38" s="662">
        <v>0</v>
      </c>
      <c r="I38" s="662">
        <v>0</v>
      </c>
      <c r="J38" s="662">
        <v>0</v>
      </c>
      <c r="L38" s="397"/>
      <c r="M38" s="397"/>
      <c r="N38" s="404">
        <f t="shared" si="5"/>
        <v>0</v>
      </c>
    </row>
    <row r="39" spans="1:18">
      <c r="A39" s="394">
        <f t="shared" si="6"/>
        <v>19</v>
      </c>
      <c r="B39" s="410" t="s">
        <v>848</v>
      </c>
      <c r="C39" s="397" t="s">
        <v>869</v>
      </c>
      <c r="D39" s="397"/>
      <c r="E39" s="397"/>
      <c r="F39" s="662">
        <v>0</v>
      </c>
      <c r="G39" s="662">
        <v>0</v>
      </c>
      <c r="H39" s="662">
        <v>0</v>
      </c>
      <c r="I39" s="662">
        <v>0</v>
      </c>
      <c r="J39" s="662">
        <v>0</v>
      </c>
      <c r="L39" s="397"/>
      <c r="M39" s="397"/>
      <c r="N39" s="404">
        <f t="shared" si="5"/>
        <v>0</v>
      </c>
      <c r="O39" s="411"/>
      <c r="Q39" s="405"/>
      <c r="R39" s="405"/>
    </row>
    <row r="40" spans="1:18">
      <c r="A40" s="394">
        <f t="shared" si="6"/>
        <v>20</v>
      </c>
      <c r="B40" s="410" t="s">
        <v>849</v>
      </c>
      <c r="C40" s="397" t="s">
        <v>869</v>
      </c>
      <c r="D40" s="397"/>
      <c r="E40" s="397"/>
      <c r="F40" s="660">
        <v>0</v>
      </c>
      <c r="G40" s="660">
        <v>0</v>
      </c>
      <c r="H40" s="660">
        <v>0</v>
      </c>
      <c r="I40" s="660">
        <v>0</v>
      </c>
      <c r="J40" s="660">
        <v>0</v>
      </c>
      <c r="K40" s="412"/>
      <c r="L40" s="413"/>
      <c r="M40" s="413"/>
      <c r="N40" s="414">
        <f t="shared" si="5"/>
        <v>0</v>
      </c>
      <c r="O40" s="411"/>
    </row>
    <row r="41" spans="1:18">
      <c r="A41" s="394">
        <f t="shared" si="6"/>
        <v>21</v>
      </c>
      <c r="B41" s="397"/>
      <c r="C41" s="397"/>
      <c r="D41" s="397"/>
      <c r="E41" s="397"/>
      <c r="F41" s="403">
        <f t="shared" ref="F41:J41" si="7">SUM(F34:F40)</f>
        <v>0</v>
      </c>
      <c r="G41" s="403">
        <f t="shared" si="7"/>
        <v>0</v>
      </c>
      <c r="H41" s="403">
        <f t="shared" si="7"/>
        <v>0</v>
      </c>
      <c r="I41" s="403">
        <f t="shared" si="7"/>
        <v>0</v>
      </c>
      <c r="J41" s="403">
        <f t="shared" si="7"/>
        <v>0</v>
      </c>
      <c r="L41" s="397"/>
      <c r="M41" s="397"/>
      <c r="N41" s="403">
        <f>SUM(N34:N40)</f>
        <v>0</v>
      </c>
    </row>
    <row r="42" spans="1:18">
      <c r="A42" s="394">
        <f t="shared" si="6"/>
        <v>22</v>
      </c>
      <c r="B42" s="397"/>
      <c r="C42" s="397"/>
      <c r="D42" s="397"/>
      <c r="E42" s="397"/>
      <c r="F42" s="415"/>
      <c r="G42" s="415"/>
      <c r="H42" s="415"/>
      <c r="I42" s="415"/>
      <c r="J42" s="415"/>
      <c r="K42" s="415"/>
      <c r="L42" s="415"/>
      <c r="M42" s="415"/>
      <c r="N42" s="404"/>
    </row>
    <row r="43" spans="1:18">
      <c r="A43" s="394">
        <f t="shared" si="6"/>
        <v>23</v>
      </c>
      <c r="B43" s="397"/>
      <c r="C43" s="397"/>
      <c r="D43" s="397"/>
      <c r="E43" s="397"/>
      <c r="F43" s="752" t="s">
        <v>313</v>
      </c>
      <c r="G43" s="752"/>
      <c r="H43" s="752"/>
      <c r="I43" s="752"/>
      <c r="J43" s="752"/>
      <c r="K43" s="416"/>
      <c r="L43" s="416"/>
      <c r="M43" s="416"/>
      <c r="N43" s="408"/>
    </row>
    <row r="44" spans="1:18">
      <c r="A44" s="394">
        <f t="shared" si="6"/>
        <v>24</v>
      </c>
      <c r="B44" s="397" t="s">
        <v>876</v>
      </c>
      <c r="C44" s="397"/>
      <c r="D44" s="397"/>
      <c r="E44" s="394"/>
      <c r="F44" s="663" t="str">
        <f>F33</f>
        <v>BCP VI</v>
      </c>
      <c r="G44" s="663" t="str">
        <f t="shared" ref="G44:J44" si="8">G33</f>
        <v>BEP II/II.F</v>
      </c>
      <c r="H44" s="663" t="str">
        <f t="shared" si="8"/>
        <v>BCP VI SBS</v>
      </c>
      <c r="I44" s="663" t="str">
        <f t="shared" si="8"/>
        <v>BEP II SBS</v>
      </c>
      <c r="J44" s="663" t="str">
        <f t="shared" si="8"/>
        <v>BTAS</v>
      </c>
      <c r="K44" s="415"/>
      <c r="L44" s="397"/>
      <c r="M44" s="397"/>
      <c r="N44" s="394"/>
      <c r="Q44" s="405"/>
      <c r="R44" s="417"/>
    </row>
    <row r="45" spans="1:18">
      <c r="A45" s="394">
        <f t="shared" si="6"/>
        <v>25</v>
      </c>
      <c r="B45" s="410" t="s">
        <v>843</v>
      </c>
      <c r="C45" s="397"/>
      <c r="D45" s="396" t="str">
        <f t="shared" ref="D45:D51" si="9">"(Line "&amp;A$32&amp;" * Line "&amp;A34&amp;")"</f>
        <v>(Line 13 * Line 14)</v>
      </c>
      <c r="E45" s="397"/>
      <c r="F45" s="403">
        <f t="shared" ref="F45:J51" si="10">+F$32*F34</f>
        <v>0</v>
      </c>
      <c r="G45" s="403">
        <f t="shared" si="10"/>
        <v>0</v>
      </c>
      <c r="H45" s="403">
        <f t="shared" si="10"/>
        <v>0</v>
      </c>
      <c r="I45" s="403">
        <f t="shared" si="10"/>
        <v>0</v>
      </c>
      <c r="J45" s="403">
        <f t="shared" si="10"/>
        <v>0</v>
      </c>
      <c r="L45" s="397"/>
      <c r="M45" s="397"/>
      <c r="N45" s="404">
        <f t="shared" ref="N45:N51" si="11">SUM(F45:J45)</f>
        <v>0</v>
      </c>
      <c r="O45" s="418"/>
    </row>
    <row r="46" spans="1:18">
      <c r="A46" s="394">
        <f t="shared" si="6"/>
        <v>26</v>
      </c>
      <c r="B46" s="410" t="s">
        <v>844</v>
      </c>
      <c r="C46" s="397"/>
      <c r="D46" s="396" t="str">
        <f t="shared" si="9"/>
        <v>(Line 13 * Line 15)</v>
      </c>
      <c r="E46" s="397"/>
      <c r="F46" s="403">
        <f t="shared" si="10"/>
        <v>0</v>
      </c>
      <c r="G46" s="403">
        <f t="shared" si="10"/>
        <v>0</v>
      </c>
      <c r="H46" s="403">
        <f t="shared" si="10"/>
        <v>0</v>
      </c>
      <c r="I46" s="403">
        <f t="shared" si="10"/>
        <v>0</v>
      </c>
      <c r="J46" s="403">
        <f t="shared" si="10"/>
        <v>0</v>
      </c>
      <c r="L46" s="397"/>
      <c r="M46" s="397"/>
      <c r="N46" s="404">
        <f t="shared" si="11"/>
        <v>0</v>
      </c>
      <c r="O46" s="418"/>
    </row>
    <row r="47" spans="1:18">
      <c r="A47" s="394">
        <f t="shared" si="6"/>
        <v>27</v>
      </c>
      <c r="B47" s="410" t="s">
        <v>845</v>
      </c>
      <c r="C47" s="397"/>
      <c r="D47" s="396" t="str">
        <f t="shared" si="9"/>
        <v>(Line 13 * Line 16)</v>
      </c>
      <c r="E47" s="397"/>
      <c r="F47" s="403">
        <f t="shared" si="10"/>
        <v>0</v>
      </c>
      <c r="G47" s="403">
        <f t="shared" si="10"/>
        <v>0</v>
      </c>
      <c r="H47" s="403">
        <f t="shared" si="10"/>
        <v>0</v>
      </c>
      <c r="I47" s="403">
        <f t="shared" si="10"/>
        <v>0</v>
      </c>
      <c r="J47" s="403">
        <f t="shared" si="10"/>
        <v>0</v>
      </c>
      <c r="L47" s="397"/>
      <c r="M47" s="397"/>
      <c r="N47" s="404">
        <f t="shared" si="11"/>
        <v>0</v>
      </c>
    </row>
    <row r="48" spans="1:18">
      <c r="A48" s="394">
        <f t="shared" si="6"/>
        <v>28</v>
      </c>
      <c r="B48" s="410" t="s">
        <v>846</v>
      </c>
      <c r="C48" s="397"/>
      <c r="D48" s="396" t="str">
        <f t="shared" si="9"/>
        <v>(Line 13 * Line 17)</v>
      </c>
      <c r="E48" s="397"/>
      <c r="F48" s="403">
        <f t="shared" si="10"/>
        <v>0</v>
      </c>
      <c r="G48" s="403">
        <f t="shared" si="10"/>
        <v>0</v>
      </c>
      <c r="H48" s="403">
        <f t="shared" si="10"/>
        <v>0</v>
      </c>
      <c r="I48" s="403">
        <f t="shared" si="10"/>
        <v>0</v>
      </c>
      <c r="J48" s="403">
        <f t="shared" si="10"/>
        <v>0</v>
      </c>
      <c r="L48" s="397"/>
      <c r="M48" s="397"/>
      <c r="N48" s="404">
        <f t="shared" si="11"/>
        <v>0</v>
      </c>
    </row>
    <row r="49" spans="1:18">
      <c r="A49" s="394">
        <f t="shared" si="6"/>
        <v>29</v>
      </c>
      <c r="B49" s="410" t="s">
        <v>847</v>
      </c>
      <c r="C49" s="397"/>
      <c r="D49" s="396" t="str">
        <f t="shared" si="9"/>
        <v>(Line 13 * Line 18)</v>
      </c>
      <c r="E49" s="397"/>
      <c r="F49" s="403">
        <f t="shared" si="10"/>
        <v>0</v>
      </c>
      <c r="G49" s="403">
        <f t="shared" si="10"/>
        <v>0</v>
      </c>
      <c r="H49" s="403">
        <f t="shared" si="10"/>
        <v>0</v>
      </c>
      <c r="I49" s="403">
        <f t="shared" si="10"/>
        <v>0</v>
      </c>
      <c r="J49" s="403">
        <f t="shared" si="10"/>
        <v>0</v>
      </c>
      <c r="L49" s="397"/>
      <c r="M49" s="397"/>
      <c r="N49" s="404">
        <f t="shared" si="11"/>
        <v>0</v>
      </c>
    </row>
    <row r="50" spans="1:18">
      <c r="A50" s="394">
        <f t="shared" si="6"/>
        <v>30</v>
      </c>
      <c r="B50" s="410" t="s">
        <v>848</v>
      </c>
      <c r="C50" s="397"/>
      <c r="D50" s="396" t="str">
        <f t="shared" si="9"/>
        <v>(Line 13 * Line 19)</v>
      </c>
      <c r="E50" s="397"/>
      <c r="F50" s="403">
        <f t="shared" si="10"/>
        <v>0</v>
      </c>
      <c r="G50" s="403">
        <f t="shared" si="10"/>
        <v>0</v>
      </c>
      <c r="H50" s="403">
        <f t="shared" si="10"/>
        <v>0</v>
      </c>
      <c r="I50" s="403">
        <f t="shared" si="10"/>
        <v>0</v>
      </c>
      <c r="J50" s="403">
        <f t="shared" si="10"/>
        <v>0</v>
      </c>
      <c r="L50" s="415"/>
      <c r="M50" s="415"/>
      <c r="N50" s="404">
        <f t="shared" si="11"/>
        <v>0</v>
      </c>
      <c r="O50" s="411"/>
      <c r="Q50" s="405"/>
      <c r="R50" s="419"/>
    </row>
    <row r="51" spans="1:18">
      <c r="A51" s="394">
        <f t="shared" si="6"/>
        <v>31</v>
      </c>
      <c r="B51" s="410" t="s">
        <v>849</v>
      </c>
      <c r="C51" s="397"/>
      <c r="D51" s="396" t="str">
        <f t="shared" si="9"/>
        <v>(Line 13 * Line 20)</v>
      </c>
      <c r="E51" s="397"/>
      <c r="F51" s="401">
        <f t="shared" si="10"/>
        <v>0</v>
      </c>
      <c r="G51" s="401">
        <f t="shared" si="10"/>
        <v>0</v>
      </c>
      <c r="H51" s="401">
        <f t="shared" si="10"/>
        <v>0</v>
      </c>
      <c r="I51" s="401">
        <f t="shared" si="10"/>
        <v>0</v>
      </c>
      <c r="J51" s="401">
        <f t="shared" si="10"/>
        <v>0</v>
      </c>
      <c r="K51" s="412"/>
      <c r="L51" s="413"/>
      <c r="M51" s="413"/>
      <c r="N51" s="414">
        <f t="shared" si="11"/>
        <v>0</v>
      </c>
      <c r="O51" s="420"/>
    </row>
    <row r="52" spans="1:18">
      <c r="A52" s="394">
        <f t="shared" si="6"/>
        <v>32</v>
      </c>
      <c r="B52" s="397"/>
      <c r="C52" s="397"/>
      <c r="D52" s="397"/>
      <c r="E52" s="397"/>
      <c r="F52" s="404">
        <f t="shared" ref="F52:J52" si="12">SUM(F45:F51)</f>
        <v>0</v>
      </c>
      <c r="G52" s="404">
        <f t="shared" si="12"/>
        <v>0</v>
      </c>
      <c r="H52" s="404">
        <f t="shared" si="12"/>
        <v>0</v>
      </c>
      <c r="I52" s="404">
        <f t="shared" si="12"/>
        <v>0</v>
      </c>
      <c r="J52" s="404">
        <f t="shared" si="12"/>
        <v>0</v>
      </c>
      <c r="L52" s="397"/>
      <c r="M52" s="397"/>
      <c r="N52" s="404">
        <f>SUM(N45:N51)</f>
        <v>0</v>
      </c>
      <c r="O52" s="418"/>
    </row>
    <row r="53" spans="1:18">
      <c r="A53" s="394">
        <f t="shared" si="6"/>
        <v>33</v>
      </c>
      <c r="B53" s="397"/>
      <c r="C53" s="397"/>
      <c r="D53" s="397"/>
      <c r="E53" s="397"/>
      <c r="F53" s="397"/>
      <c r="G53" s="397"/>
      <c r="H53" s="397"/>
      <c r="I53" s="397"/>
      <c r="J53" s="397"/>
      <c r="K53" s="397"/>
      <c r="L53" s="397"/>
      <c r="M53" s="397"/>
    </row>
    <row r="54" spans="1:18">
      <c r="A54" s="394">
        <f t="shared" si="6"/>
        <v>34</v>
      </c>
      <c r="B54" s="397"/>
      <c r="C54" s="397"/>
      <c r="D54" s="397"/>
      <c r="E54" s="397"/>
      <c r="F54" s="397"/>
      <c r="G54" s="397"/>
      <c r="H54" s="397"/>
      <c r="I54" s="397"/>
      <c r="J54" s="397"/>
      <c r="K54" s="397"/>
      <c r="L54" s="397"/>
      <c r="M54" s="397"/>
    </row>
    <row r="55" spans="1:18" ht="51">
      <c r="A55" s="394">
        <f t="shared" si="6"/>
        <v>35</v>
      </c>
      <c r="B55" s="397"/>
      <c r="C55" s="397"/>
      <c r="D55" s="397"/>
      <c r="E55" s="421"/>
      <c r="F55" s="421"/>
      <c r="G55" s="422" t="s">
        <v>877</v>
      </c>
      <c r="H55" s="397"/>
      <c r="I55" s="423"/>
      <c r="J55" s="422" t="s">
        <v>878</v>
      </c>
      <c r="K55" s="422" t="s">
        <v>879</v>
      </c>
      <c r="L55" s="397"/>
      <c r="M55" s="397"/>
    </row>
    <row r="56" spans="1:18">
      <c r="A56" s="394">
        <f t="shared" si="6"/>
        <v>36</v>
      </c>
      <c r="B56" s="397"/>
      <c r="C56" s="397"/>
      <c r="D56" s="397"/>
      <c r="E56" s="397"/>
      <c r="F56" s="397"/>
      <c r="G56" s="397"/>
      <c r="H56" s="397"/>
      <c r="I56" s="397"/>
      <c r="J56" s="397"/>
      <c r="K56" s="397"/>
      <c r="L56" s="397"/>
      <c r="M56" s="397"/>
    </row>
    <row r="57" spans="1:18">
      <c r="A57" s="394">
        <f t="shared" si="6"/>
        <v>37</v>
      </c>
      <c r="B57" s="397"/>
      <c r="C57" s="397"/>
      <c r="D57" s="397"/>
      <c r="E57" s="397"/>
      <c r="F57" s="425" t="s">
        <v>843</v>
      </c>
      <c r="G57" s="404">
        <f t="shared" ref="G57:G63" si="13">N45</f>
        <v>0</v>
      </c>
      <c r="H57" s="397"/>
      <c r="I57" s="425" t="s">
        <v>880</v>
      </c>
      <c r="J57" s="399">
        <f t="shared" ref="J57:J63" si="14">G57*$J$64</f>
        <v>0</v>
      </c>
      <c r="K57" s="399">
        <f>+J57</f>
        <v>0</v>
      </c>
      <c r="L57" s="394"/>
      <c r="M57" s="397"/>
      <c r="N57" s="419"/>
      <c r="O57" s="411"/>
    </row>
    <row r="58" spans="1:18">
      <c r="A58" s="394">
        <f t="shared" si="6"/>
        <v>38</v>
      </c>
      <c r="B58" s="397"/>
      <c r="C58" s="397"/>
      <c r="D58" s="397"/>
      <c r="E58" s="397"/>
      <c r="F58" s="425" t="s">
        <v>844</v>
      </c>
      <c r="G58" s="404">
        <f t="shared" si="13"/>
        <v>0</v>
      </c>
      <c r="H58" s="397"/>
      <c r="I58" s="425" t="s">
        <v>844</v>
      </c>
      <c r="J58" s="399">
        <f t="shared" si="14"/>
        <v>0</v>
      </c>
      <c r="K58" s="399">
        <f>+J58</f>
        <v>0</v>
      </c>
      <c r="L58" s="394"/>
      <c r="M58" s="397"/>
      <c r="N58" s="419"/>
      <c r="O58" s="411"/>
    </row>
    <row r="59" spans="1:18">
      <c r="A59" s="394">
        <f t="shared" si="6"/>
        <v>39</v>
      </c>
      <c r="B59" s="397"/>
      <c r="C59" s="397"/>
      <c r="D59" s="397"/>
      <c r="E59" s="397"/>
      <c r="F59" s="425" t="s">
        <v>845</v>
      </c>
      <c r="G59" s="404">
        <f t="shared" si="13"/>
        <v>0</v>
      </c>
      <c r="H59" s="397"/>
      <c r="I59" s="425" t="s">
        <v>881</v>
      </c>
      <c r="J59" s="399">
        <f t="shared" si="14"/>
        <v>0</v>
      </c>
      <c r="K59" s="399">
        <f>+J59+J65</f>
        <v>0</v>
      </c>
      <c r="L59" s="394"/>
      <c r="M59" s="397"/>
    </row>
    <row r="60" spans="1:18">
      <c r="A60" s="394">
        <f t="shared" si="6"/>
        <v>40</v>
      </c>
      <c r="B60" s="397"/>
      <c r="C60" s="397"/>
      <c r="D60" s="397"/>
      <c r="E60" s="397"/>
      <c r="F60" s="425" t="s">
        <v>846</v>
      </c>
      <c r="G60" s="404">
        <f t="shared" si="13"/>
        <v>0</v>
      </c>
      <c r="H60" s="397"/>
      <c r="I60" s="425" t="s">
        <v>882</v>
      </c>
      <c r="J60" s="399">
        <f t="shared" si="14"/>
        <v>0</v>
      </c>
      <c r="K60" s="399">
        <f>+J60</f>
        <v>0</v>
      </c>
      <c r="L60" s="394"/>
      <c r="M60" s="397"/>
    </row>
    <row r="61" spans="1:18">
      <c r="A61" s="394">
        <f t="shared" si="6"/>
        <v>41</v>
      </c>
      <c r="B61" s="397"/>
      <c r="C61" s="397"/>
      <c r="D61" s="397"/>
      <c r="E61" s="397"/>
      <c r="F61" s="425" t="s">
        <v>847</v>
      </c>
      <c r="G61" s="404">
        <f t="shared" si="13"/>
        <v>0</v>
      </c>
      <c r="H61" s="397"/>
      <c r="I61" s="425" t="s">
        <v>847</v>
      </c>
      <c r="J61" s="399">
        <f t="shared" si="14"/>
        <v>0</v>
      </c>
      <c r="K61" s="399">
        <f>+J61</f>
        <v>0</v>
      </c>
      <c r="L61" s="394"/>
      <c r="M61" s="397"/>
    </row>
    <row r="62" spans="1:18">
      <c r="A62" s="394">
        <f t="shared" si="6"/>
        <v>42</v>
      </c>
      <c r="B62" s="397"/>
      <c r="C62" s="397"/>
      <c r="D62" s="397"/>
      <c r="E62" s="397"/>
      <c r="F62" s="425" t="s">
        <v>848</v>
      </c>
      <c r="G62" s="404">
        <f t="shared" si="13"/>
        <v>0</v>
      </c>
      <c r="H62" s="397"/>
      <c r="I62" s="425" t="s">
        <v>883</v>
      </c>
      <c r="J62" s="399">
        <f t="shared" si="14"/>
        <v>0</v>
      </c>
      <c r="K62" s="399">
        <f>+J62</f>
        <v>0</v>
      </c>
      <c r="L62" s="394"/>
      <c r="M62" s="397"/>
    </row>
    <row r="63" spans="1:18">
      <c r="A63" s="394">
        <f t="shared" si="6"/>
        <v>43</v>
      </c>
      <c r="B63" s="397"/>
      <c r="C63" s="397"/>
      <c r="D63" s="397"/>
      <c r="E63" s="397"/>
      <c r="F63" s="425" t="s">
        <v>849</v>
      </c>
      <c r="G63" s="414">
        <f t="shared" si="13"/>
        <v>0</v>
      </c>
      <c r="H63" s="397"/>
      <c r="I63" s="425" t="s">
        <v>884</v>
      </c>
      <c r="J63" s="399">
        <f t="shared" si="14"/>
        <v>0</v>
      </c>
      <c r="K63" s="400">
        <f>+J63</f>
        <v>0</v>
      </c>
      <c r="L63" s="394"/>
      <c r="M63" s="397"/>
    </row>
    <row r="64" spans="1:18">
      <c r="A64" s="394">
        <f t="shared" si="6"/>
        <v>44</v>
      </c>
      <c r="B64" s="397"/>
      <c r="C64" s="397"/>
      <c r="D64" s="397"/>
      <c r="E64" s="397"/>
      <c r="F64" s="397"/>
      <c r="G64" s="404">
        <f>SUM(G57:G63)</f>
        <v>0</v>
      </c>
      <c r="H64" s="397"/>
      <c r="I64" s="425" t="s">
        <v>885</v>
      </c>
      <c r="J64" s="664">
        <v>0</v>
      </c>
      <c r="K64" s="404">
        <f>SUM(K57:K63)</f>
        <v>0</v>
      </c>
    </row>
    <row r="65" spans="1:13">
      <c r="A65" s="394">
        <f t="shared" si="6"/>
        <v>45</v>
      </c>
      <c r="B65" s="397"/>
      <c r="C65" s="397"/>
      <c r="D65" s="397"/>
      <c r="E65" s="397"/>
      <c r="F65" s="397"/>
      <c r="G65" s="427"/>
      <c r="H65" s="397"/>
      <c r="I65" s="425" t="s">
        <v>886</v>
      </c>
      <c r="J65" s="665">
        <v>0</v>
      </c>
      <c r="K65" s="428"/>
      <c r="L65" s="428"/>
    </row>
    <row r="66" spans="1:13">
      <c r="A66" s="394">
        <f t="shared" si="6"/>
        <v>46</v>
      </c>
      <c r="B66" s="397"/>
      <c r="C66" s="397"/>
      <c r="D66" s="397"/>
      <c r="E66" s="397"/>
      <c r="F66" s="397"/>
      <c r="G66" s="427"/>
      <c r="H66" s="397"/>
      <c r="I66" s="425"/>
      <c r="J66" s="404">
        <f>SUM(J64:J65)</f>
        <v>0</v>
      </c>
      <c r="K66" s="428"/>
      <c r="L66" s="428"/>
    </row>
    <row r="67" spans="1:13">
      <c r="A67" s="394"/>
    </row>
    <row r="68" spans="1:13">
      <c r="A68" s="394" t="s">
        <v>680</v>
      </c>
      <c r="B68" s="395"/>
      <c r="C68" s="395"/>
      <c r="D68" s="395"/>
      <c r="E68" s="395"/>
      <c r="F68" s="397"/>
      <c r="G68" s="397"/>
      <c r="H68" s="397"/>
      <c r="I68" s="397"/>
      <c r="J68" s="397"/>
      <c r="K68" s="397"/>
      <c r="L68" s="429"/>
      <c r="M68" s="429"/>
    </row>
    <row r="69" spans="1:13">
      <c r="A69" s="394" t="s">
        <v>354</v>
      </c>
      <c r="B69" s="397" t="s">
        <v>887</v>
      </c>
      <c r="C69" s="397"/>
      <c r="D69" s="404"/>
      <c r="E69" s="397"/>
      <c r="F69" s="397"/>
      <c r="G69" s="397"/>
      <c r="H69" s="397"/>
      <c r="I69" s="397"/>
      <c r="J69" s="397"/>
      <c r="K69" s="397"/>
      <c r="L69" s="429"/>
      <c r="M69" s="429"/>
    </row>
    <row r="70" spans="1:13">
      <c r="A70" s="394"/>
      <c r="B70" s="397" t="s">
        <v>888</v>
      </c>
      <c r="C70" s="397"/>
      <c r="D70" s="404"/>
      <c r="E70" s="397"/>
      <c r="F70" s="397"/>
      <c r="G70" s="397"/>
      <c r="H70" s="397"/>
      <c r="I70" s="397"/>
      <c r="J70" s="397"/>
    </row>
    <row r="71" spans="1:13">
      <c r="A71" s="394" t="s">
        <v>356</v>
      </c>
      <c r="B71" s="395" t="s">
        <v>889</v>
      </c>
      <c r="C71" s="397"/>
      <c r="D71" s="397"/>
      <c r="E71" s="397"/>
      <c r="F71" s="397"/>
      <c r="G71" s="397"/>
      <c r="H71" s="397"/>
      <c r="I71" s="397"/>
      <c r="J71" s="397"/>
    </row>
    <row r="72" spans="1:13">
      <c r="A72" s="394" t="s">
        <v>358</v>
      </c>
      <c r="B72" s="397" t="s">
        <v>890</v>
      </c>
      <c r="C72" s="395"/>
      <c r="D72" s="395"/>
      <c r="E72" s="395"/>
      <c r="F72" s="397"/>
      <c r="G72" s="397"/>
      <c r="H72" s="397"/>
      <c r="I72" s="397"/>
      <c r="J72" s="397"/>
    </row>
    <row r="73" spans="1:13">
      <c r="A73" s="394" t="s">
        <v>360</v>
      </c>
      <c r="B73" s="430" t="s">
        <v>1180</v>
      </c>
    </row>
    <row r="74" spans="1:13">
      <c r="A74" s="394" t="s">
        <v>362</v>
      </c>
      <c r="B74" s="430" t="s">
        <v>1181</v>
      </c>
    </row>
    <row r="75" spans="1:13">
      <c r="A75" s="394" t="s">
        <v>364</v>
      </c>
      <c r="B75" s="430" t="s">
        <v>893</v>
      </c>
    </row>
    <row r="76" spans="1:13">
      <c r="M76" s="384" t="s">
        <v>662</v>
      </c>
    </row>
    <row r="78" spans="1:13">
      <c r="G78" s="386" t="str">
        <f>G3</f>
        <v>Attachment 10a</v>
      </c>
    </row>
    <row r="79" spans="1:13">
      <c r="G79" s="386" t="str">
        <f>G4</f>
        <v>Actual ownership</v>
      </c>
    </row>
    <row r="80" spans="1:13">
      <c r="G80" s="387" t="str">
        <f>G5</f>
        <v>GridLiance Heartland LLC</v>
      </c>
    </row>
    <row r="83" spans="1:13">
      <c r="A83" s="431"/>
      <c r="B83" s="432"/>
      <c r="C83" s="432"/>
      <c r="D83" s="432"/>
      <c r="E83" s="432"/>
      <c r="F83" s="432"/>
      <c r="G83" s="432"/>
      <c r="H83" s="432"/>
      <c r="I83" s="432"/>
      <c r="J83" s="432"/>
      <c r="K83" s="432"/>
      <c r="L83" s="432"/>
      <c r="M83" s="433"/>
    </row>
    <row r="84" spans="1:13">
      <c r="A84" s="430"/>
      <c r="B84" s="390" t="s">
        <v>6</v>
      </c>
      <c r="D84" s="390" t="s">
        <v>7</v>
      </c>
      <c r="F84" s="390" t="s">
        <v>8</v>
      </c>
      <c r="H84" s="390" t="s">
        <v>10</v>
      </c>
      <c r="J84" s="390" t="s">
        <v>11</v>
      </c>
      <c r="L84" s="390" t="s">
        <v>894</v>
      </c>
      <c r="M84" s="434"/>
    </row>
    <row r="85" spans="1:13" ht="63.75">
      <c r="A85" s="435" t="s">
        <v>527</v>
      </c>
      <c r="B85" s="436" t="s">
        <v>895</v>
      </c>
      <c r="C85" s="437"/>
      <c r="D85" s="438" t="s">
        <v>896</v>
      </c>
      <c r="E85" s="437"/>
      <c r="F85" s="438" t="s">
        <v>897</v>
      </c>
      <c r="G85" s="439"/>
      <c r="H85" s="438" t="s">
        <v>898</v>
      </c>
      <c r="I85" s="439"/>
      <c r="J85" s="438" t="s">
        <v>899</v>
      </c>
      <c r="K85" s="439"/>
      <c r="L85" s="438" t="s">
        <v>900</v>
      </c>
      <c r="M85" s="440"/>
    </row>
    <row r="86" spans="1:13">
      <c r="A86" s="441">
        <v>1</v>
      </c>
      <c r="B86" s="666" t="s">
        <v>1182</v>
      </c>
      <c r="C86" s="443"/>
      <c r="D86" s="659">
        <v>0</v>
      </c>
      <c r="E86" s="444"/>
      <c r="F86" s="659">
        <v>0</v>
      </c>
      <c r="G86" s="444"/>
      <c r="H86" s="659">
        <v>0</v>
      </c>
      <c r="I86" s="444"/>
      <c r="J86" s="403">
        <f>D86*F86</f>
        <v>0</v>
      </c>
      <c r="K86" s="403"/>
      <c r="L86" s="403">
        <f>D86*H86</f>
        <v>0</v>
      </c>
      <c r="M86" s="445"/>
    </row>
    <row r="87" spans="1:13">
      <c r="A87" s="441">
        <f>+A86+1</f>
        <v>2</v>
      </c>
      <c r="B87" s="666" t="s">
        <v>1183</v>
      </c>
      <c r="C87" s="443"/>
      <c r="D87" s="659">
        <v>0</v>
      </c>
      <c r="E87" s="444"/>
      <c r="F87" s="659">
        <v>0</v>
      </c>
      <c r="G87" s="444"/>
      <c r="H87" s="659">
        <v>0</v>
      </c>
      <c r="I87" s="444"/>
      <c r="J87" s="403">
        <f>D87*F87</f>
        <v>0</v>
      </c>
      <c r="K87" s="403"/>
      <c r="L87" s="403">
        <f>D87*H87</f>
        <v>0</v>
      </c>
      <c r="M87" s="445"/>
    </row>
    <row r="88" spans="1:13">
      <c r="A88" s="441">
        <f>+A87+1</f>
        <v>3</v>
      </c>
      <c r="B88" s="666" t="s">
        <v>903</v>
      </c>
      <c r="C88" s="443"/>
      <c r="D88" s="659">
        <v>0</v>
      </c>
      <c r="E88" s="444"/>
      <c r="F88" s="659">
        <v>0</v>
      </c>
      <c r="G88" s="444"/>
      <c r="H88" s="659">
        <v>0</v>
      </c>
      <c r="I88" s="444"/>
      <c r="J88" s="403">
        <f>D88*F88</f>
        <v>0</v>
      </c>
      <c r="K88" s="403"/>
      <c r="L88" s="403">
        <f>D88*H88</f>
        <v>0</v>
      </c>
      <c r="M88" s="445"/>
    </row>
    <row r="89" spans="1:13">
      <c r="A89" s="441">
        <f>+A88+1</f>
        <v>4</v>
      </c>
      <c r="B89" s="666" t="s">
        <v>904</v>
      </c>
      <c r="C89" s="443"/>
      <c r="D89" s="659">
        <v>0</v>
      </c>
      <c r="E89" s="444"/>
      <c r="F89" s="659">
        <v>0</v>
      </c>
      <c r="G89" s="444"/>
      <c r="H89" s="659">
        <v>0</v>
      </c>
      <c r="I89" s="444"/>
      <c r="J89" s="403">
        <f>D89*F89</f>
        <v>0</v>
      </c>
      <c r="K89" s="403"/>
      <c r="L89" s="403">
        <f>D89*H89</f>
        <v>0</v>
      </c>
      <c r="M89" s="445"/>
    </row>
    <row r="90" spans="1:13">
      <c r="A90" s="446">
        <f>+A89+1</f>
        <v>5</v>
      </c>
      <c r="B90" s="667" t="s">
        <v>905</v>
      </c>
      <c r="C90" s="448"/>
      <c r="D90" s="668">
        <v>0</v>
      </c>
      <c r="E90" s="439"/>
      <c r="F90" s="668">
        <v>0</v>
      </c>
      <c r="G90" s="439"/>
      <c r="H90" s="668">
        <v>0</v>
      </c>
      <c r="I90" s="439"/>
      <c r="J90" s="403">
        <f>D90*F90</f>
        <v>0</v>
      </c>
      <c r="K90" s="403"/>
      <c r="L90" s="403">
        <f>D90*H90</f>
        <v>0</v>
      </c>
      <c r="M90" s="445"/>
    </row>
    <row r="91" spans="1:13">
      <c r="A91" s="441">
        <f>+A90+1</f>
        <v>6</v>
      </c>
      <c r="B91" s="450" t="s">
        <v>906</v>
      </c>
      <c r="C91" s="443"/>
      <c r="D91" s="444"/>
      <c r="E91" s="444"/>
      <c r="F91" s="444"/>
      <c r="G91" s="444"/>
      <c r="H91" s="444"/>
      <c r="I91" s="444"/>
      <c r="J91" s="426">
        <f>SUM(J86:J90)</f>
        <v>0</v>
      </c>
      <c r="K91" s="451"/>
      <c r="L91" s="451">
        <f>SUM(L86:L90)</f>
        <v>0</v>
      </c>
      <c r="M91" s="452"/>
    </row>
    <row r="92" spans="1:13" ht="15.75">
      <c r="A92" s="453"/>
      <c r="B92" s="454"/>
      <c r="C92" s="454"/>
      <c r="D92" s="454"/>
      <c r="E92" s="454"/>
      <c r="F92" s="454"/>
      <c r="G92" s="454"/>
      <c r="H92" s="454"/>
      <c r="I92" s="454"/>
      <c r="J92" s="455"/>
      <c r="K92" s="455"/>
      <c r="L92" s="455"/>
      <c r="M92" s="455"/>
    </row>
  </sheetData>
  <mergeCells count="1">
    <mergeCell ref="F43:J43"/>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C6B31-0E03-497E-AC41-2B178DFFDE1A}">
  <sheetPr>
    <tabColor rgb="FF00B050"/>
  </sheetPr>
  <dimension ref="A1:W114"/>
  <sheetViews>
    <sheetView view="pageBreakPreview" topLeftCell="A55" zoomScaleNormal="100" zoomScaleSheetLayoutView="100" workbookViewId="0">
      <selection activeCell="X74" sqref="X74"/>
    </sheetView>
  </sheetViews>
  <sheetFormatPr defaultColWidth="8.88671875" defaultRowHeight="12.75"/>
  <cols>
    <col min="1" max="1" width="6" style="170" customWidth="1"/>
    <col min="2" max="2" width="1.44140625" style="170" customWidth="1"/>
    <col min="3" max="3" width="25.6640625" style="170" customWidth="1"/>
    <col min="4" max="4" width="12" style="170" customWidth="1"/>
    <col min="5" max="5" width="13.44140625" style="170" customWidth="1"/>
    <col min="6" max="6" width="13.109375" style="170" customWidth="1"/>
    <col min="7" max="7" width="14.44140625" style="170" customWidth="1"/>
    <col min="8" max="8" width="13.33203125" style="170" customWidth="1"/>
    <col min="9" max="9" width="13.77734375" style="170" customWidth="1"/>
    <col min="10" max="10" width="12.44140625" style="170" customWidth="1"/>
    <col min="11" max="11" width="12.5546875" style="170" customWidth="1"/>
    <col min="12" max="12" width="12.6640625" style="170" customWidth="1"/>
    <col min="13" max="13" width="12.109375" style="170" customWidth="1"/>
    <col min="14" max="14" width="8.6640625" style="170" customWidth="1"/>
    <col min="15" max="15" width="14.44140625" style="170" customWidth="1"/>
    <col min="16" max="16" width="12.77734375" style="170" customWidth="1"/>
    <col min="17" max="17" width="13.88671875" style="170" customWidth="1"/>
    <col min="18" max="18" width="12.109375" style="170" customWidth="1"/>
    <col min="19" max="19" width="9.88671875" style="170" customWidth="1"/>
    <col min="20" max="20" width="12.109375" style="170" customWidth="1"/>
    <col min="21" max="21" width="11.33203125" style="170" customWidth="1"/>
    <col min="22" max="22" width="10.21875" style="170" customWidth="1"/>
    <col min="23" max="23" width="11.21875" style="170" customWidth="1"/>
    <col min="24" max="24" width="9.109375" style="170" bestFit="1" customWidth="1"/>
    <col min="25" max="16384" width="8.88671875" style="170"/>
  </cols>
  <sheetData>
    <row r="1" spans="1:21">
      <c r="Q1" s="171"/>
    </row>
    <row r="2" spans="1:21">
      <c r="Q2" s="171"/>
    </row>
    <row r="4" spans="1:21">
      <c r="E4" s="172" t="s">
        <v>443</v>
      </c>
      <c r="L4" s="170" t="s">
        <v>444</v>
      </c>
      <c r="Q4" s="171"/>
    </row>
    <row r="5" spans="1:21">
      <c r="D5" s="173"/>
      <c r="E5" s="172" t="s">
        <v>445</v>
      </c>
      <c r="F5" s="173"/>
      <c r="H5" s="173"/>
      <c r="I5" s="173"/>
      <c r="J5" s="173"/>
      <c r="L5" s="1"/>
      <c r="M5" s="174"/>
      <c r="N5" s="174"/>
      <c r="O5" s="174"/>
      <c r="P5" s="174"/>
      <c r="Q5" s="174"/>
      <c r="R5" s="175"/>
      <c r="S5" s="176"/>
      <c r="T5" s="176"/>
      <c r="U5" s="175"/>
    </row>
    <row r="6" spans="1:21">
      <c r="D6" s="173"/>
      <c r="E6" s="18" t="str">
        <f>+'9A-Non-MISO ATRR'!D5</f>
        <v>GridLiance Heartland LLC</v>
      </c>
      <c r="F6" s="177"/>
      <c r="H6" s="177"/>
      <c r="I6" s="177"/>
      <c r="J6" s="177"/>
      <c r="P6" s="175"/>
      <c r="Q6" s="173"/>
      <c r="R6" s="175"/>
      <c r="S6" s="178"/>
      <c r="T6" s="176"/>
      <c r="U6" s="175"/>
    </row>
    <row r="7" spans="1:21">
      <c r="C7" s="175"/>
      <c r="D7" s="175"/>
      <c r="E7" s="175"/>
      <c r="F7" s="175"/>
      <c r="H7" s="175"/>
      <c r="I7" s="175"/>
      <c r="J7" s="175"/>
      <c r="P7" s="175"/>
      <c r="Q7" s="175"/>
      <c r="R7" s="175"/>
      <c r="S7" s="176"/>
      <c r="T7" s="176"/>
      <c r="U7" s="175"/>
    </row>
    <row r="8" spans="1:21">
      <c r="A8" s="172"/>
      <c r="C8" s="175"/>
      <c r="D8" s="175"/>
      <c r="E8" s="175"/>
      <c r="F8" s="175"/>
      <c r="H8" s="175"/>
      <c r="I8" s="175"/>
      <c r="J8" s="175"/>
      <c r="K8" s="175"/>
      <c r="L8" s="175"/>
      <c r="M8" s="175"/>
      <c r="N8" s="175"/>
      <c r="O8" s="175"/>
      <c r="P8" s="175"/>
      <c r="Q8" s="175"/>
      <c r="R8" s="175"/>
      <c r="S8" s="176"/>
      <c r="T8" s="176"/>
      <c r="U8" s="175"/>
    </row>
    <row r="9" spans="1:21">
      <c r="A9" s="172"/>
      <c r="C9" s="175"/>
      <c r="D9" s="175"/>
      <c r="E9" s="175"/>
      <c r="F9" s="175"/>
      <c r="G9" s="179"/>
      <c r="H9" s="175"/>
      <c r="I9" s="175"/>
      <c r="J9" s="175"/>
      <c r="K9" s="175"/>
      <c r="L9" s="175"/>
      <c r="M9" s="175"/>
      <c r="N9" s="175"/>
      <c r="O9" s="175"/>
      <c r="P9" s="175"/>
      <c r="Q9" s="175"/>
      <c r="R9" s="175"/>
      <c r="S9" s="176"/>
      <c r="T9" s="176"/>
      <c r="U9" s="175"/>
    </row>
    <row r="10" spans="1:21">
      <c r="A10" s="40"/>
      <c r="B10" s="2"/>
      <c r="C10" s="41" t="s">
        <v>446</v>
      </c>
      <c r="D10" s="41"/>
      <c r="E10" s="41"/>
      <c r="F10" s="41"/>
      <c r="G10" s="41"/>
      <c r="H10" s="41"/>
      <c r="I10" s="41"/>
      <c r="J10" s="180"/>
      <c r="K10" s="180"/>
      <c r="L10" s="41"/>
      <c r="M10" s="175"/>
      <c r="N10" s="175"/>
      <c r="O10" s="175"/>
      <c r="P10" s="175"/>
      <c r="Q10" s="175"/>
      <c r="R10" s="175"/>
      <c r="S10" s="176"/>
      <c r="T10" s="176"/>
      <c r="U10" s="175"/>
    </row>
    <row r="11" spans="1:21">
      <c r="A11" s="40"/>
      <c r="B11" s="2"/>
      <c r="C11" s="41" t="s">
        <v>447</v>
      </c>
      <c r="D11" s="41"/>
      <c r="E11" s="41"/>
      <c r="F11" s="41"/>
      <c r="G11" s="41"/>
      <c r="H11" s="41"/>
      <c r="I11" s="41"/>
      <c r="J11" s="180"/>
      <c r="K11" s="180"/>
      <c r="L11" s="2"/>
      <c r="M11" s="175"/>
      <c r="N11" s="175"/>
      <c r="O11" s="175"/>
      <c r="P11" s="175"/>
      <c r="Q11" s="175"/>
      <c r="R11" s="175"/>
      <c r="S11" s="175"/>
      <c r="T11" s="175"/>
      <c r="U11" s="175"/>
    </row>
    <row r="12" spans="1:21">
      <c r="A12" s="40"/>
      <c r="B12" s="2"/>
      <c r="C12" s="41"/>
      <c r="D12" s="41"/>
      <c r="E12" s="41"/>
      <c r="F12" s="41"/>
      <c r="G12" s="41"/>
      <c r="H12" s="41"/>
      <c r="I12" s="41"/>
      <c r="J12" s="41"/>
      <c r="K12" s="41"/>
      <c r="L12" s="2"/>
      <c r="M12" s="177"/>
      <c r="N12" s="177"/>
      <c r="O12" s="177"/>
      <c r="P12" s="175"/>
      <c r="Q12" s="175"/>
      <c r="R12" s="175"/>
      <c r="S12" s="175"/>
      <c r="T12" s="175"/>
      <c r="U12" s="175"/>
    </row>
    <row r="13" spans="1:21">
      <c r="A13" s="2"/>
      <c r="B13" s="2"/>
      <c r="C13" s="181" t="s">
        <v>6</v>
      </c>
      <c r="D13" s="181"/>
      <c r="E13" s="181"/>
      <c r="F13" s="181"/>
      <c r="G13" s="181" t="s">
        <v>7</v>
      </c>
      <c r="I13" s="181"/>
      <c r="J13" s="181" t="s">
        <v>8</v>
      </c>
      <c r="K13" s="181"/>
      <c r="L13" s="182" t="s">
        <v>10</v>
      </c>
      <c r="M13" s="183"/>
      <c r="N13" s="183"/>
      <c r="O13" s="183"/>
      <c r="P13" s="177"/>
      <c r="Q13" s="183"/>
      <c r="R13" s="177"/>
      <c r="S13" s="183"/>
      <c r="T13" s="177"/>
      <c r="U13" s="175"/>
    </row>
    <row r="14" spans="1:21">
      <c r="A14" s="2"/>
      <c r="B14" s="2"/>
      <c r="C14" s="41"/>
      <c r="D14" s="41"/>
      <c r="E14" s="41"/>
      <c r="F14" s="41"/>
      <c r="G14" s="184" t="s">
        <v>15</v>
      </c>
      <c r="I14" s="184"/>
      <c r="J14" s="42"/>
      <c r="K14" s="42"/>
      <c r="L14" s="2"/>
      <c r="P14" s="177"/>
      <c r="R14" s="177"/>
      <c r="S14" s="185"/>
      <c r="T14" s="185"/>
      <c r="U14" s="175"/>
    </row>
    <row r="15" spans="1:21">
      <c r="A15" s="40" t="s">
        <v>12</v>
      </c>
      <c r="B15" s="2"/>
      <c r="C15" s="41"/>
      <c r="D15" s="41"/>
      <c r="E15" s="41"/>
      <c r="F15" s="41"/>
      <c r="G15" s="186" t="s">
        <v>448</v>
      </c>
      <c r="I15" s="186"/>
      <c r="J15" s="187" t="s">
        <v>77</v>
      </c>
      <c r="K15" s="187"/>
      <c r="L15" s="187" t="s">
        <v>22</v>
      </c>
      <c r="M15" s="188"/>
      <c r="N15" s="188"/>
      <c r="O15" s="188"/>
      <c r="P15" s="177"/>
      <c r="R15" s="175"/>
      <c r="S15" s="189"/>
      <c r="T15" s="185"/>
      <c r="U15" s="175"/>
    </row>
    <row r="16" spans="1:21">
      <c r="A16" s="40" t="s">
        <v>14</v>
      </c>
      <c r="B16" s="2"/>
      <c r="C16" s="190"/>
      <c r="D16" s="190"/>
      <c r="E16" s="190"/>
      <c r="F16" s="190"/>
      <c r="G16" s="42"/>
      <c r="I16" s="42"/>
      <c r="J16" s="42"/>
      <c r="K16" s="42"/>
      <c r="L16" s="42"/>
      <c r="M16" s="177"/>
      <c r="N16" s="177"/>
      <c r="O16" s="177"/>
      <c r="P16" s="177"/>
      <c r="Q16" s="177"/>
      <c r="R16" s="175"/>
      <c r="S16" s="177"/>
      <c r="T16" s="177"/>
      <c r="U16" s="175"/>
    </row>
    <row r="17" spans="1:21">
      <c r="A17" s="191"/>
      <c r="B17" s="2"/>
      <c r="C17" s="41"/>
      <c r="D17" s="41"/>
      <c r="E17" s="41"/>
      <c r="F17" s="41"/>
      <c r="G17" s="42"/>
      <c r="I17" s="42"/>
      <c r="J17" s="42"/>
      <c r="K17" s="42"/>
      <c r="L17" s="42"/>
      <c r="M17" s="177"/>
      <c r="N17" s="177"/>
      <c r="O17" s="177"/>
      <c r="P17" s="177"/>
      <c r="Q17" s="177"/>
      <c r="R17" s="175"/>
      <c r="S17" s="177"/>
      <c r="T17" s="177"/>
      <c r="U17" s="175"/>
    </row>
    <row r="18" spans="1:21">
      <c r="A18" s="192">
        <v>1</v>
      </c>
      <c r="C18" s="175" t="s">
        <v>449</v>
      </c>
      <c r="D18" s="175"/>
      <c r="E18" s="175"/>
      <c r="F18" s="175"/>
      <c r="G18" s="193" t="s">
        <v>450</v>
      </c>
      <c r="I18" s="192"/>
      <c r="J18" s="4">
        <f>+'9A-Non-MISO ATRR'!I66</f>
        <v>5183838.4102993384</v>
      </c>
      <c r="L18" s="2"/>
      <c r="P18" s="177"/>
      <c r="Q18" s="177"/>
      <c r="R18" s="175"/>
      <c r="S18" s="177"/>
      <c r="T18" s="177"/>
      <c r="U18" s="175"/>
    </row>
    <row r="19" spans="1:21">
      <c r="A19" s="192" t="s">
        <v>154</v>
      </c>
      <c r="C19" s="175" t="s">
        <v>451</v>
      </c>
      <c r="D19" s="175"/>
      <c r="E19" s="175"/>
      <c r="F19" s="175"/>
      <c r="G19" s="193" t="s">
        <v>452</v>
      </c>
      <c r="I19" s="192"/>
      <c r="J19" s="4">
        <f>+'9A-Non-MISO ATRR'!I74</f>
        <v>2518444.1810724135</v>
      </c>
      <c r="L19" s="2"/>
      <c r="P19" s="177"/>
      <c r="Q19" s="177"/>
      <c r="R19" s="175"/>
      <c r="S19" s="177"/>
      <c r="T19" s="177"/>
      <c r="U19" s="175"/>
    </row>
    <row r="20" spans="1:21">
      <c r="A20" s="192" t="s">
        <v>157</v>
      </c>
      <c r="C20" s="175" t="s">
        <v>453</v>
      </c>
      <c r="D20" s="175"/>
      <c r="E20" s="175"/>
      <c r="F20" s="175"/>
      <c r="G20" s="193" t="s">
        <v>454</v>
      </c>
      <c r="I20" s="192"/>
      <c r="J20" s="194">
        <f>+'9A-Non-MISO ATRR'!I88+'9A-Non-MISO ATRR'!I96+'9A-Non-MISO ATRR'!I97</f>
        <v>0</v>
      </c>
      <c r="L20" s="2"/>
      <c r="P20" s="177"/>
      <c r="Q20" s="177"/>
      <c r="R20" s="175"/>
      <c r="S20" s="177"/>
      <c r="T20" s="177"/>
      <c r="U20" s="175"/>
    </row>
    <row r="21" spans="1:21">
      <c r="A21" s="192">
        <v>2</v>
      </c>
      <c r="C21" s="175" t="s">
        <v>455</v>
      </c>
      <c r="D21" s="175"/>
      <c r="E21" s="175"/>
      <c r="F21" s="175"/>
      <c r="G21" s="195" t="s">
        <v>456</v>
      </c>
      <c r="I21" s="192"/>
      <c r="J21" s="4">
        <f>+J18-J19+J20</f>
        <v>2665394.2292269249</v>
      </c>
      <c r="L21" s="2"/>
      <c r="P21" s="177"/>
      <c r="Q21" s="177"/>
      <c r="R21" s="175"/>
      <c r="S21" s="177"/>
      <c r="T21" s="177"/>
      <c r="U21" s="175"/>
    </row>
    <row r="22" spans="1:21">
      <c r="A22" s="196"/>
      <c r="B22" s="2"/>
      <c r="C22" s="2"/>
      <c r="D22" s="2"/>
      <c r="E22" s="2"/>
      <c r="F22" s="2"/>
      <c r="G22" s="195"/>
      <c r="I22" s="196"/>
      <c r="J22" s="2"/>
      <c r="K22" s="2"/>
      <c r="L22" s="2"/>
      <c r="M22" s="177"/>
      <c r="N22" s="177"/>
      <c r="O22" s="177"/>
      <c r="P22" s="177"/>
      <c r="Q22" s="177"/>
      <c r="R22" s="177"/>
      <c r="S22" s="177"/>
      <c r="T22" s="177"/>
      <c r="U22" s="175"/>
    </row>
    <row r="23" spans="1:21">
      <c r="A23" s="196"/>
      <c r="B23" s="2"/>
      <c r="C23" s="41" t="s">
        <v>457</v>
      </c>
      <c r="D23" s="41"/>
      <c r="E23" s="41"/>
      <c r="F23" s="41"/>
      <c r="G23" s="195"/>
      <c r="I23" s="196"/>
      <c r="J23" s="42"/>
      <c r="K23" s="42"/>
      <c r="L23" s="42"/>
      <c r="P23" s="177"/>
      <c r="Q23" s="177"/>
      <c r="R23" s="177"/>
      <c r="S23" s="177"/>
      <c r="T23" s="177"/>
      <c r="U23" s="175"/>
    </row>
    <row r="24" spans="1:21">
      <c r="A24" s="196">
        <v>3</v>
      </c>
      <c r="B24" s="2"/>
      <c r="C24" s="41" t="s">
        <v>458</v>
      </c>
      <c r="D24" s="41"/>
      <c r="E24" s="41"/>
      <c r="F24" s="41"/>
      <c r="G24" s="195" t="s">
        <v>459</v>
      </c>
      <c r="I24" s="196"/>
      <c r="J24" s="4">
        <f>+'9A-Non-MISO ATRR'!I138</f>
        <v>1554560.4228612785</v>
      </c>
      <c r="K24" s="42"/>
      <c r="L24" s="2"/>
      <c r="M24" s="197"/>
      <c r="N24" s="197"/>
      <c r="O24" s="197"/>
      <c r="P24" s="177"/>
      <c r="Q24" s="198"/>
      <c r="R24" s="199"/>
      <c r="S24" s="200"/>
      <c r="T24" s="177"/>
      <c r="U24" s="175"/>
    </row>
    <row r="25" spans="1:21">
      <c r="A25" s="196" t="s">
        <v>460</v>
      </c>
      <c r="B25" s="2"/>
      <c r="C25" s="41" t="s">
        <v>461</v>
      </c>
      <c r="D25" s="41"/>
      <c r="E25" s="41"/>
      <c r="F25" s="41"/>
      <c r="G25" s="195" t="s">
        <v>462</v>
      </c>
      <c r="I25" s="196"/>
      <c r="J25" s="4">
        <f>+'9A-Non-MISO ATRR'!I122</f>
        <v>1078708.0078684578</v>
      </c>
      <c r="K25" s="42"/>
      <c r="L25" s="2"/>
      <c r="M25" s="197"/>
      <c r="N25" s="197"/>
      <c r="O25" s="197"/>
      <c r="P25" s="177"/>
      <c r="Q25" s="198"/>
      <c r="R25" s="199"/>
      <c r="S25" s="200"/>
      <c r="T25" s="177"/>
      <c r="U25" s="175"/>
    </row>
    <row r="26" spans="1:21" ht="25.5">
      <c r="A26" s="196" t="s">
        <v>463</v>
      </c>
      <c r="B26" s="2"/>
      <c r="C26" s="69" t="s">
        <v>464</v>
      </c>
      <c r="D26" s="41"/>
      <c r="E26" s="41"/>
      <c r="F26" s="41"/>
      <c r="G26" s="195" t="s">
        <v>465</v>
      </c>
      <c r="I26" s="196"/>
      <c r="J26" s="4">
        <f>+'9A-Non-MISO ATRR'!I123</f>
        <v>260164.77393726356</v>
      </c>
      <c r="K26" s="42"/>
      <c r="L26" s="2"/>
      <c r="M26" s="177"/>
      <c r="N26" s="177"/>
      <c r="O26" s="177"/>
      <c r="P26" s="177"/>
      <c r="Q26" s="198"/>
      <c r="R26" s="199"/>
      <c r="S26" s="200"/>
      <c r="T26" s="177"/>
      <c r="U26" s="175"/>
    </row>
    <row r="27" spans="1:21">
      <c r="A27" s="196" t="s">
        <v>466</v>
      </c>
      <c r="B27" s="2"/>
      <c r="C27" s="41" t="s">
        <v>467</v>
      </c>
      <c r="D27" s="41"/>
      <c r="E27" s="41"/>
      <c r="F27" s="41"/>
      <c r="G27" s="195" t="s">
        <v>468</v>
      </c>
      <c r="I27" s="196"/>
      <c r="J27" s="4">
        <f>+'9A-Non-MISO ATRR'!I125</f>
        <v>0</v>
      </c>
      <c r="K27" s="201"/>
      <c r="L27" s="2"/>
      <c r="P27" s="177"/>
      <c r="Q27" s="198"/>
      <c r="R27" s="199"/>
      <c r="S27" s="200"/>
      <c r="T27" s="177"/>
      <c r="U27" s="175"/>
    </row>
    <row r="28" spans="1:21">
      <c r="A28" s="196" t="s">
        <v>469</v>
      </c>
      <c r="B28" s="2"/>
      <c r="C28" s="175" t="s">
        <v>470</v>
      </c>
      <c r="D28" s="41"/>
      <c r="E28" s="41"/>
      <c r="F28" s="41"/>
      <c r="G28" s="195" t="s">
        <v>471</v>
      </c>
      <c r="I28" s="196"/>
      <c r="J28" s="194">
        <f>+'9A-Non-MISO ATRR'!I135</f>
        <v>0</v>
      </c>
      <c r="K28" s="201"/>
      <c r="L28" s="2"/>
      <c r="P28" s="177"/>
      <c r="Q28" s="198"/>
      <c r="R28" s="199"/>
      <c r="S28" s="200"/>
      <c r="T28" s="177"/>
      <c r="U28" s="175"/>
    </row>
    <row r="29" spans="1:21">
      <c r="A29" s="196" t="s">
        <v>472</v>
      </c>
      <c r="B29" s="2"/>
      <c r="C29" s="41" t="s">
        <v>473</v>
      </c>
      <c r="D29" s="41"/>
      <c r="E29" s="41"/>
      <c r="F29" s="41"/>
      <c r="G29" s="195" t="s">
        <v>474</v>
      </c>
      <c r="I29" s="196"/>
      <c r="J29" s="4">
        <f>J25-(J26+J27)-J28</f>
        <v>818543.23393119429</v>
      </c>
      <c r="K29" s="42"/>
      <c r="L29" s="2"/>
      <c r="M29" s="197"/>
      <c r="N29" s="197"/>
      <c r="O29" s="197"/>
      <c r="P29" s="177"/>
      <c r="Q29" s="198"/>
      <c r="R29" s="199"/>
      <c r="S29" s="200"/>
      <c r="T29" s="177"/>
      <c r="U29" s="175"/>
    </row>
    <row r="30" spans="1:21">
      <c r="A30" s="196"/>
      <c r="B30" s="2"/>
      <c r="C30" s="41"/>
      <c r="D30" s="41"/>
      <c r="E30" s="41"/>
      <c r="F30" s="41"/>
      <c r="G30" s="195"/>
      <c r="I30" s="196"/>
      <c r="J30" s="42"/>
      <c r="K30" s="42"/>
      <c r="L30" s="2"/>
      <c r="M30" s="197"/>
      <c r="N30" s="197"/>
      <c r="O30" s="197"/>
      <c r="P30" s="177"/>
      <c r="Q30" s="198"/>
      <c r="R30" s="199"/>
      <c r="S30" s="200"/>
      <c r="T30" s="177"/>
      <c r="U30" s="175"/>
    </row>
    <row r="31" spans="1:21">
      <c r="A31" s="196">
        <v>4</v>
      </c>
      <c r="B31" s="2"/>
      <c r="C31" s="190" t="s">
        <v>475</v>
      </c>
      <c r="D31" s="190"/>
      <c r="E31" s="190"/>
      <c r="F31" s="190"/>
      <c r="G31" s="195" t="s">
        <v>476</v>
      </c>
      <c r="I31" s="196"/>
      <c r="J31" s="202">
        <f>IF(J18=0,0,J29/J18)</f>
        <v>0.15790292234127104</v>
      </c>
      <c r="K31" s="202"/>
      <c r="L31" s="202">
        <f>J31</f>
        <v>0.15790292234127104</v>
      </c>
      <c r="M31" s="177"/>
      <c r="N31" s="177"/>
      <c r="O31" s="177"/>
      <c r="P31" s="177"/>
      <c r="Q31" s="177"/>
      <c r="R31" s="177"/>
      <c r="S31" s="177"/>
      <c r="T31" s="177"/>
      <c r="U31" s="175"/>
    </row>
    <row r="32" spans="1:21">
      <c r="A32" s="196"/>
      <c r="B32" s="2"/>
      <c r="C32" s="41"/>
      <c r="D32" s="41"/>
      <c r="E32" s="41"/>
      <c r="F32" s="41"/>
      <c r="G32" s="195"/>
      <c r="I32" s="196"/>
      <c r="J32" s="22"/>
      <c r="K32" s="22"/>
      <c r="L32" s="22"/>
      <c r="P32" s="177"/>
      <c r="Q32" s="189"/>
      <c r="R32" s="177"/>
      <c r="S32" s="192"/>
      <c r="T32" s="185"/>
      <c r="U32" s="175"/>
    </row>
    <row r="33" spans="1:21">
      <c r="A33" s="196"/>
      <c r="B33" s="2"/>
      <c r="C33" s="41"/>
      <c r="D33" s="41"/>
      <c r="E33" s="41"/>
      <c r="F33" s="41"/>
      <c r="G33" s="195"/>
      <c r="I33" s="196"/>
      <c r="J33" s="22"/>
      <c r="K33" s="22"/>
      <c r="L33" s="22"/>
      <c r="M33" s="197"/>
      <c r="N33" s="197"/>
      <c r="O33" s="197"/>
      <c r="P33" s="177"/>
      <c r="Q33" s="198"/>
      <c r="R33" s="177"/>
      <c r="S33" s="200"/>
      <c r="T33" s="185"/>
      <c r="U33" s="175"/>
    </row>
    <row r="34" spans="1:21">
      <c r="A34" s="196"/>
      <c r="B34" s="2"/>
      <c r="C34" s="41" t="s">
        <v>477</v>
      </c>
      <c r="D34" s="41"/>
      <c r="E34" s="41"/>
      <c r="F34" s="41"/>
      <c r="G34" s="195"/>
      <c r="I34" s="196"/>
      <c r="J34" s="22"/>
      <c r="K34" s="22"/>
      <c r="L34" s="22"/>
      <c r="M34" s="177"/>
      <c r="N34" s="177"/>
      <c r="O34" s="177"/>
      <c r="P34" s="177"/>
      <c r="T34" s="177"/>
      <c r="U34" s="175"/>
    </row>
    <row r="35" spans="1:21">
      <c r="A35" s="196" t="s">
        <v>478</v>
      </c>
      <c r="B35" s="2"/>
      <c r="C35" s="41" t="s">
        <v>479</v>
      </c>
      <c r="D35" s="41"/>
      <c r="E35" s="41"/>
      <c r="F35" s="41"/>
      <c r="G35" s="195" t="s">
        <v>480</v>
      </c>
      <c r="I35" s="196"/>
      <c r="J35" s="22">
        <f>+J24-J29</f>
        <v>736017.18893008423</v>
      </c>
      <c r="K35" s="22"/>
      <c r="L35" s="22"/>
      <c r="M35" s="177"/>
      <c r="N35" s="177"/>
      <c r="O35" s="177"/>
      <c r="P35" s="177"/>
      <c r="T35" s="177"/>
      <c r="U35" s="175"/>
    </row>
    <row r="36" spans="1:21">
      <c r="A36" s="196" t="s">
        <v>481</v>
      </c>
      <c r="B36" s="2"/>
      <c r="C36" s="41" t="s">
        <v>482</v>
      </c>
      <c r="D36" s="41"/>
      <c r="E36" s="41"/>
      <c r="F36" s="41"/>
      <c r="G36" s="195" t="s">
        <v>483</v>
      </c>
      <c r="I36" s="196"/>
      <c r="J36" s="22">
        <f>IF(J18=0,0,J35/J18)</f>
        <v>0.14198305014055854</v>
      </c>
      <c r="K36" s="22"/>
      <c r="L36" s="22">
        <f>J36</f>
        <v>0.14198305014055854</v>
      </c>
      <c r="M36" s="177"/>
      <c r="N36" s="177"/>
      <c r="O36" s="177"/>
      <c r="P36" s="177"/>
      <c r="T36" s="177"/>
      <c r="U36" s="175"/>
    </row>
    <row r="37" spans="1:21">
      <c r="A37" s="196"/>
      <c r="B37" s="2"/>
      <c r="C37" s="41"/>
      <c r="D37" s="41"/>
      <c r="E37" s="41"/>
      <c r="F37" s="41"/>
      <c r="G37" s="195"/>
      <c r="I37" s="196"/>
      <c r="J37" s="22"/>
      <c r="K37" s="22"/>
      <c r="L37" s="22"/>
      <c r="M37" s="177"/>
      <c r="N37" s="177"/>
      <c r="O37" s="177"/>
      <c r="P37" s="177"/>
      <c r="T37" s="177"/>
      <c r="U37" s="175"/>
    </row>
    <row r="38" spans="1:21">
      <c r="A38" s="182"/>
      <c r="B38" s="2"/>
      <c r="C38" s="41" t="s">
        <v>484</v>
      </c>
      <c r="D38" s="41"/>
      <c r="E38" s="41"/>
      <c r="F38" s="41"/>
      <c r="G38" s="203"/>
      <c r="I38" s="15"/>
      <c r="J38" s="22"/>
      <c r="K38" s="22"/>
      <c r="L38" s="22"/>
      <c r="M38" s="204"/>
      <c r="N38" s="204"/>
      <c r="O38" s="204"/>
      <c r="P38" s="177"/>
      <c r="T38" s="177"/>
      <c r="U38" s="175"/>
    </row>
    <row r="39" spans="1:21">
      <c r="A39" s="182" t="s">
        <v>485</v>
      </c>
      <c r="B39" s="2"/>
      <c r="C39" s="41" t="s">
        <v>486</v>
      </c>
      <c r="D39" s="41"/>
      <c r="E39" s="41"/>
      <c r="F39" s="41"/>
      <c r="G39" s="195" t="s">
        <v>487</v>
      </c>
      <c r="I39" s="196"/>
      <c r="J39" s="22">
        <f>+'9A-Non-MISO ATRR'!I142+'9A-Non-MISO ATRR'!I143</f>
        <v>0</v>
      </c>
      <c r="K39" s="22"/>
      <c r="L39" s="22"/>
      <c r="M39" s="177"/>
      <c r="N39" s="177"/>
      <c r="O39" s="177"/>
      <c r="P39" s="177"/>
      <c r="Q39" s="177"/>
      <c r="R39" s="177"/>
      <c r="S39" s="205"/>
      <c r="T39" s="177"/>
      <c r="U39" s="175"/>
    </row>
    <row r="40" spans="1:21">
      <c r="A40" s="182" t="s">
        <v>488</v>
      </c>
      <c r="B40" s="2"/>
      <c r="C40" s="41" t="s">
        <v>489</v>
      </c>
      <c r="D40" s="41"/>
      <c r="E40" s="41"/>
      <c r="F40" s="41"/>
      <c r="G40" s="195" t="s">
        <v>490</v>
      </c>
      <c r="I40" s="196"/>
      <c r="J40" s="22">
        <f>IF(J18=0,0,J39/J18)</f>
        <v>0</v>
      </c>
      <c r="K40" s="22"/>
      <c r="L40" s="22">
        <f>J40</f>
        <v>0</v>
      </c>
      <c r="M40" s="177"/>
      <c r="N40" s="177"/>
      <c r="O40" s="177"/>
      <c r="P40" s="206"/>
      <c r="Q40" s="207"/>
      <c r="T40" s="185"/>
      <c r="U40" s="177" t="s">
        <v>9</v>
      </c>
    </row>
    <row r="41" spans="1:21">
      <c r="A41" s="196"/>
      <c r="B41" s="2"/>
      <c r="C41" s="41"/>
      <c r="D41" s="41"/>
      <c r="E41" s="41"/>
      <c r="F41" s="41"/>
      <c r="G41" s="195"/>
      <c r="I41" s="196"/>
      <c r="J41" s="22"/>
      <c r="K41" s="22"/>
      <c r="L41" s="22"/>
      <c r="M41" s="177"/>
      <c r="N41" s="177"/>
      <c r="O41" s="177"/>
      <c r="P41" s="206"/>
      <c r="Q41" s="207"/>
      <c r="T41" s="185"/>
      <c r="U41" s="177"/>
    </row>
    <row r="42" spans="1:21">
      <c r="A42" s="182"/>
      <c r="B42" s="2"/>
      <c r="C42" s="41" t="s">
        <v>491</v>
      </c>
      <c r="D42" s="41"/>
      <c r="E42" s="41"/>
      <c r="F42" s="41"/>
      <c r="G42" s="203"/>
      <c r="I42" s="15"/>
      <c r="J42" s="22"/>
      <c r="K42" s="22"/>
      <c r="L42" s="22"/>
      <c r="M42" s="197"/>
      <c r="N42" s="197"/>
      <c r="O42" s="197"/>
      <c r="P42" s="206"/>
      <c r="Q42" s="207"/>
      <c r="R42" s="177"/>
      <c r="S42" s="177"/>
      <c r="T42" s="185"/>
      <c r="U42" s="177"/>
    </row>
    <row r="43" spans="1:21">
      <c r="A43" s="182" t="s">
        <v>492</v>
      </c>
      <c r="B43" s="2"/>
      <c r="C43" s="41" t="s">
        <v>493</v>
      </c>
      <c r="D43" s="41"/>
      <c r="E43" s="41"/>
      <c r="F43" s="41"/>
      <c r="G43" s="195" t="s">
        <v>494</v>
      </c>
      <c r="I43" s="196"/>
      <c r="J43" s="22">
        <f>+'9A-Non-MISO ATRR'!I156</f>
        <v>682.8485754992704</v>
      </c>
      <c r="K43" s="22"/>
      <c r="L43" s="22"/>
      <c r="M43" s="177"/>
      <c r="N43" s="177"/>
      <c r="O43" s="177"/>
      <c r="P43" s="177"/>
      <c r="R43" s="175"/>
      <c r="S43" s="177"/>
      <c r="T43" s="175"/>
      <c r="U43" s="175"/>
    </row>
    <row r="44" spans="1:21">
      <c r="A44" s="182" t="s">
        <v>495</v>
      </c>
      <c r="B44" s="2"/>
      <c r="C44" s="41" t="s">
        <v>496</v>
      </c>
      <c r="D44" s="41"/>
      <c r="E44" s="41"/>
      <c r="F44" s="41"/>
      <c r="G44" s="195" t="s">
        <v>497</v>
      </c>
      <c r="I44" s="196"/>
      <c r="J44" s="22">
        <f>IF(J18=0,0,J43/J18)</f>
        <v>1.3172643926218365E-4</v>
      </c>
      <c r="K44" s="22"/>
      <c r="L44" s="22">
        <f>J44</f>
        <v>1.3172643926218365E-4</v>
      </c>
      <c r="P44" s="177"/>
      <c r="R44" s="177"/>
      <c r="S44" s="177"/>
      <c r="T44" s="177"/>
      <c r="U44" s="175"/>
    </row>
    <row r="45" spans="1:21">
      <c r="A45" s="182"/>
      <c r="B45" s="2"/>
      <c r="C45" s="41"/>
      <c r="D45" s="41"/>
      <c r="E45" s="41"/>
      <c r="F45" s="41"/>
      <c r="G45" s="195"/>
      <c r="I45" s="196"/>
      <c r="J45" s="22"/>
      <c r="K45" s="22"/>
      <c r="L45" s="22"/>
      <c r="M45" s="177"/>
      <c r="N45" s="177"/>
      <c r="O45" s="177"/>
      <c r="P45" s="177"/>
      <c r="R45" s="177"/>
      <c r="S45" s="177"/>
      <c r="T45" s="177"/>
      <c r="U45" s="175"/>
    </row>
    <row r="46" spans="1:21">
      <c r="A46" s="208" t="s">
        <v>498</v>
      </c>
      <c r="B46" s="95"/>
      <c r="C46" s="190" t="s">
        <v>499</v>
      </c>
      <c r="D46" s="190"/>
      <c r="E46" s="190"/>
      <c r="F46" s="190"/>
      <c r="G46" s="209" t="s">
        <v>500</v>
      </c>
      <c r="I46" s="184"/>
      <c r="J46" s="202">
        <f>J36+J40+J44</f>
        <v>0.14211477657982072</v>
      </c>
      <c r="K46" s="202"/>
      <c r="L46" s="202">
        <f>L36+L40+L44</f>
        <v>0.14211477657982072</v>
      </c>
      <c r="M46" s="197"/>
      <c r="N46" s="197"/>
      <c r="O46" s="197"/>
      <c r="P46" s="177"/>
      <c r="S46" s="210"/>
      <c r="T46" s="185"/>
      <c r="U46" s="177"/>
    </row>
    <row r="47" spans="1:21">
      <c r="A47" s="182"/>
      <c r="B47" s="2"/>
      <c r="C47" s="41"/>
      <c r="D47" s="41"/>
      <c r="E47" s="41"/>
      <c r="F47" s="41"/>
      <c r="G47" s="195"/>
      <c r="I47" s="196"/>
      <c r="J47" s="22"/>
      <c r="K47" s="22"/>
      <c r="L47" s="22"/>
      <c r="M47" s="177"/>
      <c r="N47" s="177"/>
      <c r="O47" s="177"/>
      <c r="P47" s="177"/>
      <c r="Q47" s="211"/>
      <c r="R47" s="177"/>
      <c r="S47" s="177"/>
      <c r="T47" s="177"/>
      <c r="U47" s="175"/>
    </row>
    <row r="48" spans="1:21">
      <c r="A48" s="182"/>
      <c r="B48" s="33"/>
      <c r="C48" s="42" t="s">
        <v>501</v>
      </c>
      <c r="D48" s="42"/>
      <c r="E48" s="42"/>
      <c r="F48" s="42"/>
      <c r="G48" s="195"/>
      <c r="I48" s="196"/>
      <c r="J48" s="22"/>
      <c r="K48" s="22"/>
      <c r="L48" s="22"/>
      <c r="M48" s="204"/>
      <c r="N48" s="204"/>
      <c r="O48" s="204"/>
      <c r="P48" s="177"/>
      <c r="Q48" s="211"/>
      <c r="R48" s="177"/>
      <c r="S48" s="177"/>
      <c r="T48" s="177"/>
      <c r="U48" s="175"/>
    </row>
    <row r="49" spans="1:23">
      <c r="A49" s="182" t="s">
        <v>502</v>
      </c>
      <c r="B49" s="33"/>
      <c r="C49" s="42" t="s">
        <v>503</v>
      </c>
      <c r="D49" s="42"/>
      <c r="E49" s="42"/>
      <c r="F49" s="42"/>
      <c r="G49" s="195" t="s">
        <v>504</v>
      </c>
      <c r="I49" s="196"/>
      <c r="J49" s="22">
        <f>+'9A-Non-MISO ATRR'!I171</f>
        <v>45060.049697622635</v>
      </c>
      <c r="K49" s="22"/>
      <c r="L49" s="22"/>
      <c r="P49" s="212"/>
      <c r="Q49" s="212"/>
      <c r="R49" s="177"/>
      <c r="S49" s="177"/>
      <c r="T49" s="177"/>
      <c r="U49" s="175"/>
    </row>
    <row r="50" spans="1:23">
      <c r="A50" s="182" t="s">
        <v>505</v>
      </c>
      <c r="B50" s="33"/>
      <c r="C50" s="42" t="s">
        <v>506</v>
      </c>
      <c r="D50" s="42"/>
      <c r="E50" s="42"/>
      <c r="F50" s="42"/>
      <c r="G50" s="195" t="s">
        <v>507</v>
      </c>
      <c r="I50" s="196"/>
      <c r="J50" s="22">
        <f>IF(J21=0,0,J49/J21)</f>
        <v>1.6905585374022484E-2</v>
      </c>
      <c r="K50" s="22"/>
      <c r="L50" s="22">
        <f>J50</f>
        <v>1.6905585374022484E-2</v>
      </c>
      <c r="P50" s="212"/>
      <c r="Q50" s="212"/>
      <c r="R50" s="177"/>
      <c r="S50" s="177"/>
      <c r="T50" s="177"/>
      <c r="U50" s="175"/>
    </row>
    <row r="51" spans="1:23">
      <c r="A51" s="182"/>
      <c r="B51" s="2"/>
      <c r="C51" s="42"/>
      <c r="D51" s="42"/>
      <c r="E51" s="42"/>
      <c r="F51" s="42"/>
      <c r="G51" s="195"/>
      <c r="I51" s="196"/>
      <c r="J51" s="22"/>
      <c r="K51" s="22"/>
      <c r="L51" s="22"/>
      <c r="P51" s="212"/>
      <c r="Q51" s="212"/>
      <c r="R51" s="177"/>
      <c r="S51" s="177"/>
      <c r="T51" s="177"/>
      <c r="U51" s="175"/>
    </row>
    <row r="52" spans="1:23">
      <c r="A52" s="182"/>
      <c r="B52" s="2"/>
      <c r="C52" s="41" t="s">
        <v>249</v>
      </c>
      <c r="D52" s="41"/>
      <c r="E52" s="41"/>
      <c r="F52" s="41"/>
      <c r="G52" s="213"/>
      <c r="I52" s="214"/>
      <c r="J52" s="22"/>
      <c r="K52" s="22"/>
      <c r="L52" s="22"/>
      <c r="P52" s="212"/>
      <c r="Q52" s="212"/>
      <c r="R52" s="177"/>
      <c r="S52" s="177"/>
      <c r="T52" s="177"/>
      <c r="U52" s="175"/>
    </row>
    <row r="53" spans="1:23">
      <c r="A53" s="182" t="s">
        <v>508</v>
      </c>
      <c r="B53" s="2"/>
      <c r="C53" s="41" t="s">
        <v>509</v>
      </c>
      <c r="D53" s="41"/>
      <c r="E53" s="41"/>
      <c r="F53" s="41"/>
      <c r="G53" s="195" t="s">
        <v>510</v>
      </c>
      <c r="I53" s="196"/>
      <c r="J53" s="22">
        <f>+'9A-Non-MISO ATRR'!I174</f>
        <v>224230.66410186328</v>
      </c>
      <c r="K53" s="22"/>
      <c r="L53" s="22"/>
      <c r="P53" s="212"/>
      <c r="Q53" s="212"/>
      <c r="R53" s="177"/>
      <c r="S53" s="177"/>
      <c r="T53" s="177"/>
      <c r="U53" s="175"/>
    </row>
    <row r="54" spans="1:23">
      <c r="A54" s="182" t="s">
        <v>511</v>
      </c>
      <c r="B54" s="33"/>
      <c r="C54" s="42" t="s">
        <v>512</v>
      </c>
      <c r="D54" s="42"/>
      <c r="E54" s="42"/>
      <c r="F54" s="42"/>
      <c r="G54" s="195" t="s">
        <v>513</v>
      </c>
      <c r="I54" s="196"/>
      <c r="J54" s="22">
        <f>IF(J21=0,0,J53/J21)</f>
        <v>8.4126641246199244E-2</v>
      </c>
      <c r="K54" s="22"/>
      <c r="L54" s="22">
        <f>J54</f>
        <v>8.4126641246199244E-2</v>
      </c>
      <c r="P54" s="212"/>
      <c r="Q54" s="212"/>
      <c r="R54" s="177"/>
      <c r="S54" s="177"/>
      <c r="T54" s="177"/>
      <c r="U54" s="175"/>
    </row>
    <row r="55" spans="1:23">
      <c r="A55" s="182"/>
      <c r="B55" s="2"/>
      <c r="C55" s="41"/>
      <c r="D55" s="41"/>
      <c r="E55" s="41"/>
      <c r="F55" s="41"/>
      <c r="G55" s="195"/>
      <c r="I55" s="196"/>
      <c r="J55" s="22"/>
      <c r="K55" s="22"/>
      <c r="L55" s="22"/>
      <c r="P55" s="212"/>
      <c r="Q55" s="212"/>
      <c r="R55" s="177"/>
      <c r="S55" s="177"/>
      <c r="T55" s="177"/>
      <c r="U55" s="175"/>
    </row>
    <row r="56" spans="1:23">
      <c r="A56" s="208" t="s">
        <v>514</v>
      </c>
      <c r="B56" s="95"/>
      <c r="C56" s="190" t="s">
        <v>515</v>
      </c>
      <c r="D56" s="190"/>
      <c r="E56" s="190"/>
      <c r="F56" s="190"/>
      <c r="G56" s="209" t="s">
        <v>516</v>
      </c>
      <c r="I56" s="184"/>
      <c r="J56" s="202"/>
      <c r="K56" s="202"/>
      <c r="L56" s="202">
        <f>L50+L54</f>
        <v>0.10103222662022172</v>
      </c>
      <c r="P56" s="212"/>
      <c r="Q56" s="212"/>
      <c r="R56" s="177"/>
      <c r="S56" s="177"/>
      <c r="T56" s="177"/>
      <c r="U56" s="175"/>
    </row>
    <row r="57" spans="1:23">
      <c r="J57" s="22"/>
      <c r="K57" s="22"/>
      <c r="L57" s="22"/>
      <c r="P57" s="212"/>
      <c r="Q57" s="212"/>
      <c r="R57" s="177"/>
      <c r="S57" s="177"/>
      <c r="T57" s="177"/>
      <c r="U57" s="175"/>
    </row>
    <row r="58" spans="1:23">
      <c r="J58" s="22"/>
      <c r="K58" s="22"/>
      <c r="L58" s="22"/>
      <c r="P58" s="212"/>
      <c r="Q58" s="212"/>
      <c r="R58" s="177"/>
      <c r="S58" s="177"/>
      <c r="T58" s="177"/>
      <c r="U58" s="175"/>
    </row>
    <row r="59" spans="1:23">
      <c r="A59" s="215"/>
      <c r="C59" s="183"/>
      <c r="D59" s="183"/>
      <c r="E59" s="216"/>
      <c r="F59" s="216"/>
      <c r="G59" s="177"/>
      <c r="J59" s="217"/>
      <c r="P59" s="177"/>
      <c r="Q59" s="198"/>
      <c r="R59" s="174"/>
      <c r="S59" s="177"/>
      <c r="T59" s="192"/>
      <c r="U59" s="177"/>
    </row>
    <row r="60" spans="1:23">
      <c r="A60" s="172"/>
      <c r="G60" s="177"/>
      <c r="P60" s="177"/>
      <c r="Q60" s="177"/>
      <c r="R60" s="177"/>
      <c r="S60" s="177"/>
      <c r="T60" s="185"/>
      <c r="U60" s="177" t="s">
        <v>9</v>
      </c>
    </row>
    <row r="61" spans="1:23">
      <c r="Q61" s="171"/>
    </row>
    <row r="62" spans="1:23">
      <c r="L62" s="170" t="s">
        <v>517</v>
      </c>
      <c r="Q62" s="171"/>
      <c r="W62" s="170" t="s">
        <v>518</v>
      </c>
    </row>
    <row r="63" spans="1:23">
      <c r="F63" s="216" t="str">
        <f>E4</f>
        <v>Attachment 9B (Note J)</v>
      </c>
      <c r="Q63" s="216" t="str">
        <f t="shared" ref="Q63:Q65" si="0">F63</f>
        <v>Attachment 9B (Note J)</v>
      </c>
    </row>
    <row r="64" spans="1:23">
      <c r="A64" s="172"/>
      <c r="F64" s="216" t="str">
        <f>E5</f>
        <v>Non-MISO Project Revenue Requirement Worksheet</v>
      </c>
      <c r="G64" s="177"/>
      <c r="H64" s="216"/>
      <c r="P64" s="177"/>
      <c r="Q64" s="216" t="str">
        <f t="shared" si="0"/>
        <v>Non-MISO Project Revenue Requirement Worksheet</v>
      </c>
      <c r="R64" s="177"/>
      <c r="S64" s="175"/>
      <c r="T64" s="177"/>
      <c r="U64" s="175"/>
    </row>
    <row r="65" spans="1:23">
      <c r="A65" s="172"/>
      <c r="D65" s="175"/>
      <c r="F65" s="185" t="str">
        <f>E6</f>
        <v>GridLiance Heartland LLC</v>
      </c>
      <c r="P65" s="177"/>
      <c r="Q65" s="216" t="str">
        <f t="shared" si="0"/>
        <v>GridLiance Heartland LLC</v>
      </c>
      <c r="R65" s="177"/>
      <c r="S65" s="175"/>
      <c r="T65" s="177"/>
      <c r="U65" s="175"/>
    </row>
    <row r="66" spans="1:23">
      <c r="A66" s="172"/>
      <c r="C66" s="175"/>
      <c r="D66" s="175"/>
      <c r="M66" s="177"/>
      <c r="N66" s="177"/>
      <c r="O66" s="177"/>
      <c r="P66" s="177"/>
      <c r="R66" s="177"/>
      <c r="S66" s="175"/>
      <c r="T66" s="177"/>
      <c r="U66" s="175"/>
    </row>
    <row r="67" spans="1:23" ht="14.25" customHeight="1">
      <c r="A67" s="172"/>
      <c r="P67" s="177"/>
      <c r="R67" s="177"/>
      <c r="S67" s="175"/>
      <c r="T67" s="177"/>
      <c r="U67" s="175"/>
    </row>
    <row r="68" spans="1:23">
      <c r="A68" s="172"/>
      <c r="H68" s="216"/>
      <c r="P68" s="177"/>
      <c r="Q68" s="177"/>
      <c r="R68" s="177"/>
      <c r="S68" s="175"/>
      <c r="T68" s="177"/>
      <c r="U68" s="688"/>
    </row>
    <row r="69" spans="1:23">
      <c r="A69" s="172"/>
      <c r="E69" s="175"/>
      <c r="F69" s="175"/>
      <c r="G69" s="175"/>
      <c r="H69" s="175"/>
      <c r="I69" s="175"/>
      <c r="J69" s="175"/>
      <c r="K69" s="175"/>
      <c r="L69" s="175"/>
      <c r="M69" s="175"/>
      <c r="N69" s="175"/>
      <c r="O69" s="175"/>
      <c r="P69" s="175"/>
      <c r="Q69" s="175"/>
      <c r="R69" s="177"/>
      <c r="S69" s="175"/>
      <c r="T69" s="177"/>
      <c r="U69" s="687"/>
    </row>
    <row r="70" spans="1:23">
      <c r="A70" s="172"/>
      <c r="E70" s="218"/>
      <c r="F70" s="218"/>
      <c r="H70" s="175"/>
      <c r="I70" s="175"/>
      <c r="J70" s="175"/>
      <c r="K70" s="175"/>
      <c r="L70" s="175"/>
      <c r="M70" s="175"/>
      <c r="N70" s="175"/>
      <c r="O70" s="175"/>
      <c r="P70" s="177"/>
      <c r="Q70" s="177"/>
      <c r="R70" s="177"/>
      <c r="S70" s="175"/>
      <c r="T70" s="177"/>
      <c r="U70" s="688"/>
    </row>
    <row r="71" spans="1:23" s="219" customFormat="1">
      <c r="A71" s="172"/>
      <c r="B71" s="170"/>
      <c r="C71" s="170"/>
      <c r="D71" s="170"/>
      <c r="E71" s="218"/>
      <c r="F71" s="218"/>
      <c r="G71" s="170"/>
      <c r="H71" s="175"/>
      <c r="I71" s="175"/>
      <c r="J71" s="175"/>
      <c r="K71" s="175"/>
      <c r="L71" s="175"/>
      <c r="M71" s="175"/>
      <c r="N71" s="175"/>
      <c r="O71" s="175"/>
      <c r="P71" s="177"/>
      <c r="Q71" s="177"/>
      <c r="R71" s="177"/>
      <c r="S71" s="175"/>
      <c r="T71" s="177"/>
      <c r="U71" s="175"/>
      <c r="V71" s="170"/>
      <c r="W71" s="170"/>
    </row>
    <row r="72" spans="1:23" s="219" customFormat="1">
      <c r="A72" s="172"/>
      <c r="B72" s="170"/>
      <c r="C72" s="220">
        <v>-1</v>
      </c>
      <c r="D72" s="220">
        <v>-2</v>
      </c>
      <c r="E72" s="220">
        <v>-3</v>
      </c>
      <c r="F72" s="220">
        <v>-4</v>
      </c>
      <c r="G72" s="220">
        <v>-5</v>
      </c>
      <c r="H72" s="220">
        <v>-6</v>
      </c>
      <c r="I72" s="220">
        <v>-7</v>
      </c>
      <c r="J72" s="220">
        <v>-8</v>
      </c>
      <c r="K72" s="220">
        <v>-9</v>
      </c>
      <c r="L72" s="220">
        <v>-10</v>
      </c>
      <c r="M72" s="220">
        <v>-11</v>
      </c>
      <c r="N72" s="220">
        <v>-12</v>
      </c>
      <c r="O72" s="220">
        <v>-13</v>
      </c>
      <c r="P72" s="221" t="s">
        <v>519</v>
      </c>
      <c r="Q72" s="221" t="s">
        <v>520</v>
      </c>
      <c r="R72" s="221" t="s">
        <v>521</v>
      </c>
      <c r="S72" s="221" t="s">
        <v>522</v>
      </c>
      <c r="T72" s="221" t="s">
        <v>523</v>
      </c>
      <c r="U72" s="221" t="s">
        <v>524</v>
      </c>
      <c r="V72" s="221" t="s">
        <v>525</v>
      </c>
      <c r="W72" s="221" t="s">
        <v>526</v>
      </c>
    </row>
    <row r="73" spans="1:23" s="219" customFormat="1" ht="67.5" customHeight="1">
      <c r="A73" s="222" t="s">
        <v>527</v>
      </c>
      <c r="B73" s="223"/>
      <c r="C73" s="223" t="s">
        <v>528</v>
      </c>
      <c r="D73" s="224" t="s">
        <v>529</v>
      </c>
      <c r="E73" s="225" t="s">
        <v>530</v>
      </c>
      <c r="F73" s="224" t="s">
        <v>531</v>
      </c>
      <c r="G73" s="226" t="s">
        <v>532</v>
      </c>
      <c r="H73" s="227" t="s">
        <v>533</v>
      </c>
      <c r="I73" s="227" t="s">
        <v>499</v>
      </c>
      <c r="J73" s="228" t="s">
        <v>534</v>
      </c>
      <c r="K73" s="229" t="s">
        <v>535</v>
      </c>
      <c r="L73" s="230" t="s">
        <v>536</v>
      </c>
      <c r="M73" s="230" t="s">
        <v>515</v>
      </c>
      <c r="N73" s="229" t="s">
        <v>537</v>
      </c>
      <c r="O73" s="230" t="s">
        <v>538</v>
      </c>
      <c r="P73" s="231" t="s">
        <v>539</v>
      </c>
      <c r="Q73" s="231" t="s">
        <v>540</v>
      </c>
      <c r="R73" s="231" t="s">
        <v>541</v>
      </c>
      <c r="S73" s="231" t="s">
        <v>542</v>
      </c>
      <c r="T73" s="231" t="s">
        <v>543</v>
      </c>
      <c r="U73" s="231" t="s">
        <v>544</v>
      </c>
      <c r="V73" s="231" t="s">
        <v>545</v>
      </c>
      <c r="W73" s="231" t="s">
        <v>546</v>
      </c>
    </row>
    <row r="74" spans="1:23" s="219" customFormat="1" ht="38.25">
      <c r="A74" s="232">
        <v>15</v>
      </c>
      <c r="B74" s="233"/>
      <c r="C74" s="234"/>
      <c r="D74" s="234"/>
      <c r="E74" s="235" t="s">
        <v>49</v>
      </c>
      <c r="F74" s="236"/>
      <c r="G74" s="235" t="s">
        <v>547</v>
      </c>
      <c r="H74" s="236" t="s">
        <v>548</v>
      </c>
      <c r="I74" s="236" t="s">
        <v>549</v>
      </c>
      <c r="J74" s="237" t="s">
        <v>550</v>
      </c>
      <c r="K74" s="238" t="s">
        <v>551</v>
      </c>
      <c r="L74" s="235" t="s">
        <v>51</v>
      </c>
      <c r="M74" s="235" t="s">
        <v>552</v>
      </c>
      <c r="N74" s="238" t="s">
        <v>553</v>
      </c>
      <c r="O74" s="235" t="s">
        <v>554</v>
      </c>
      <c r="P74" s="238" t="s">
        <v>555</v>
      </c>
      <c r="Q74" s="235" t="s">
        <v>556</v>
      </c>
      <c r="R74" s="239" t="s">
        <v>557</v>
      </c>
      <c r="S74" s="240" t="s">
        <v>558</v>
      </c>
      <c r="T74" s="238" t="s">
        <v>559</v>
      </c>
      <c r="U74" s="240" t="s">
        <v>560</v>
      </c>
      <c r="V74" s="241" t="s">
        <v>561</v>
      </c>
      <c r="W74" s="240" t="s">
        <v>562</v>
      </c>
    </row>
    <row r="75" spans="1:23" s="219" customFormat="1">
      <c r="A75" s="242"/>
      <c r="B75" s="243"/>
      <c r="C75" s="243"/>
      <c r="D75" s="243"/>
      <c r="E75" s="243"/>
      <c r="F75" s="244"/>
      <c r="G75" s="243"/>
      <c r="H75" s="244"/>
      <c r="I75" s="244"/>
      <c r="J75" s="244"/>
      <c r="K75" s="245"/>
      <c r="L75" s="243"/>
      <c r="M75" s="243"/>
      <c r="N75" s="245"/>
      <c r="O75" s="243"/>
      <c r="P75" s="245"/>
      <c r="Q75" s="245"/>
      <c r="R75" s="243"/>
      <c r="S75" s="245"/>
      <c r="T75" s="245"/>
      <c r="U75" s="245"/>
      <c r="V75" s="246"/>
      <c r="W75" s="247"/>
    </row>
    <row r="76" spans="1:23" s="219" customFormat="1">
      <c r="A76" s="670" t="s">
        <v>563</v>
      </c>
      <c r="B76" s="248"/>
      <c r="C76" s="29" t="s">
        <v>564</v>
      </c>
      <c r="D76" s="29">
        <v>0</v>
      </c>
      <c r="E76" s="75">
        <f>'9A-Non-MISO ATRR'!I70</f>
        <v>5183838.4102993384</v>
      </c>
      <c r="F76" s="75">
        <f>'9A-Non-MISO ATRR'!I78</f>
        <v>2518444.1810724135</v>
      </c>
      <c r="G76" s="22">
        <f>+L31</f>
        <v>0.15790292234127104</v>
      </c>
      <c r="H76" s="4">
        <f t="shared" ref="H76:H94" si="1">+G76*E76</f>
        <v>818543.23393119441</v>
      </c>
      <c r="I76" s="22">
        <f>+L46</f>
        <v>0.14211477657982072</v>
      </c>
      <c r="J76" s="4">
        <f>+E76*I76</f>
        <v>736700.03750558349</v>
      </c>
      <c r="K76" s="249">
        <f>+H76+J76</f>
        <v>1555243.2714367779</v>
      </c>
      <c r="L76" s="92">
        <f>+E76-F76</f>
        <v>2665394.2292269249</v>
      </c>
      <c r="M76" s="22">
        <f>IF(L76&gt;0,$L$56,0)</f>
        <v>0.10103222662022172</v>
      </c>
      <c r="N76" s="249">
        <f>L76*M76</f>
        <v>269290.71379948588</v>
      </c>
      <c r="O76" s="75">
        <f>'9A-Non-MISO ATRR'!I145</f>
        <v>98209.894019386644</v>
      </c>
      <c r="P76" s="249">
        <f>K76+N76+O76</f>
        <v>1922743.8792556506</v>
      </c>
      <c r="Q76" s="250">
        <v>0</v>
      </c>
      <c r="R76" s="22">
        <f>'2-Incentive ROE'!K$40*'9B-Non-MISO Project Rev Req'!Q76/100*'9B-Non-MISO Project Rev Req'!L76</f>
        <v>0</v>
      </c>
      <c r="S76" s="249">
        <f>+P76+R76</f>
        <v>1922743.8792556506</v>
      </c>
      <c r="T76" s="251">
        <f>(2600*500)-S76-216667</f>
        <v>-839410.87925565057</v>
      </c>
      <c r="U76" s="249">
        <f>+S76+T76</f>
        <v>1083333</v>
      </c>
      <c r="V76" s="92">
        <v>0</v>
      </c>
      <c r="W76" s="249">
        <f>+U76+V76</f>
        <v>1083333</v>
      </c>
    </row>
    <row r="77" spans="1:23" s="219" customFormat="1">
      <c r="A77" s="252" t="s">
        <v>565</v>
      </c>
      <c r="B77" s="248"/>
      <c r="C77" s="29">
        <v>0</v>
      </c>
      <c r="D77" s="29">
        <v>0</v>
      </c>
      <c r="E77" s="92">
        <v>0</v>
      </c>
      <c r="F77" s="75">
        <v>0</v>
      </c>
      <c r="G77" s="22">
        <f>+G76</f>
        <v>0.15790292234127104</v>
      </c>
      <c r="H77" s="4">
        <f t="shared" si="1"/>
        <v>0</v>
      </c>
      <c r="I77" s="22">
        <f>+I76</f>
        <v>0.14211477657982072</v>
      </c>
      <c r="J77" s="4">
        <f>+I77*E77</f>
        <v>0</v>
      </c>
      <c r="K77" s="249">
        <f t="shared" ref="K77:K94" si="2">+H77+J77</f>
        <v>0</v>
      </c>
      <c r="L77" s="92">
        <f>+E77-F77</f>
        <v>0</v>
      </c>
      <c r="M77" s="22">
        <f>IF(L77&gt;0,$L$56,0)</f>
        <v>0</v>
      </c>
      <c r="N77" s="249">
        <f t="shared" ref="N77:N94" si="3">L77*M77</f>
        <v>0</v>
      </c>
      <c r="O77" s="92">
        <v>0</v>
      </c>
      <c r="P77" s="249">
        <f t="shared" ref="P77:P94" si="4">K77+N77+O77</f>
        <v>0</v>
      </c>
      <c r="Q77" s="250">
        <v>0</v>
      </c>
      <c r="R77" s="22">
        <f>'2-Incentive ROE'!K$40*'9B-Non-MISO Project Rev Req'!Q77/100*'9B-Non-MISO Project Rev Req'!L77</f>
        <v>0</v>
      </c>
      <c r="S77" s="249">
        <f t="shared" ref="S77:S94" si="5">+P77+R77</f>
        <v>0</v>
      </c>
      <c r="T77" s="251">
        <v>0</v>
      </c>
      <c r="U77" s="249">
        <f t="shared" ref="U77:U94" si="6">+S77+T77</f>
        <v>0</v>
      </c>
      <c r="V77" s="92">
        <v>0</v>
      </c>
      <c r="W77" s="249">
        <f>+U77+V77</f>
        <v>0</v>
      </c>
    </row>
    <row r="78" spans="1:23" s="219" customFormat="1">
      <c r="A78" s="252" t="s">
        <v>566</v>
      </c>
      <c r="B78" s="248"/>
      <c r="C78" s="29">
        <v>0</v>
      </c>
      <c r="D78" s="29">
        <v>0</v>
      </c>
      <c r="E78" s="92">
        <v>0</v>
      </c>
      <c r="F78" s="75">
        <v>0</v>
      </c>
      <c r="G78" s="22">
        <f>+G77</f>
        <v>0.15790292234127104</v>
      </c>
      <c r="H78" s="4">
        <f t="shared" si="1"/>
        <v>0</v>
      </c>
      <c r="I78" s="22">
        <f t="shared" ref="I78:I94" si="7">+I77</f>
        <v>0.14211477657982072</v>
      </c>
      <c r="J78" s="4">
        <f t="shared" ref="J78:J94" si="8">+I78*E78</f>
        <v>0</v>
      </c>
      <c r="K78" s="249">
        <f t="shared" si="2"/>
        <v>0</v>
      </c>
      <c r="L78" s="92">
        <f>+E78-F78</f>
        <v>0</v>
      </c>
      <c r="M78" s="22">
        <f t="shared" ref="M78:M94" si="9">IF(L78&gt;0,$L$56,0)</f>
        <v>0</v>
      </c>
      <c r="N78" s="249">
        <f t="shared" si="3"/>
        <v>0</v>
      </c>
      <c r="O78" s="92">
        <v>0</v>
      </c>
      <c r="P78" s="249">
        <f t="shared" si="4"/>
        <v>0</v>
      </c>
      <c r="Q78" s="250">
        <v>0</v>
      </c>
      <c r="R78" s="22">
        <f>+'2-Incentive ROE'!K42*'9B-Non-MISO Project Rev Req'!Q78/100*'9B-Non-MISO Project Rev Req'!L78</f>
        <v>0</v>
      </c>
      <c r="S78" s="249">
        <f t="shared" si="5"/>
        <v>0</v>
      </c>
      <c r="T78" s="251">
        <v>0</v>
      </c>
      <c r="U78" s="249">
        <f t="shared" si="6"/>
        <v>0</v>
      </c>
      <c r="V78" s="92">
        <v>0</v>
      </c>
      <c r="W78" s="249">
        <f>+U78+V78</f>
        <v>0</v>
      </c>
    </row>
    <row r="79" spans="1:23" s="219" customFormat="1">
      <c r="A79" s="252" t="s">
        <v>567</v>
      </c>
      <c r="B79" s="248"/>
      <c r="C79" s="29">
        <v>0</v>
      </c>
      <c r="D79" s="29">
        <v>0</v>
      </c>
      <c r="E79" s="92">
        <v>0</v>
      </c>
      <c r="F79" s="75">
        <v>0</v>
      </c>
      <c r="G79" s="22">
        <f>+G78</f>
        <v>0.15790292234127104</v>
      </c>
      <c r="H79" s="4">
        <f t="shared" si="1"/>
        <v>0</v>
      </c>
      <c r="I79" s="22">
        <f t="shared" si="7"/>
        <v>0.14211477657982072</v>
      </c>
      <c r="J79" s="4">
        <f t="shared" si="8"/>
        <v>0</v>
      </c>
      <c r="K79" s="249">
        <f t="shared" si="2"/>
        <v>0</v>
      </c>
      <c r="L79" s="92">
        <f>+E79-F79</f>
        <v>0</v>
      </c>
      <c r="M79" s="22">
        <f t="shared" si="9"/>
        <v>0</v>
      </c>
      <c r="N79" s="249">
        <f t="shared" si="3"/>
        <v>0</v>
      </c>
      <c r="O79" s="92">
        <v>0</v>
      </c>
      <c r="P79" s="249">
        <f t="shared" si="4"/>
        <v>0</v>
      </c>
      <c r="Q79" s="250">
        <v>0</v>
      </c>
      <c r="R79" s="22">
        <f>+'2-Incentive ROE'!K43*'9B-Non-MISO Project Rev Req'!Q79/100*'9B-Non-MISO Project Rev Req'!L79</f>
        <v>0</v>
      </c>
      <c r="S79" s="249">
        <f t="shared" si="5"/>
        <v>0</v>
      </c>
      <c r="T79" s="251">
        <v>0</v>
      </c>
      <c r="U79" s="249">
        <f t="shared" si="6"/>
        <v>0</v>
      </c>
      <c r="V79" s="92">
        <v>0</v>
      </c>
      <c r="W79" s="249">
        <f>+U79+V79</f>
        <v>0</v>
      </c>
    </row>
    <row r="80" spans="1:23" s="219" customFormat="1">
      <c r="A80" s="252" t="s">
        <v>568</v>
      </c>
      <c r="B80" s="248"/>
      <c r="C80" s="29">
        <v>0</v>
      </c>
      <c r="D80" s="29">
        <v>0</v>
      </c>
      <c r="E80" s="92">
        <v>0</v>
      </c>
      <c r="F80" s="75">
        <v>0</v>
      </c>
      <c r="G80" s="22">
        <f t="shared" ref="G80:G94" si="10">+G79</f>
        <v>0.15790292234127104</v>
      </c>
      <c r="H80" s="4">
        <f t="shared" si="1"/>
        <v>0</v>
      </c>
      <c r="I80" s="22">
        <f t="shared" si="7"/>
        <v>0.14211477657982072</v>
      </c>
      <c r="J80" s="4">
        <f t="shared" si="8"/>
        <v>0</v>
      </c>
      <c r="K80" s="249">
        <f t="shared" si="2"/>
        <v>0</v>
      </c>
      <c r="L80" s="29">
        <v>0</v>
      </c>
      <c r="M80" s="22">
        <f t="shared" si="9"/>
        <v>0</v>
      </c>
      <c r="N80" s="249">
        <f t="shared" si="3"/>
        <v>0</v>
      </c>
      <c r="O80" s="92">
        <v>0</v>
      </c>
      <c r="P80" s="249">
        <f t="shared" si="4"/>
        <v>0</v>
      </c>
      <c r="Q80" s="250">
        <v>0</v>
      </c>
      <c r="R80" s="22">
        <f>+'2-Incentive ROE'!K44*'9B-Non-MISO Project Rev Req'!Q80/100*'9B-Non-MISO Project Rev Req'!L80</f>
        <v>0</v>
      </c>
      <c r="S80" s="249">
        <f t="shared" si="5"/>
        <v>0</v>
      </c>
      <c r="T80" s="251">
        <v>0</v>
      </c>
      <c r="U80" s="249">
        <f t="shared" si="6"/>
        <v>0</v>
      </c>
      <c r="V80" s="92">
        <v>0</v>
      </c>
      <c r="W80" s="249">
        <f>+U80+V80</f>
        <v>0</v>
      </c>
    </row>
    <row r="81" spans="1:23" s="219" customFormat="1">
      <c r="A81" s="252" t="s">
        <v>569</v>
      </c>
      <c r="B81" s="248"/>
      <c r="C81" s="29">
        <v>0</v>
      </c>
      <c r="D81" s="29">
        <v>0</v>
      </c>
      <c r="E81" s="92">
        <v>0</v>
      </c>
      <c r="F81" s="75">
        <v>0</v>
      </c>
      <c r="G81" s="22">
        <f t="shared" si="10"/>
        <v>0.15790292234127104</v>
      </c>
      <c r="H81" s="4">
        <f t="shared" si="1"/>
        <v>0</v>
      </c>
      <c r="I81" s="22">
        <f t="shared" si="7"/>
        <v>0.14211477657982072</v>
      </c>
      <c r="J81" s="4">
        <f t="shared" si="8"/>
        <v>0</v>
      </c>
      <c r="K81" s="249">
        <f t="shared" si="2"/>
        <v>0</v>
      </c>
      <c r="L81" s="29">
        <v>0</v>
      </c>
      <c r="M81" s="22">
        <f t="shared" si="9"/>
        <v>0</v>
      </c>
      <c r="N81" s="249">
        <f t="shared" si="3"/>
        <v>0</v>
      </c>
      <c r="O81" s="92">
        <v>0</v>
      </c>
      <c r="P81" s="249">
        <f t="shared" si="4"/>
        <v>0</v>
      </c>
      <c r="Q81" s="250">
        <v>0</v>
      </c>
      <c r="R81" s="22">
        <f>+'2-Incentive ROE'!K45*'9B-Non-MISO Project Rev Req'!Q81/100*'9B-Non-MISO Project Rev Req'!L81</f>
        <v>0</v>
      </c>
      <c r="S81" s="249">
        <f t="shared" si="5"/>
        <v>0</v>
      </c>
      <c r="T81" s="251">
        <v>0</v>
      </c>
      <c r="U81" s="249">
        <f t="shared" si="6"/>
        <v>0</v>
      </c>
      <c r="V81" s="92">
        <v>0</v>
      </c>
      <c r="W81" s="249">
        <f t="shared" ref="W81:W95" si="11">P81+V81</f>
        <v>0</v>
      </c>
    </row>
    <row r="82" spans="1:23" s="219" customFormat="1">
      <c r="A82" s="252" t="s">
        <v>570</v>
      </c>
      <c r="B82" s="248"/>
      <c r="C82" s="29">
        <v>0</v>
      </c>
      <c r="D82" s="29">
        <v>0</v>
      </c>
      <c r="E82" s="92">
        <v>0</v>
      </c>
      <c r="F82" s="75">
        <v>0</v>
      </c>
      <c r="G82" s="22">
        <f t="shared" si="10"/>
        <v>0.15790292234127104</v>
      </c>
      <c r="H82" s="4">
        <f t="shared" si="1"/>
        <v>0</v>
      </c>
      <c r="I82" s="22">
        <f t="shared" si="7"/>
        <v>0.14211477657982072</v>
      </c>
      <c r="J82" s="4">
        <f t="shared" si="8"/>
        <v>0</v>
      </c>
      <c r="K82" s="249">
        <f t="shared" si="2"/>
        <v>0</v>
      </c>
      <c r="L82" s="29">
        <v>0</v>
      </c>
      <c r="M82" s="22">
        <f t="shared" si="9"/>
        <v>0</v>
      </c>
      <c r="N82" s="249">
        <f t="shared" si="3"/>
        <v>0</v>
      </c>
      <c r="O82" s="92">
        <v>0</v>
      </c>
      <c r="P82" s="249">
        <f t="shared" si="4"/>
        <v>0</v>
      </c>
      <c r="Q82" s="250">
        <v>0</v>
      </c>
      <c r="R82" s="22">
        <f>+'2-Incentive ROE'!K46*'9B-Non-MISO Project Rev Req'!Q82/100*'9B-Non-MISO Project Rev Req'!L82</f>
        <v>0</v>
      </c>
      <c r="S82" s="249">
        <f t="shared" si="5"/>
        <v>0</v>
      </c>
      <c r="T82" s="251">
        <v>0</v>
      </c>
      <c r="U82" s="249">
        <f t="shared" si="6"/>
        <v>0</v>
      </c>
      <c r="V82" s="92">
        <v>0</v>
      </c>
      <c r="W82" s="249">
        <f t="shared" si="11"/>
        <v>0</v>
      </c>
    </row>
    <row r="83" spans="1:23" s="219" customFormat="1">
      <c r="A83" s="252" t="s">
        <v>571</v>
      </c>
      <c r="B83" s="248"/>
      <c r="C83" s="29">
        <v>0</v>
      </c>
      <c r="D83" s="29">
        <v>0</v>
      </c>
      <c r="E83" s="92">
        <v>0</v>
      </c>
      <c r="F83" s="75">
        <v>0</v>
      </c>
      <c r="G83" s="22">
        <f t="shared" si="10"/>
        <v>0.15790292234127104</v>
      </c>
      <c r="H83" s="4">
        <f t="shared" si="1"/>
        <v>0</v>
      </c>
      <c r="I83" s="22">
        <f t="shared" si="7"/>
        <v>0.14211477657982072</v>
      </c>
      <c r="J83" s="4">
        <f t="shared" si="8"/>
        <v>0</v>
      </c>
      <c r="K83" s="249">
        <f t="shared" si="2"/>
        <v>0</v>
      </c>
      <c r="L83" s="29">
        <v>0</v>
      </c>
      <c r="M83" s="22">
        <f t="shared" si="9"/>
        <v>0</v>
      </c>
      <c r="N83" s="249">
        <f t="shared" si="3"/>
        <v>0</v>
      </c>
      <c r="O83" s="92">
        <v>0</v>
      </c>
      <c r="P83" s="249">
        <f t="shared" si="4"/>
        <v>0</v>
      </c>
      <c r="Q83" s="250">
        <v>0</v>
      </c>
      <c r="R83" s="22">
        <f>+'2-Incentive ROE'!K47*'9B-Non-MISO Project Rev Req'!Q83/100*'9B-Non-MISO Project Rev Req'!L83</f>
        <v>0</v>
      </c>
      <c r="S83" s="249">
        <f t="shared" si="5"/>
        <v>0</v>
      </c>
      <c r="T83" s="251">
        <v>0</v>
      </c>
      <c r="U83" s="249">
        <f t="shared" si="6"/>
        <v>0</v>
      </c>
      <c r="V83" s="92">
        <v>0</v>
      </c>
      <c r="W83" s="249">
        <f t="shared" si="11"/>
        <v>0</v>
      </c>
    </row>
    <row r="84" spans="1:23" s="219" customFormat="1">
      <c r="A84" s="252" t="s">
        <v>572</v>
      </c>
      <c r="B84" s="248"/>
      <c r="C84" s="29">
        <v>0</v>
      </c>
      <c r="D84" s="29">
        <v>0</v>
      </c>
      <c r="E84" s="92">
        <v>0</v>
      </c>
      <c r="F84" s="75">
        <v>0</v>
      </c>
      <c r="G84" s="22">
        <f t="shared" si="10"/>
        <v>0.15790292234127104</v>
      </c>
      <c r="H84" s="4">
        <f t="shared" si="1"/>
        <v>0</v>
      </c>
      <c r="I84" s="22">
        <f t="shared" si="7"/>
        <v>0.14211477657982072</v>
      </c>
      <c r="J84" s="4">
        <f t="shared" si="8"/>
        <v>0</v>
      </c>
      <c r="K84" s="249">
        <f t="shared" si="2"/>
        <v>0</v>
      </c>
      <c r="L84" s="29">
        <v>0</v>
      </c>
      <c r="M84" s="22">
        <f t="shared" si="9"/>
        <v>0</v>
      </c>
      <c r="N84" s="249">
        <f t="shared" si="3"/>
        <v>0</v>
      </c>
      <c r="O84" s="92">
        <v>0</v>
      </c>
      <c r="P84" s="249">
        <f t="shared" si="4"/>
        <v>0</v>
      </c>
      <c r="Q84" s="250">
        <v>0</v>
      </c>
      <c r="R84" s="22">
        <f>+'2-Incentive ROE'!K48*'9B-Non-MISO Project Rev Req'!Q84/100*'9B-Non-MISO Project Rev Req'!L84</f>
        <v>0</v>
      </c>
      <c r="S84" s="249">
        <f t="shared" si="5"/>
        <v>0</v>
      </c>
      <c r="T84" s="251">
        <v>0</v>
      </c>
      <c r="U84" s="249">
        <f t="shared" si="6"/>
        <v>0</v>
      </c>
      <c r="V84" s="92">
        <v>0</v>
      </c>
      <c r="W84" s="249">
        <f t="shared" si="11"/>
        <v>0</v>
      </c>
    </row>
    <row r="85" spans="1:23" s="219" customFormat="1">
      <c r="A85" s="252" t="s">
        <v>573</v>
      </c>
      <c r="B85" s="248"/>
      <c r="C85" s="29">
        <v>0</v>
      </c>
      <c r="D85" s="29">
        <v>0</v>
      </c>
      <c r="E85" s="92">
        <v>0</v>
      </c>
      <c r="F85" s="75">
        <v>0</v>
      </c>
      <c r="G85" s="22">
        <f t="shared" si="10"/>
        <v>0.15790292234127104</v>
      </c>
      <c r="H85" s="4">
        <f t="shared" si="1"/>
        <v>0</v>
      </c>
      <c r="I85" s="22">
        <f t="shared" si="7"/>
        <v>0.14211477657982072</v>
      </c>
      <c r="J85" s="4">
        <f t="shared" si="8"/>
        <v>0</v>
      </c>
      <c r="K85" s="249">
        <f t="shared" si="2"/>
        <v>0</v>
      </c>
      <c r="L85" s="29">
        <v>0</v>
      </c>
      <c r="M85" s="22">
        <f t="shared" si="9"/>
        <v>0</v>
      </c>
      <c r="N85" s="249">
        <f t="shared" si="3"/>
        <v>0</v>
      </c>
      <c r="O85" s="92">
        <v>0</v>
      </c>
      <c r="P85" s="249">
        <f t="shared" si="4"/>
        <v>0</v>
      </c>
      <c r="Q85" s="250">
        <v>0</v>
      </c>
      <c r="R85" s="22">
        <f>+'2-Incentive ROE'!K49*'9B-Non-MISO Project Rev Req'!Q85/100*'9B-Non-MISO Project Rev Req'!L85</f>
        <v>0</v>
      </c>
      <c r="S85" s="249">
        <f t="shared" si="5"/>
        <v>0</v>
      </c>
      <c r="T85" s="251">
        <v>0</v>
      </c>
      <c r="U85" s="249">
        <f t="shared" si="6"/>
        <v>0</v>
      </c>
      <c r="V85" s="92">
        <v>0</v>
      </c>
      <c r="W85" s="249">
        <f t="shared" si="11"/>
        <v>0</v>
      </c>
    </row>
    <row r="86" spans="1:23" s="219" customFormat="1">
      <c r="A86" s="252" t="s">
        <v>574</v>
      </c>
      <c r="B86" s="248"/>
      <c r="C86" s="29">
        <v>0</v>
      </c>
      <c r="D86" s="29">
        <v>0</v>
      </c>
      <c r="E86" s="92">
        <v>0</v>
      </c>
      <c r="F86" s="75">
        <v>0</v>
      </c>
      <c r="G86" s="22">
        <f t="shared" si="10"/>
        <v>0.15790292234127104</v>
      </c>
      <c r="H86" s="4">
        <f t="shared" si="1"/>
        <v>0</v>
      </c>
      <c r="I86" s="22">
        <f t="shared" si="7"/>
        <v>0.14211477657982072</v>
      </c>
      <c r="J86" s="4">
        <f t="shared" si="8"/>
        <v>0</v>
      </c>
      <c r="K86" s="249">
        <f t="shared" si="2"/>
        <v>0</v>
      </c>
      <c r="L86" s="29">
        <v>0</v>
      </c>
      <c r="M86" s="22">
        <f t="shared" si="9"/>
        <v>0</v>
      </c>
      <c r="N86" s="249">
        <f t="shared" si="3"/>
        <v>0</v>
      </c>
      <c r="O86" s="92">
        <v>0</v>
      </c>
      <c r="P86" s="249">
        <f t="shared" si="4"/>
        <v>0</v>
      </c>
      <c r="Q86" s="250">
        <v>0</v>
      </c>
      <c r="R86" s="22">
        <f>+'2-Incentive ROE'!K50*'9B-Non-MISO Project Rev Req'!Q86/100*'9B-Non-MISO Project Rev Req'!L86</f>
        <v>0</v>
      </c>
      <c r="S86" s="249">
        <f t="shared" si="5"/>
        <v>0</v>
      </c>
      <c r="T86" s="251">
        <v>0</v>
      </c>
      <c r="U86" s="249">
        <f t="shared" si="6"/>
        <v>0</v>
      </c>
      <c r="V86" s="92">
        <v>0</v>
      </c>
      <c r="W86" s="249">
        <f t="shared" si="11"/>
        <v>0</v>
      </c>
    </row>
    <row r="87" spans="1:23" s="219" customFormat="1">
      <c r="A87" s="252" t="s">
        <v>575</v>
      </c>
      <c r="B87" s="248"/>
      <c r="C87" s="29">
        <v>0</v>
      </c>
      <c r="D87" s="29">
        <v>0</v>
      </c>
      <c r="E87" s="92">
        <v>0</v>
      </c>
      <c r="F87" s="75">
        <v>0</v>
      </c>
      <c r="G87" s="22">
        <f t="shared" si="10"/>
        <v>0.15790292234127104</v>
      </c>
      <c r="H87" s="4">
        <f t="shared" si="1"/>
        <v>0</v>
      </c>
      <c r="I87" s="22">
        <f t="shared" si="7"/>
        <v>0.14211477657982072</v>
      </c>
      <c r="J87" s="4">
        <f t="shared" si="8"/>
        <v>0</v>
      </c>
      <c r="K87" s="249">
        <f t="shared" si="2"/>
        <v>0</v>
      </c>
      <c r="L87" s="29">
        <v>0</v>
      </c>
      <c r="M87" s="22">
        <f t="shared" si="9"/>
        <v>0</v>
      </c>
      <c r="N87" s="249">
        <f t="shared" si="3"/>
        <v>0</v>
      </c>
      <c r="O87" s="92">
        <v>0</v>
      </c>
      <c r="P87" s="249">
        <f t="shared" si="4"/>
        <v>0</v>
      </c>
      <c r="Q87" s="250">
        <v>0</v>
      </c>
      <c r="R87" s="22">
        <f>+'2-Incentive ROE'!K51*'9B-Non-MISO Project Rev Req'!Q87/100*'9B-Non-MISO Project Rev Req'!L87</f>
        <v>0</v>
      </c>
      <c r="S87" s="249">
        <f t="shared" si="5"/>
        <v>0</v>
      </c>
      <c r="T87" s="251">
        <v>0</v>
      </c>
      <c r="U87" s="249">
        <f t="shared" si="6"/>
        <v>0</v>
      </c>
      <c r="V87" s="92">
        <v>0</v>
      </c>
      <c r="W87" s="249">
        <f t="shared" si="11"/>
        <v>0</v>
      </c>
    </row>
    <row r="88" spans="1:23" s="219" customFormat="1">
      <c r="A88" s="252" t="s">
        <v>576</v>
      </c>
      <c r="B88" s="248"/>
      <c r="C88" s="29">
        <v>0</v>
      </c>
      <c r="D88" s="29">
        <v>0</v>
      </c>
      <c r="E88" s="92">
        <v>0</v>
      </c>
      <c r="F88" s="75">
        <v>0</v>
      </c>
      <c r="G88" s="22">
        <f t="shared" si="10"/>
        <v>0.15790292234127104</v>
      </c>
      <c r="H88" s="4">
        <f t="shared" si="1"/>
        <v>0</v>
      </c>
      <c r="I88" s="22">
        <f t="shared" si="7"/>
        <v>0.14211477657982072</v>
      </c>
      <c r="J88" s="4">
        <f t="shared" si="8"/>
        <v>0</v>
      </c>
      <c r="K88" s="249">
        <f t="shared" si="2"/>
        <v>0</v>
      </c>
      <c r="L88" s="29">
        <v>0</v>
      </c>
      <c r="M88" s="22">
        <f t="shared" si="9"/>
        <v>0</v>
      </c>
      <c r="N88" s="249">
        <f t="shared" si="3"/>
        <v>0</v>
      </c>
      <c r="O88" s="92">
        <v>0</v>
      </c>
      <c r="P88" s="249">
        <f t="shared" si="4"/>
        <v>0</v>
      </c>
      <c r="Q88" s="250">
        <v>0</v>
      </c>
      <c r="R88" s="22">
        <f>+'2-Incentive ROE'!K52*'9B-Non-MISO Project Rev Req'!Q88/100*'9B-Non-MISO Project Rev Req'!L88</f>
        <v>0</v>
      </c>
      <c r="S88" s="249">
        <f t="shared" si="5"/>
        <v>0</v>
      </c>
      <c r="T88" s="251">
        <v>0</v>
      </c>
      <c r="U88" s="249">
        <f t="shared" si="6"/>
        <v>0</v>
      </c>
      <c r="V88" s="92">
        <v>0</v>
      </c>
      <c r="W88" s="249">
        <f t="shared" si="11"/>
        <v>0</v>
      </c>
    </row>
    <row r="89" spans="1:23" s="219" customFormat="1">
      <c r="A89" s="252" t="s">
        <v>577</v>
      </c>
      <c r="B89" s="248"/>
      <c r="C89" s="29">
        <v>0</v>
      </c>
      <c r="D89" s="29">
        <v>0</v>
      </c>
      <c r="E89" s="92">
        <v>0</v>
      </c>
      <c r="F89" s="75">
        <v>0</v>
      </c>
      <c r="G89" s="22">
        <f t="shared" si="10"/>
        <v>0.15790292234127104</v>
      </c>
      <c r="H89" s="4">
        <f t="shared" si="1"/>
        <v>0</v>
      </c>
      <c r="I89" s="22">
        <f t="shared" si="7"/>
        <v>0.14211477657982072</v>
      </c>
      <c r="J89" s="4">
        <f t="shared" si="8"/>
        <v>0</v>
      </c>
      <c r="K89" s="249">
        <f t="shared" si="2"/>
        <v>0</v>
      </c>
      <c r="L89" s="29">
        <v>0</v>
      </c>
      <c r="M89" s="22">
        <f t="shared" si="9"/>
        <v>0</v>
      </c>
      <c r="N89" s="249">
        <f t="shared" si="3"/>
        <v>0</v>
      </c>
      <c r="O89" s="92">
        <v>0</v>
      </c>
      <c r="P89" s="249">
        <f t="shared" si="4"/>
        <v>0</v>
      </c>
      <c r="Q89" s="250">
        <v>0</v>
      </c>
      <c r="R89" s="22">
        <f>+'2-Incentive ROE'!K53*'9B-Non-MISO Project Rev Req'!Q89/100*'9B-Non-MISO Project Rev Req'!L89</f>
        <v>0</v>
      </c>
      <c r="S89" s="249">
        <f t="shared" si="5"/>
        <v>0</v>
      </c>
      <c r="T89" s="251">
        <v>0</v>
      </c>
      <c r="U89" s="249">
        <f t="shared" si="6"/>
        <v>0</v>
      </c>
      <c r="V89" s="92">
        <v>0</v>
      </c>
      <c r="W89" s="249">
        <f t="shared" si="11"/>
        <v>0</v>
      </c>
    </row>
    <row r="90" spans="1:23" s="219" customFormat="1">
      <c r="A90" s="252" t="s">
        <v>578</v>
      </c>
      <c r="B90" s="248"/>
      <c r="C90" s="29">
        <v>0</v>
      </c>
      <c r="D90" s="29">
        <v>0</v>
      </c>
      <c r="E90" s="92">
        <v>0</v>
      </c>
      <c r="F90" s="75">
        <v>0</v>
      </c>
      <c r="G90" s="22">
        <f t="shared" si="10"/>
        <v>0.15790292234127104</v>
      </c>
      <c r="H90" s="4">
        <f t="shared" si="1"/>
        <v>0</v>
      </c>
      <c r="I90" s="22">
        <f t="shared" si="7"/>
        <v>0.14211477657982072</v>
      </c>
      <c r="J90" s="4">
        <f t="shared" si="8"/>
        <v>0</v>
      </c>
      <c r="K90" s="249">
        <f t="shared" si="2"/>
        <v>0</v>
      </c>
      <c r="L90" s="29">
        <v>0</v>
      </c>
      <c r="M90" s="22">
        <f t="shared" si="9"/>
        <v>0</v>
      </c>
      <c r="N90" s="249">
        <f t="shared" si="3"/>
        <v>0</v>
      </c>
      <c r="O90" s="92">
        <v>0</v>
      </c>
      <c r="P90" s="249">
        <f t="shared" si="4"/>
        <v>0</v>
      </c>
      <c r="Q90" s="250">
        <v>0</v>
      </c>
      <c r="R90" s="22">
        <f>+'2-Incentive ROE'!K54*'9B-Non-MISO Project Rev Req'!Q90/100*'9B-Non-MISO Project Rev Req'!L90</f>
        <v>0</v>
      </c>
      <c r="S90" s="249">
        <f t="shared" si="5"/>
        <v>0</v>
      </c>
      <c r="T90" s="251">
        <v>0</v>
      </c>
      <c r="U90" s="249">
        <f t="shared" si="6"/>
        <v>0</v>
      </c>
      <c r="V90" s="92">
        <v>0</v>
      </c>
      <c r="W90" s="249">
        <f t="shared" si="11"/>
        <v>0</v>
      </c>
    </row>
    <row r="91" spans="1:23" s="219" customFormat="1">
      <c r="A91" s="253"/>
      <c r="B91" s="170"/>
      <c r="C91" s="29">
        <v>0</v>
      </c>
      <c r="D91" s="29">
        <v>0</v>
      </c>
      <c r="E91" s="92">
        <v>0</v>
      </c>
      <c r="F91" s="75">
        <v>0</v>
      </c>
      <c r="G91" s="22">
        <f t="shared" si="10"/>
        <v>0.15790292234127104</v>
      </c>
      <c r="H91" s="4">
        <f t="shared" si="1"/>
        <v>0</v>
      </c>
      <c r="I91" s="22">
        <f t="shared" si="7"/>
        <v>0.14211477657982072</v>
      </c>
      <c r="J91" s="4">
        <f t="shared" si="8"/>
        <v>0</v>
      </c>
      <c r="K91" s="249">
        <f t="shared" si="2"/>
        <v>0</v>
      </c>
      <c r="L91" s="29">
        <v>0</v>
      </c>
      <c r="M91" s="22">
        <f t="shared" si="9"/>
        <v>0</v>
      </c>
      <c r="N91" s="249">
        <f t="shared" si="3"/>
        <v>0</v>
      </c>
      <c r="O91" s="92">
        <v>0</v>
      </c>
      <c r="P91" s="249">
        <f t="shared" si="4"/>
        <v>0</v>
      </c>
      <c r="Q91" s="250">
        <v>0</v>
      </c>
      <c r="R91" s="22">
        <f>+'2-Incentive ROE'!K55*'9B-Non-MISO Project Rev Req'!Q91/100*'9B-Non-MISO Project Rev Req'!L91</f>
        <v>0</v>
      </c>
      <c r="S91" s="249">
        <f t="shared" si="5"/>
        <v>0</v>
      </c>
      <c r="T91" s="251">
        <v>0</v>
      </c>
      <c r="U91" s="249">
        <f t="shared" si="6"/>
        <v>0</v>
      </c>
      <c r="V91" s="92">
        <v>0</v>
      </c>
      <c r="W91" s="249">
        <f t="shared" si="11"/>
        <v>0</v>
      </c>
    </row>
    <row r="92" spans="1:23" s="219" customFormat="1">
      <c r="A92" s="253"/>
      <c r="B92" s="170"/>
      <c r="C92" s="29">
        <v>0</v>
      </c>
      <c r="D92" s="29">
        <v>0</v>
      </c>
      <c r="E92" s="92">
        <v>0</v>
      </c>
      <c r="F92" s="75">
        <v>0</v>
      </c>
      <c r="G92" s="22">
        <f t="shared" si="10"/>
        <v>0.15790292234127104</v>
      </c>
      <c r="H92" s="4">
        <f t="shared" si="1"/>
        <v>0</v>
      </c>
      <c r="I92" s="22">
        <f t="shared" si="7"/>
        <v>0.14211477657982072</v>
      </c>
      <c r="J92" s="4">
        <f t="shared" si="8"/>
        <v>0</v>
      </c>
      <c r="K92" s="249">
        <f t="shared" si="2"/>
        <v>0</v>
      </c>
      <c r="L92" s="29">
        <v>0</v>
      </c>
      <c r="M92" s="22">
        <f t="shared" si="9"/>
        <v>0</v>
      </c>
      <c r="N92" s="249">
        <f t="shared" si="3"/>
        <v>0</v>
      </c>
      <c r="O92" s="92">
        <v>0</v>
      </c>
      <c r="P92" s="249">
        <f t="shared" si="4"/>
        <v>0</v>
      </c>
      <c r="Q92" s="250">
        <v>0</v>
      </c>
      <c r="R92" s="22">
        <f>+'2-Incentive ROE'!K56*'9B-Non-MISO Project Rev Req'!Q92/100*'9B-Non-MISO Project Rev Req'!L92</f>
        <v>0</v>
      </c>
      <c r="S92" s="249">
        <f t="shared" si="5"/>
        <v>0</v>
      </c>
      <c r="T92" s="251">
        <v>0</v>
      </c>
      <c r="U92" s="249">
        <f t="shared" si="6"/>
        <v>0</v>
      </c>
      <c r="V92" s="92">
        <v>0</v>
      </c>
      <c r="W92" s="249">
        <f t="shared" si="11"/>
        <v>0</v>
      </c>
    </row>
    <row r="93" spans="1:23" s="219" customFormat="1">
      <c r="A93" s="253"/>
      <c r="B93" s="170"/>
      <c r="C93" s="29">
        <v>0</v>
      </c>
      <c r="D93" s="29">
        <v>0</v>
      </c>
      <c r="E93" s="92">
        <v>0</v>
      </c>
      <c r="F93" s="75">
        <v>0</v>
      </c>
      <c r="G93" s="22">
        <f t="shared" si="10"/>
        <v>0.15790292234127104</v>
      </c>
      <c r="H93" s="22">
        <f t="shared" si="1"/>
        <v>0</v>
      </c>
      <c r="I93" s="22">
        <f t="shared" si="7"/>
        <v>0.14211477657982072</v>
      </c>
      <c r="J93" s="4">
        <f t="shared" si="8"/>
        <v>0</v>
      </c>
      <c r="K93" s="249">
        <f t="shared" si="2"/>
        <v>0</v>
      </c>
      <c r="L93" s="29">
        <v>0</v>
      </c>
      <c r="M93" s="22">
        <f t="shared" si="9"/>
        <v>0</v>
      </c>
      <c r="N93" s="249">
        <f t="shared" si="3"/>
        <v>0</v>
      </c>
      <c r="O93" s="92">
        <v>0</v>
      </c>
      <c r="P93" s="249">
        <f t="shared" si="4"/>
        <v>0</v>
      </c>
      <c r="Q93" s="250">
        <v>0</v>
      </c>
      <c r="R93" s="22">
        <f>+'2-Incentive ROE'!K57*'9B-Non-MISO Project Rev Req'!Q93/100*'9B-Non-MISO Project Rev Req'!L93</f>
        <v>0</v>
      </c>
      <c r="S93" s="249">
        <f t="shared" si="5"/>
        <v>0</v>
      </c>
      <c r="T93" s="251">
        <v>0</v>
      </c>
      <c r="U93" s="249">
        <f t="shared" si="6"/>
        <v>0</v>
      </c>
      <c r="V93" s="92">
        <v>0</v>
      </c>
      <c r="W93" s="249">
        <f t="shared" si="11"/>
        <v>0</v>
      </c>
    </row>
    <row r="94" spans="1:23" s="219" customFormat="1">
      <c r="A94" s="253"/>
      <c r="B94" s="170"/>
      <c r="C94" s="29">
        <v>0</v>
      </c>
      <c r="D94" s="29">
        <v>0</v>
      </c>
      <c r="E94" s="92">
        <v>0</v>
      </c>
      <c r="F94" s="75">
        <v>0</v>
      </c>
      <c r="G94" s="22">
        <f t="shared" si="10"/>
        <v>0.15790292234127104</v>
      </c>
      <c r="H94" s="22">
        <f t="shared" si="1"/>
        <v>0</v>
      </c>
      <c r="I94" s="22">
        <f t="shared" si="7"/>
        <v>0.14211477657982072</v>
      </c>
      <c r="J94" s="4">
        <f t="shared" si="8"/>
        <v>0</v>
      </c>
      <c r="K94" s="249">
        <f t="shared" si="2"/>
        <v>0</v>
      </c>
      <c r="L94" s="29">
        <v>0</v>
      </c>
      <c r="M94" s="22">
        <f t="shared" si="9"/>
        <v>0</v>
      </c>
      <c r="N94" s="249">
        <f t="shared" si="3"/>
        <v>0</v>
      </c>
      <c r="O94" s="92">
        <v>0</v>
      </c>
      <c r="P94" s="249">
        <f t="shared" si="4"/>
        <v>0</v>
      </c>
      <c r="Q94" s="250">
        <v>0</v>
      </c>
      <c r="R94" s="22">
        <f>+'2-Incentive ROE'!K58*'9B-Non-MISO Project Rev Req'!Q94/100*'9B-Non-MISO Project Rev Req'!L94</f>
        <v>0</v>
      </c>
      <c r="S94" s="249">
        <f t="shared" si="5"/>
        <v>0</v>
      </c>
      <c r="T94" s="251">
        <v>0</v>
      </c>
      <c r="U94" s="249">
        <f t="shared" si="6"/>
        <v>0</v>
      </c>
      <c r="V94" s="92">
        <v>0</v>
      </c>
      <c r="W94" s="249">
        <f t="shared" si="11"/>
        <v>0</v>
      </c>
    </row>
    <row r="95" spans="1:23" s="219" customFormat="1">
      <c r="A95" s="254"/>
      <c r="B95" s="255"/>
      <c r="C95" s="255"/>
      <c r="D95" s="255"/>
      <c r="E95" s="256"/>
      <c r="F95" s="255"/>
      <c r="G95" s="257"/>
      <c r="H95" s="194"/>
      <c r="I95" s="258"/>
      <c r="J95" s="255"/>
      <c r="K95" s="259"/>
      <c r="L95" s="255"/>
      <c r="M95" s="255"/>
      <c r="N95" s="259"/>
      <c r="O95" s="255"/>
      <c r="P95" s="260"/>
      <c r="Q95" s="261"/>
      <c r="R95" s="262"/>
      <c r="S95" s="261"/>
      <c r="T95" s="261"/>
      <c r="U95" s="261"/>
      <c r="V95" s="255"/>
      <c r="W95" s="263">
        <f t="shared" si="11"/>
        <v>0</v>
      </c>
    </row>
    <row r="96" spans="1:23" s="219" customFormat="1">
      <c r="A96" s="183" t="s">
        <v>579</v>
      </c>
      <c r="B96" s="207"/>
      <c r="C96" s="175" t="s">
        <v>580</v>
      </c>
      <c r="D96" s="175"/>
      <c r="E96" s="169">
        <f>SUM(E76:E94)</f>
        <v>5183838.4102993384</v>
      </c>
      <c r="F96" s="169">
        <f>SUM(F76:F94)</f>
        <v>2518444.1810724135</v>
      </c>
      <c r="G96" s="169"/>
      <c r="H96" s="169">
        <f>SUM(H76:H94)</f>
        <v>818543.23393119441</v>
      </c>
      <c r="I96" s="169"/>
      <c r="J96" s="169">
        <f>SUM(J76:J94)</f>
        <v>736700.03750558349</v>
      </c>
      <c r="K96" s="169">
        <f>SUM(K76:K94)</f>
        <v>1555243.2714367779</v>
      </c>
      <c r="L96" s="169">
        <f>SUM(L76:L94)</f>
        <v>2665394.2292269249</v>
      </c>
      <c r="M96" s="177"/>
      <c r="N96" s="169">
        <f t="shared" ref="N96:O96" si="12">SUM(N76:N94)</f>
        <v>269290.71379948588</v>
      </c>
      <c r="O96" s="169">
        <f t="shared" si="12"/>
        <v>98209.894019386644</v>
      </c>
      <c r="P96" s="4">
        <f>SUM(P76:P95)</f>
        <v>1922743.8792556506</v>
      </c>
      <c r="Q96" s="210"/>
      <c r="R96" s="4">
        <f t="shared" ref="R96:W96" si="13">SUM(R76:R95)</f>
        <v>0</v>
      </c>
      <c r="S96" s="4">
        <f t="shared" si="13"/>
        <v>1922743.8792556506</v>
      </c>
      <c r="T96" s="4">
        <f t="shared" si="13"/>
        <v>-839410.87925565057</v>
      </c>
      <c r="U96" s="4">
        <f t="shared" si="13"/>
        <v>1083333</v>
      </c>
      <c r="V96" s="4">
        <f t="shared" si="13"/>
        <v>0</v>
      </c>
      <c r="W96" s="4">
        <f t="shared" si="13"/>
        <v>1083333</v>
      </c>
    </row>
    <row r="97" spans="1:23" s="219" customFormat="1">
      <c r="A97" s="170"/>
      <c r="B97" s="170"/>
      <c r="C97" s="170"/>
      <c r="D97" s="170"/>
      <c r="E97" s="4"/>
      <c r="F97" s="4"/>
      <c r="G97" s="170"/>
      <c r="H97" s="4"/>
      <c r="I97" s="170"/>
      <c r="J97" s="210"/>
      <c r="K97" s="4"/>
      <c r="L97" s="4"/>
      <c r="M97" s="170"/>
      <c r="N97" s="169">
        <f>+J49+J53</f>
        <v>269290.71379948594</v>
      </c>
      <c r="O97" s="4"/>
      <c r="P97" s="4"/>
      <c r="Q97" s="170"/>
      <c r="R97" s="170"/>
      <c r="S97" s="170"/>
      <c r="T97" s="170"/>
      <c r="U97" s="170"/>
      <c r="V97" s="170"/>
      <c r="W97" s="4"/>
    </row>
    <row r="98" spans="1:23" s="219" customFormat="1">
      <c r="A98" s="264">
        <v>17</v>
      </c>
      <c r="B98" s="170"/>
      <c r="C98" s="170" t="s">
        <v>581</v>
      </c>
      <c r="D98" s="170"/>
      <c r="E98" s="170"/>
      <c r="F98" s="170"/>
      <c r="G98" s="170"/>
      <c r="H98" s="170"/>
      <c r="I98" s="170"/>
      <c r="J98" s="170"/>
      <c r="K98" s="170"/>
      <c r="L98" s="22"/>
      <c r="M98" s="210"/>
      <c r="N98" s="210"/>
      <c r="O98" s="210"/>
      <c r="P98" s="4">
        <f>'9A-Non-MISO ATRR'!$I$11</f>
        <v>1922743.8792556503</v>
      </c>
      <c r="Q98" s="170"/>
      <c r="R98" s="170"/>
      <c r="S98" s="4">
        <f>'9A-Non-MISO ATRR'!$I$11</f>
        <v>1922743.8792556503</v>
      </c>
      <c r="T98" s="170"/>
      <c r="U98" s="170"/>
      <c r="V98" s="170"/>
      <c r="W98" s="170"/>
    </row>
    <row r="99" spans="1:23" s="219" customFormat="1">
      <c r="A99" s="264">
        <v>18</v>
      </c>
      <c r="B99" s="170"/>
      <c r="C99" s="170" t="s">
        <v>582</v>
      </c>
      <c r="D99" s="170"/>
      <c r="E99" s="170"/>
      <c r="F99" s="170"/>
      <c r="G99" s="170"/>
      <c r="H99" s="170"/>
      <c r="I99" s="170"/>
      <c r="J99" s="170"/>
      <c r="K99" s="207"/>
      <c r="L99" s="207"/>
      <c r="M99" s="207"/>
      <c r="N99" s="207"/>
      <c r="O99" s="207"/>
      <c r="P99" s="170"/>
      <c r="Q99" s="170"/>
      <c r="R99" s="265"/>
      <c r="S99" s="170"/>
      <c r="T99" s="170"/>
      <c r="U99" s="170"/>
      <c r="V99" s="170"/>
      <c r="W99" s="170"/>
    </row>
    <row r="100" spans="1:23" s="219" customFormat="1">
      <c r="A100" s="170"/>
      <c r="B100" s="170"/>
      <c r="C100" s="170"/>
      <c r="D100" s="170"/>
      <c r="E100" s="170"/>
      <c r="F100" s="170"/>
      <c r="G100" s="170"/>
      <c r="H100" s="170"/>
      <c r="I100" s="170"/>
      <c r="J100" s="170"/>
      <c r="K100" s="207"/>
      <c r="L100" s="207"/>
      <c r="M100" s="207"/>
      <c r="N100" s="207"/>
      <c r="O100" s="207"/>
      <c r="P100" s="170"/>
      <c r="Q100" s="170"/>
      <c r="R100" s="170"/>
      <c r="S100" s="170"/>
      <c r="T100" s="170"/>
      <c r="U100" s="170"/>
      <c r="V100" s="170"/>
      <c r="W100" s="170"/>
    </row>
    <row r="101" spans="1:23" s="219" customFormat="1">
      <c r="A101" s="170" t="s">
        <v>352</v>
      </c>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row>
    <row r="102" spans="1:23" s="219" customFormat="1" ht="13.5" thickBot="1">
      <c r="A102" s="266" t="s">
        <v>353</v>
      </c>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row>
    <row r="103" spans="1:23" ht="12.75" customHeight="1">
      <c r="A103" s="267" t="s">
        <v>354</v>
      </c>
      <c r="B103" s="219"/>
      <c r="C103" s="708" t="s">
        <v>583</v>
      </c>
      <c r="D103" s="708"/>
      <c r="E103" s="708"/>
      <c r="F103" s="708"/>
      <c r="G103" s="708"/>
      <c r="H103" s="708"/>
      <c r="I103" s="708"/>
      <c r="J103" s="708"/>
      <c r="K103" s="708"/>
      <c r="L103" s="708"/>
      <c r="M103" s="708"/>
      <c r="N103" s="708"/>
      <c r="O103" s="708"/>
      <c r="P103" s="708"/>
      <c r="Q103" s="708"/>
      <c r="R103" s="268"/>
      <c r="S103" s="268"/>
      <c r="T103" s="268"/>
      <c r="U103" s="268"/>
      <c r="V103" s="268"/>
      <c r="W103" s="268"/>
    </row>
    <row r="104" spans="1:23" ht="16.5" customHeight="1">
      <c r="A104" s="267" t="s">
        <v>356</v>
      </c>
      <c r="B104" s="219"/>
      <c r="C104" s="708" t="s">
        <v>584</v>
      </c>
      <c r="D104" s="708"/>
      <c r="E104" s="708"/>
      <c r="F104" s="708"/>
      <c r="G104" s="708"/>
      <c r="H104" s="708"/>
      <c r="I104" s="708"/>
      <c r="J104" s="708"/>
      <c r="K104" s="708"/>
      <c r="L104" s="708"/>
      <c r="M104" s="269"/>
      <c r="N104" s="269"/>
      <c r="O104" s="269"/>
      <c r="P104" s="269"/>
      <c r="Q104" s="269"/>
    </row>
    <row r="105" spans="1:23" ht="13.5" customHeight="1">
      <c r="A105" s="267" t="s">
        <v>358</v>
      </c>
      <c r="B105" s="219"/>
      <c r="C105" s="170" t="s">
        <v>585</v>
      </c>
    </row>
    <row r="106" spans="1:23" ht="13.5" customHeight="1">
      <c r="A106" s="267"/>
      <c r="B106" s="219"/>
      <c r="C106" s="270" t="s">
        <v>586</v>
      </c>
      <c r="D106" s="271"/>
      <c r="E106" s="271"/>
      <c r="F106" s="271"/>
      <c r="G106" s="271"/>
      <c r="H106" s="271"/>
      <c r="I106" s="271"/>
      <c r="J106" s="271"/>
      <c r="K106" s="271"/>
      <c r="L106" s="271"/>
      <c r="M106" s="271"/>
      <c r="N106" s="271"/>
      <c r="O106" s="271"/>
      <c r="P106" s="271"/>
      <c r="Q106" s="271"/>
    </row>
    <row r="107" spans="1:23" ht="12.75" customHeight="1">
      <c r="A107" s="267" t="s">
        <v>360</v>
      </c>
      <c r="B107" s="219"/>
      <c r="C107" s="709" t="s">
        <v>587</v>
      </c>
      <c r="D107" s="709"/>
      <c r="E107" s="709"/>
      <c r="F107" s="709"/>
      <c r="G107" s="709"/>
      <c r="H107" s="709"/>
      <c r="I107" s="709"/>
      <c r="J107" s="709"/>
      <c r="K107" s="709"/>
      <c r="L107" s="709"/>
      <c r="M107" s="709"/>
      <c r="N107" s="272"/>
      <c r="O107" s="272"/>
      <c r="P107" s="272"/>
      <c r="Q107" s="272"/>
    </row>
    <row r="108" spans="1:23">
      <c r="A108" s="267"/>
      <c r="B108" s="219"/>
      <c r="C108" s="273" t="s">
        <v>588</v>
      </c>
      <c r="D108" s="274"/>
      <c r="E108" s="274"/>
      <c r="F108" s="274"/>
      <c r="G108" s="274"/>
      <c r="H108" s="274"/>
      <c r="I108" s="274"/>
      <c r="J108" s="274"/>
      <c r="K108" s="274"/>
      <c r="L108" s="274"/>
      <c r="M108" s="274"/>
      <c r="N108" s="274"/>
      <c r="O108" s="274"/>
      <c r="P108" s="274"/>
      <c r="Q108" s="274"/>
    </row>
    <row r="109" spans="1:23" ht="31.5" customHeight="1">
      <c r="A109" s="267" t="s">
        <v>362</v>
      </c>
      <c r="B109" s="219"/>
      <c r="C109" s="708" t="s">
        <v>589</v>
      </c>
      <c r="D109" s="708"/>
      <c r="E109" s="708"/>
      <c r="F109" s="708"/>
      <c r="G109" s="708"/>
      <c r="H109" s="708"/>
      <c r="I109" s="708"/>
      <c r="J109" s="708"/>
      <c r="K109" s="708"/>
      <c r="L109" s="708"/>
      <c r="M109" s="269"/>
      <c r="N109" s="269"/>
      <c r="O109" s="269"/>
      <c r="P109" s="269"/>
      <c r="Q109" s="269"/>
    </row>
    <row r="110" spans="1:23" ht="24.95" customHeight="1">
      <c r="A110" s="216" t="s">
        <v>364</v>
      </c>
      <c r="B110" s="219"/>
      <c r="C110" s="710" t="s">
        <v>590</v>
      </c>
      <c r="D110" s="711"/>
      <c r="E110" s="711"/>
      <c r="F110" s="711"/>
      <c r="G110" s="711"/>
      <c r="H110" s="711"/>
      <c r="I110" s="711"/>
      <c r="J110" s="711"/>
      <c r="K110" s="711"/>
      <c r="L110" s="711"/>
      <c r="M110" s="271"/>
      <c r="N110" s="271"/>
      <c r="O110" s="271"/>
      <c r="P110" s="271"/>
      <c r="Q110" s="271"/>
    </row>
    <row r="111" spans="1:23" ht="16.5" customHeight="1">
      <c r="A111" s="216" t="s">
        <v>366</v>
      </c>
      <c r="B111" s="219"/>
      <c r="C111" s="270" t="s">
        <v>591</v>
      </c>
      <c r="D111" s="270"/>
      <c r="E111" s="270"/>
      <c r="F111" s="270"/>
      <c r="G111" s="270"/>
      <c r="H111" s="270"/>
      <c r="I111" s="270"/>
      <c r="J111" s="270"/>
      <c r="K111" s="270"/>
      <c r="L111" s="270"/>
      <c r="M111" s="270"/>
      <c r="N111" s="270"/>
      <c r="O111" s="270"/>
      <c r="P111" s="270"/>
      <c r="Q111" s="270"/>
    </row>
    <row r="112" spans="1:23">
      <c r="A112" s="267" t="s">
        <v>368</v>
      </c>
      <c r="B112" s="219"/>
      <c r="C112" s="712" t="s">
        <v>592</v>
      </c>
      <c r="D112" s="712"/>
      <c r="E112" s="712"/>
      <c r="F112" s="712"/>
      <c r="G112" s="712"/>
      <c r="H112" s="712"/>
      <c r="I112" s="712"/>
      <c r="J112" s="712"/>
      <c r="K112" s="712"/>
      <c r="L112" s="712"/>
    </row>
    <row r="113" spans="1:12">
      <c r="A113" s="216" t="s">
        <v>370</v>
      </c>
      <c r="B113" s="219"/>
      <c r="C113" s="170" t="s">
        <v>593</v>
      </c>
    </row>
    <row r="114" spans="1:12">
      <c r="A114" s="216" t="s">
        <v>372</v>
      </c>
      <c r="C114" s="708" t="s">
        <v>594</v>
      </c>
      <c r="D114" s="708"/>
      <c r="E114" s="708"/>
      <c r="F114" s="708"/>
      <c r="G114" s="708"/>
      <c r="H114" s="708"/>
      <c r="I114" s="708"/>
      <c r="J114" s="708"/>
      <c r="K114" s="708"/>
      <c r="L114" s="708"/>
    </row>
  </sheetData>
  <mergeCells count="7">
    <mergeCell ref="C114:L114"/>
    <mergeCell ref="C103:Q103"/>
    <mergeCell ref="C104:L104"/>
    <mergeCell ref="C107:M107"/>
    <mergeCell ref="C109:L109"/>
    <mergeCell ref="C110:L110"/>
    <mergeCell ref="C112:L112"/>
  </mergeCells>
  <pageMargins left="0.25" right="0.25" top="0.75" bottom="0.75" header="0.3" footer="0.3"/>
  <pageSetup scale="54" fitToWidth="2" fitToHeight="2" orientation="landscape" r:id="rId1"/>
  <rowBreaks count="1" manualBreakCount="1">
    <brk id="58" max="22" man="1"/>
  </rowBreaks>
  <colBreaks count="1" manualBreakCount="1">
    <brk id="12" min="58"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5DE4-F695-45E8-9848-6A2A2E78A7EB}">
  <sheetPr>
    <tabColor rgb="FF00B050"/>
  </sheetPr>
  <dimension ref="A1:N49"/>
  <sheetViews>
    <sheetView view="pageBreakPreview" topLeftCell="A28" zoomScaleNormal="100" zoomScaleSheetLayoutView="100" workbookViewId="0">
      <selection activeCell="D30" sqref="D30"/>
    </sheetView>
  </sheetViews>
  <sheetFormatPr defaultColWidth="8.88671875" defaultRowHeight="12.75"/>
  <cols>
    <col min="1" max="1" width="6" style="170" customWidth="1"/>
    <col min="2" max="2" width="27.109375" style="170" customWidth="1"/>
    <col min="3" max="3" width="17.5546875" style="170" customWidth="1"/>
    <col min="4" max="4" width="15" style="170" customWidth="1"/>
    <col min="5" max="6" width="23.109375" style="170" customWidth="1"/>
    <col min="7" max="7" width="21" style="170" customWidth="1"/>
    <col min="8" max="8" width="18.33203125" style="170" customWidth="1"/>
    <col min="9" max="9" width="18.5546875" style="170" customWidth="1"/>
    <col min="10" max="10" width="13.77734375" style="170" customWidth="1"/>
    <col min="11" max="11" width="9.44140625" style="170" customWidth="1"/>
    <col min="12" max="12" width="13.5546875" style="170" customWidth="1"/>
    <col min="13" max="16384" width="8.88671875" style="170"/>
  </cols>
  <sheetData>
    <row r="1" spans="1:14">
      <c r="E1" s="216"/>
    </row>
    <row r="2" spans="1:14">
      <c r="D2" s="173"/>
      <c r="E2" s="172" t="s">
        <v>907</v>
      </c>
      <c r="F2" s="173"/>
      <c r="G2" s="173"/>
      <c r="I2" s="173"/>
      <c r="K2" s="173" t="s">
        <v>908</v>
      </c>
      <c r="L2" s="173"/>
    </row>
    <row r="3" spans="1:14">
      <c r="D3" s="173"/>
      <c r="E3" s="456" t="s">
        <v>909</v>
      </c>
      <c r="F3" s="177"/>
      <c r="G3" s="177"/>
      <c r="I3" s="177"/>
      <c r="J3" s="177"/>
      <c r="K3" s="177"/>
      <c r="L3" s="173"/>
    </row>
    <row r="4" spans="1:14">
      <c r="C4" s="175"/>
      <c r="D4" s="175"/>
      <c r="E4" s="18" t="str">
        <f>'Attachment O'!D5</f>
        <v>GridLiance Heartland LLC</v>
      </c>
      <c r="F4" s="175"/>
      <c r="G4" s="175"/>
      <c r="I4" s="175"/>
      <c r="J4" s="175"/>
      <c r="K4" s="175"/>
      <c r="L4" s="175"/>
    </row>
    <row r="5" spans="1:14">
      <c r="A5" s="172"/>
      <c r="C5" s="175"/>
      <c r="D5" s="175"/>
      <c r="E5" s="185"/>
      <c r="F5" s="175"/>
      <c r="G5" s="175"/>
      <c r="I5" s="175"/>
      <c r="J5" s="175"/>
      <c r="K5" s="175"/>
      <c r="L5" s="175"/>
    </row>
    <row r="6" spans="1:14">
      <c r="A6" s="172"/>
      <c r="C6" s="175"/>
      <c r="D6" s="175"/>
      <c r="E6" s="175"/>
      <c r="F6" s="175"/>
      <c r="G6" s="175"/>
      <c r="H6" s="179"/>
      <c r="I6" s="175"/>
      <c r="J6" s="175"/>
      <c r="K6" s="175"/>
      <c r="L6" s="175"/>
    </row>
    <row r="7" spans="1:14">
      <c r="A7" s="172"/>
      <c r="E7" s="218"/>
      <c r="I7" s="175"/>
      <c r="J7" s="175"/>
      <c r="K7" s="175"/>
      <c r="L7" s="175"/>
    </row>
    <row r="8" spans="1:14" s="219" customFormat="1" ht="15" customHeight="1">
      <c r="B8" s="457"/>
      <c r="C8" s="457"/>
      <c r="D8" s="457"/>
      <c r="E8" s="458"/>
      <c r="F8" s="459"/>
      <c r="G8" s="460"/>
      <c r="H8" s="461"/>
    </row>
    <row r="9" spans="1:14" s="219" customFormat="1">
      <c r="A9" s="458"/>
      <c r="B9" s="457" t="s">
        <v>792</v>
      </c>
      <c r="C9" s="457"/>
      <c r="D9" s="457"/>
      <c r="F9" s="462" t="s">
        <v>910</v>
      </c>
      <c r="G9" s="463"/>
      <c r="H9" s="464"/>
    </row>
    <row r="10" spans="1:14" s="219" customFormat="1">
      <c r="A10" s="465">
        <v>1</v>
      </c>
      <c r="B10" s="756">
        <v>2020</v>
      </c>
      <c r="C10" s="457"/>
      <c r="D10" s="467"/>
      <c r="E10" s="467"/>
      <c r="F10" s="467"/>
      <c r="G10" s="467"/>
      <c r="H10" s="467"/>
    </row>
    <row r="11" spans="1:14" s="219" customFormat="1">
      <c r="A11" s="465"/>
      <c r="B11" s="468" t="s">
        <v>354</v>
      </c>
      <c r="C11" s="469" t="s">
        <v>356</v>
      </c>
      <c r="D11" s="470" t="s">
        <v>358</v>
      </c>
      <c r="E11" s="470" t="s">
        <v>360</v>
      </c>
      <c r="F11" s="470" t="s">
        <v>362</v>
      </c>
      <c r="G11" s="470" t="s">
        <v>364</v>
      </c>
      <c r="H11" s="470" t="s">
        <v>366</v>
      </c>
      <c r="M11" s="471"/>
      <c r="N11" s="471"/>
    </row>
    <row r="12" spans="1:14" s="219" customFormat="1">
      <c r="A12" s="465"/>
      <c r="B12" s="467"/>
      <c r="C12" s="472"/>
      <c r="D12" s="473"/>
      <c r="E12" s="473"/>
      <c r="F12" s="473" t="s">
        <v>911</v>
      </c>
      <c r="G12" s="474"/>
      <c r="H12" s="474"/>
    </row>
    <row r="13" spans="1:14" s="219" customFormat="1">
      <c r="A13" s="465"/>
      <c r="B13" s="473" t="s">
        <v>912</v>
      </c>
      <c r="C13" s="473"/>
      <c r="D13" s="473" t="s">
        <v>913</v>
      </c>
      <c r="E13" s="473"/>
      <c r="F13" s="473" t="s">
        <v>914</v>
      </c>
      <c r="G13" s="473" t="s">
        <v>915</v>
      </c>
      <c r="H13" s="475" t="s">
        <v>916</v>
      </c>
    </row>
    <row r="14" spans="1:14" s="219" customFormat="1">
      <c r="A14" s="465"/>
      <c r="B14" s="473" t="s">
        <v>917</v>
      </c>
      <c r="C14" s="473"/>
      <c r="D14" s="473" t="s">
        <v>918</v>
      </c>
      <c r="E14" s="473"/>
      <c r="F14" s="473" t="s">
        <v>919</v>
      </c>
      <c r="G14" s="473" t="s">
        <v>920</v>
      </c>
      <c r="H14" s="475" t="s">
        <v>921</v>
      </c>
    </row>
    <row r="15" spans="1:14" s="219" customFormat="1" ht="15.75">
      <c r="A15" s="465"/>
      <c r="B15" s="470" t="s">
        <v>922</v>
      </c>
      <c r="C15" s="470" t="s">
        <v>923</v>
      </c>
      <c r="D15" s="470" t="s">
        <v>924</v>
      </c>
      <c r="E15" s="471" t="s">
        <v>925</v>
      </c>
      <c r="F15" s="473" t="s">
        <v>926</v>
      </c>
      <c r="G15" s="470" t="s">
        <v>927</v>
      </c>
      <c r="H15" s="470" t="s">
        <v>928</v>
      </c>
    </row>
    <row r="16" spans="1:14" s="219" customFormat="1">
      <c r="A16" s="465">
        <v>2</v>
      </c>
      <c r="B16" s="476"/>
      <c r="C16" s="29" t="s">
        <v>564</v>
      </c>
      <c r="D16" s="477">
        <v>0</v>
      </c>
      <c r="E16" s="478">
        <v>0</v>
      </c>
      <c r="F16" s="479">
        <f t="shared" ref="F16:F21" si="0">D16-E16</f>
        <v>0</v>
      </c>
      <c r="G16" s="480">
        <f>F16*E47</f>
        <v>0</v>
      </c>
      <c r="H16" s="481">
        <f t="shared" ref="H16:H21" si="1">+F16+G16</f>
        <v>0</v>
      </c>
    </row>
    <row r="17" spans="1:14" s="219" customFormat="1">
      <c r="A17" s="465" t="s">
        <v>25</v>
      </c>
      <c r="B17" s="482"/>
      <c r="C17" s="482"/>
      <c r="D17" s="483">
        <v>0</v>
      </c>
      <c r="E17" s="484">
        <v>0</v>
      </c>
      <c r="F17" s="485">
        <f t="shared" si="0"/>
        <v>0</v>
      </c>
      <c r="G17" s="486">
        <v>0</v>
      </c>
      <c r="H17" s="485">
        <f t="shared" si="1"/>
        <v>0</v>
      </c>
    </row>
    <row r="18" spans="1:14" s="219" customFormat="1">
      <c r="A18" s="465" t="s">
        <v>929</v>
      </c>
      <c r="B18" s="482"/>
      <c r="C18" s="482"/>
      <c r="D18" s="483">
        <v>0</v>
      </c>
      <c r="E18" s="484">
        <v>0</v>
      </c>
      <c r="F18" s="485">
        <f t="shared" si="0"/>
        <v>0</v>
      </c>
      <c r="G18" s="486">
        <v>0</v>
      </c>
      <c r="H18" s="485">
        <f t="shared" si="1"/>
        <v>0</v>
      </c>
    </row>
    <row r="19" spans="1:14" s="219" customFormat="1">
      <c r="A19" s="465" t="s">
        <v>930</v>
      </c>
      <c r="B19" s="482"/>
      <c r="C19" s="482"/>
      <c r="D19" s="483">
        <v>0</v>
      </c>
      <c r="E19" s="484">
        <v>0</v>
      </c>
      <c r="F19" s="485">
        <f t="shared" si="0"/>
        <v>0</v>
      </c>
      <c r="G19" s="486">
        <v>0</v>
      </c>
      <c r="H19" s="485">
        <f t="shared" si="1"/>
        <v>0</v>
      </c>
    </row>
    <row r="20" spans="1:14" s="219" customFormat="1">
      <c r="A20" s="465" t="s">
        <v>931</v>
      </c>
      <c r="B20" s="482"/>
      <c r="C20" s="482"/>
      <c r="D20" s="483">
        <v>0</v>
      </c>
      <c r="E20" s="484">
        <v>0</v>
      </c>
      <c r="F20" s="485">
        <f t="shared" si="0"/>
        <v>0</v>
      </c>
      <c r="G20" s="486">
        <v>0</v>
      </c>
      <c r="H20" s="485">
        <f t="shared" si="1"/>
        <v>0</v>
      </c>
    </row>
    <row r="21" spans="1:14" s="219" customFormat="1">
      <c r="A21" s="465"/>
      <c r="B21" s="487"/>
      <c r="C21" s="487"/>
      <c r="D21" s="488">
        <v>0</v>
      </c>
      <c r="E21" s="489">
        <v>0</v>
      </c>
      <c r="F21" s="490">
        <f t="shared" si="0"/>
        <v>0</v>
      </c>
      <c r="G21" s="491">
        <v>0</v>
      </c>
      <c r="H21" s="490">
        <f t="shared" si="1"/>
        <v>0</v>
      </c>
    </row>
    <row r="22" spans="1:14" s="219" customFormat="1">
      <c r="A22" s="465"/>
      <c r="B22" s="457"/>
      <c r="C22" s="492"/>
      <c r="D22" s="492"/>
      <c r="E22" s="492"/>
      <c r="F22" s="492"/>
      <c r="G22" s="492"/>
      <c r="H22" s="493"/>
      <c r="J22" s="492"/>
      <c r="K22" s="492"/>
    </row>
    <row r="23" spans="1:14" s="219" customFormat="1">
      <c r="A23" s="465">
        <v>3</v>
      </c>
      <c r="B23" s="494" t="s">
        <v>21</v>
      </c>
      <c r="C23" s="492"/>
      <c r="D23" s="492">
        <f>SUM(D16:D21)</f>
        <v>0</v>
      </c>
      <c r="E23" s="492">
        <f t="shared" ref="E23" si="2">SUM(E16:E21)</f>
        <v>0</v>
      </c>
      <c r="F23" s="492">
        <f>SUM(F16:F21)</f>
        <v>0</v>
      </c>
      <c r="G23" s="492">
        <f>SUM(G16:G21)</f>
        <v>0</v>
      </c>
      <c r="H23" s="492">
        <f>SUM(H16:H21)</f>
        <v>0</v>
      </c>
      <c r="J23" s="492"/>
      <c r="K23" s="492"/>
    </row>
    <row r="24" spans="1:14" s="219" customFormat="1">
      <c r="A24" s="465"/>
      <c r="B24" s="457"/>
      <c r="C24" s="492"/>
      <c r="D24" s="492"/>
      <c r="E24" s="492"/>
      <c r="F24" s="492"/>
      <c r="G24" s="492"/>
      <c r="H24" s="492"/>
      <c r="I24" s="493"/>
      <c r="J24" s="492"/>
      <c r="K24" s="492"/>
    </row>
    <row r="25" spans="1:14" s="219" customFormat="1">
      <c r="A25" s="494"/>
      <c r="B25" s="457"/>
      <c r="C25" s="492"/>
      <c r="D25" s="492"/>
      <c r="E25" s="492"/>
      <c r="F25" s="492"/>
      <c r="G25" s="492"/>
      <c r="H25" s="492"/>
      <c r="I25" s="493"/>
      <c r="J25" s="492"/>
      <c r="K25" s="492"/>
    </row>
    <row r="26" spans="1:14" s="219" customFormat="1" ht="15">
      <c r="A26" s="494"/>
      <c r="B26" s="495"/>
      <c r="C26" s="2"/>
      <c r="D26" s="2"/>
      <c r="E26" s="2"/>
      <c r="F26" s="4"/>
      <c r="G26" s="4"/>
      <c r="H26" s="2"/>
      <c r="I26" s="496"/>
      <c r="J26" s="22"/>
      <c r="K26" s="497"/>
      <c r="L26" s="497"/>
    </row>
    <row r="27" spans="1:14" s="219" customFormat="1">
      <c r="A27" s="494"/>
      <c r="B27" s="2" t="s">
        <v>932</v>
      </c>
      <c r="C27" s="2"/>
      <c r="D27" s="2"/>
      <c r="E27" s="2"/>
      <c r="F27" s="2"/>
      <c r="G27" s="2"/>
      <c r="H27" s="2"/>
      <c r="I27" s="457"/>
      <c r="J27" s="457"/>
      <c r="K27" s="457"/>
      <c r="L27" s="457"/>
      <c r="M27" s="457"/>
      <c r="N27" s="457"/>
    </row>
    <row r="28" spans="1:14" s="219" customFormat="1">
      <c r="A28" s="494"/>
      <c r="B28" s="2" t="s">
        <v>933</v>
      </c>
      <c r="C28" s="2"/>
      <c r="D28" s="2"/>
      <c r="E28" s="2"/>
      <c r="F28" s="2"/>
      <c r="G28" s="2"/>
      <c r="H28" s="2"/>
      <c r="I28" s="457"/>
      <c r="J28" s="457"/>
      <c r="K28" s="457"/>
      <c r="L28" s="457"/>
      <c r="M28" s="457"/>
      <c r="N28" s="457"/>
    </row>
    <row r="29" spans="1:14" s="219" customFormat="1">
      <c r="A29" s="494"/>
      <c r="B29" s="2" t="s">
        <v>934</v>
      </c>
      <c r="C29" s="2"/>
      <c r="D29" s="2"/>
      <c r="E29" s="2"/>
      <c r="F29" s="2"/>
      <c r="G29" s="2"/>
      <c r="H29" s="2"/>
      <c r="I29" s="457"/>
      <c r="J29" s="457"/>
      <c r="K29" s="457"/>
      <c r="L29" s="457"/>
      <c r="M29" s="457"/>
      <c r="N29" s="457"/>
    </row>
    <row r="30" spans="1:14" s="219" customFormat="1">
      <c r="A30" s="494"/>
      <c r="B30" s="2"/>
      <c r="C30" s="2"/>
      <c r="D30" s="2"/>
      <c r="E30" s="2"/>
      <c r="F30" s="2"/>
      <c r="G30" s="2"/>
      <c r="H30" s="2"/>
      <c r="I30" s="457"/>
      <c r="J30" s="457"/>
      <c r="K30" s="457"/>
      <c r="L30" s="457"/>
      <c r="M30" s="457"/>
      <c r="N30" s="457"/>
    </row>
    <row r="31" spans="1:14" s="219" customFormat="1" ht="57.75" customHeight="1">
      <c r="A31" s="162"/>
      <c r="B31" s="703" t="s">
        <v>935</v>
      </c>
      <c r="C31" s="703"/>
      <c r="D31" s="703"/>
      <c r="E31" s="703"/>
      <c r="F31" s="703"/>
      <c r="G31" s="703"/>
      <c r="H31" s="703"/>
      <c r="I31" s="703"/>
      <c r="J31" s="703"/>
      <c r="K31" s="162"/>
      <c r="L31" s="162"/>
      <c r="M31" s="162"/>
      <c r="N31" s="162"/>
    </row>
    <row r="32" spans="1:14">
      <c r="A32" s="172"/>
      <c r="E32" s="218"/>
      <c r="F32" s="218"/>
      <c r="G32" s="218"/>
      <c r="I32" s="175"/>
      <c r="J32" s="175"/>
      <c r="K32" s="498"/>
      <c r="L32" s="498"/>
      <c r="M32" s="219"/>
      <c r="N32" s="219"/>
    </row>
    <row r="33" spans="1:12">
      <c r="A33" s="499"/>
      <c r="B33" s="15"/>
      <c r="C33" s="15"/>
      <c r="D33" s="15"/>
      <c r="E33" s="15"/>
      <c r="F33" s="15"/>
      <c r="G33" s="15"/>
      <c r="H33" s="15"/>
      <c r="I33" s="15"/>
      <c r="J33" s="15"/>
      <c r="L33" s="219"/>
    </row>
    <row r="34" spans="1:12">
      <c r="A34" s="499" t="s">
        <v>936</v>
      </c>
      <c r="K34" s="219"/>
      <c r="L34" s="219"/>
    </row>
    <row r="35" spans="1:12">
      <c r="K35" s="219"/>
      <c r="L35" s="219"/>
    </row>
    <row r="36" spans="1:12">
      <c r="B36" s="15" t="s">
        <v>612</v>
      </c>
      <c r="C36" s="15" t="s">
        <v>613</v>
      </c>
      <c r="D36" s="15" t="s">
        <v>614</v>
      </c>
      <c r="E36" s="15" t="s">
        <v>615</v>
      </c>
      <c r="K36" s="219"/>
      <c r="L36" s="219"/>
    </row>
    <row r="37" spans="1:12" ht="25.5">
      <c r="A37" s="500">
        <v>4</v>
      </c>
      <c r="B37" s="501" t="s">
        <v>937</v>
      </c>
      <c r="C37" s="216" t="s">
        <v>938</v>
      </c>
      <c r="D37" s="216" t="s">
        <v>792</v>
      </c>
      <c r="E37" s="502" t="s">
        <v>939</v>
      </c>
      <c r="K37" s="219"/>
      <c r="L37" s="219"/>
    </row>
    <row r="38" spans="1:12">
      <c r="A38" s="500">
        <v>5</v>
      </c>
      <c r="C38" s="501" t="s">
        <v>940</v>
      </c>
      <c r="D38" s="675" t="s">
        <v>1185</v>
      </c>
      <c r="E38" s="676">
        <v>4.3E-3</v>
      </c>
      <c r="F38" s="22"/>
      <c r="G38" s="22"/>
      <c r="H38" s="22"/>
      <c r="K38" s="219"/>
      <c r="L38" s="219"/>
    </row>
    <row r="39" spans="1:12">
      <c r="A39" s="500">
        <v>6</v>
      </c>
      <c r="C39" s="501" t="s">
        <v>941</v>
      </c>
      <c r="D39" s="675" t="s">
        <v>1185</v>
      </c>
      <c r="E39" s="676">
        <v>4.4999999999999997E-3</v>
      </c>
      <c r="F39" s="22"/>
      <c r="G39" s="22"/>
      <c r="H39" s="22"/>
      <c r="K39" s="219"/>
      <c r="L39" s="219"/>
    </row>
    <row r="40" spans="1:12">
      <c r="A40" s="500">
        <v>7</v>
      </c>
      <c r="C40" s="501" t="s">
        <v>942</v>
      </c>
      <c r="D40" s="675" t="s">
        <v>1185</v>
      </c>
      <c r="E40" s="676">
        <v>4.5999999999999999E-3</v>
      </c>
      <c r="F40" s="22"/>
      <c r="G40" s="22"/>
      <c r="H40" s="22"/>
      <c r="K40" s="219"/>
      <c r="L40" s="219"/>
    </row>
    <row r="41" spans="1:12">
      <c r="A41" s="500">
        <v>8</v>
      </c>
      <c r="C41" s="501" t="s">
        <v>943</v>
      </c>
      <c r="D41" s="675" t="s">
        <v>1185</v>
      </c>
      <c r="E41" s="676">
        <v>4.4999999999999997E-3</v>
      </c>
      <c r="F41" s="22"/>
      <c r="G41" s="22"/>
      <c r="H41" s="22"/>
      <c r="K41" s="219"/>
      <c r="L41" s="219"/>
    </row>
    <row r="42" spans="1:12">
      <c r="A42" s="500">
        <v>9</v>
      </c>
      <c r="C42" s="501" t="s">
        <v>944</v>
      </c>
      <c r="D42" s="675">
        <v>2020</v>
      </c>
      <c r="E42" s="676">
        <v>4.1000000000000003E-3</v>
      </c>
      <c r="F42" s="22"/>
      <c r="G42" s="22"/>
      <c r="H42" s="22"/>
      <c r="K42" s="219"/>
      <c r="L42" s="219"/>
    </row>
    <row r="43" spans="1:12">
      <c r="A43" s="500">
        <v>10</v>
      </c>
      <c r="C43" s="501" t="s">
        <v>941</v>
      </c>
      <c r="D43" s="675">
        <v>2020</v>
      </c>
      <c r="E43" s="676">
        <v>4.0000000000000001E-3</v>
      </c>
      <c r="F43" s="22"/>
      <c r="G43" s="22"/>
      <c r="H43" s="22"/>
      <c r="K43" s="219"/>
      <c r="L43" s="219"/>
    </row>
    <row r="44" spans="1:12">
      <c r="A44" s="500">
        <v>11</v>
      </c>
      <c r="C44" s="501" t="s">
        <v>942</v>
      </c>
      <c r="D44" s="675">
        <v>2020</v>
      </c>
      <c r="E44" s="676">
        <v>2.8999999999999998E-3</v>
      </c>
      <c r="F44" s="22"/>
      <c r="G44" s="22"/>
      <c r="H44" s="22"/>
      <c r="K44" s="219"/>
      <c r="L44" s="219"/>
    </row>
    <row r="45" spans="1:12">
      <c r="A45" s="500">
        <v>12</v>
      </c>
      <c r="C45" s="170" t="s">
        <v>945</v>
      </c>
      <c r="D45" s="22"/>
      <c r="E45" s="503">
        <f>SUM(E38:E44)</f>
        <v>2.8899999999999999E-2</v>
      </c>
      <c r="F45" s="22"/>
      <c r="G45" s="22"/>
      <c r="H45" s="22"/>
      <c r="K45" s="219"/>
      <c r="L45" s="219"/>
    </row>
    <row r="46" spans="1:12">
      <c r="A46" s="500"/>
      <c r="C46" s="501"/>
      <c r="D46" s="22"/>
      <c r="E46" s="22"/>
      <c r="F46" s="22"/>
      <c r="G46" s="22"/>
      <c r="H46" s="22"/>
      <c r="K46" s="219"/>
      <c r="L46" s="219"/>
    </row>
    <row r="47" spans="1:12">
      <c r="A47" s="500">
        <v>13</v>
      </c>
      <c r="B47" s="270" t="s">
        <v>946</v>
      </c>
      <c r="C47" s="170" t="s">
        <v>947</v>
      </c>
      <c r="D47" s="22"/>
      <c r="E47" s="85">
        <f>E45/7</f>
        <v>4.1285714285714285E-3</v>
      </c>
      <c r="F47" s="22"/>
      <c r="G47" s="22"/>
      <c r="H47" s="22"/>
      <c r="K47" s="219"/>
      <c r="L47" s="219"/>
    </row>
    <row r="48" spans="1:12">
      <c r="A48" s="169"/>
      <c r="D48" s="22"/>
      <c r="E48" s="22"/>
      <c r="F48" s="22"/>
      <c r="G48" s="22"/>
      <c r="H48" s="22"/>
      <c r="K48" s="219"/>
      <c r="L48" s="219"/>
    </row>
    <row r="49" spans="1:12">
      <c r="A49" s="504"/>
      <c r="C49" s="2"/>
      <c r="D49" s="505"/>
      <c r="E49" s="505"/>
      <c r="F49" s="505"/>
      <c r="G49" s="505"/>
      <c r="H49" s="505"/>
      <c r="I49" s="505"/>
      <c r="K49" s="219"/>
      <c r="L49" s="219"/>
    </row>
  </sheetData>
  <mergeCells count="1">
    <mergeCell ref="B31:J31"/>
  </mergeCells>
  <pageMargins left="0.25" right="0.25" top="0.75" bottom="0.75" header="0.3" footer="0.3"/>
  <pageSetup scale="44"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1E60-79BA-4A71-96DE-0C02EFA553BD}">
  <dimension ref="A1:V317"/>
  <sheetViews>
    <sheetView view="pageBreakPreview" zoomScaleNormal="100" zoomScaleSheetLayoutView="100" workbookViewId="0">
      <selection activeCell="G203" sqref="G203"/>
    </sheetView>
  </sheetViews>
  <sheetFormatPr defaultColWidth="8.88671875" defaultRowHeight="12.75"/>
  <cols>
    <col min="1" max="1" width="5.77734375" style="2" customWidth="1"/>
    <col min="2" max="2" width="54.21875" style="2" customWidth="1"/>
    <col min="3" max="3" width="47.44140625" style="2" bestFit="1" customWidth="1"/>
    <col min="4" max="4" width="16.33203125" style="2" customWidth="1"/>
    <col min="5" max="5" width="5.77734375" style="2" customWidth="1"/>
    <col min="6" max="6" width="8.21875" style="2" customWidth="1"/>
    <col min="7" max="7" width="10" style="2" customWidth="1"/>
    <col min="8" max="8" width="4.88671875" style="2" customWidth="1"/>
    <col min="9" max="9" width="16.33203125" style="2" customWidth="1"/>
    <col min="10" max="10" width="2.6640625" style="2" customWidth="1"/>
    <col min="11" max="11" width="11.44140625" style="2" customWidth="1"/>
    <col min="12" max="12" width="14.44140625" style="2" bestFit="1" customWidth="1"/>
    <col min="13" max="13" width="14.6640625" style="2" bestFit="1" customWidth="1"/>
    <col min="14" max="14" width="10.44140625" style="2" bestFit="1" customWidth="1"/>
    <col min="15" max="16384" width="8.88671875" style="2"/>
  </cols>
  <sheetData>
    <row r="1" spans="1:11">
      <c r="A1" s="1"/>
      <c r="B1" s="1"/>
      <c r="C1" s="1"/>
      <c r="E1" s="1"/>
      <c r="F1" s="1"/>
      <c r="G1" s="1"/>
      <c r="H1" s="1"/>
      <c r="I1" s="1"/>
      <c r="J1" s="1"/>
      <c r="K1" s="3" t="s">
        <v>948</v>
      </c>
    </row>
    <row r="2" spans="1:11">
      <c r="A2" s="1"/>
      <c r="B2" s="1"/>
      <c r="C2" s="1"/>
      <c r="D2" s="1"/>
      <c r="E2" s="1"/>
      <c r="F2" s="1"/>
      <c r="G2" s="1"/>
      <c r="H2" s="1"/>
      <c r="I2" s="1"/>
      <c r="J2" s="1"/>
      <c r="K2" s="3" t="s">
        <v>1</v>
      </c>
    </row>
    <row r="3" spans="1:11">
      <c r="A3" s="5"/>
      <c r="B3" s="6" t="s">
        <v>2</v>
      </c>
      <c r="C3" s="6"/>
      <c r="D3" s="7" t="s">
        <v>949</v>
      </c>
      <c r="E3" s="6"/>
      <c r="F3" s="6"/>
      <c r="G3" s="6"/>
      <c r="H3" s="6"/>
      <c r="I3" s="8"/>
      <c r="J3" s="9"/>
      <c r="K3" s="674" t="s">
        <v>1184</v>
      </c>
    </row>
    <row r="4" spans="1:11">
      <c r="A4" s="5"/>
      <c r="C4" s="11"/>
      <c r="D4" s="12" t="s">
        <v>4</v>
      </c>
      <c r="E4" s="11"/>
      <c r="F4" s="11"/>
      <c r="G4" s="11"/>
      <c r="H4" s="6"/>
      <c r="I4" s="6"/>
      <c r="J4" s="13"/>
      <c r="K4" s="13"/>
    </row>
    <row r="5" spans="1:11" ht="13.5">
      <c r="A5" s="5"/>
      <c r="B5" s="14"/>
      <c r="C5" s="13"/>
      <c r="D5" s="15" t="s">
        <v>5</v>
      </c>
      <c r="E5" s="13"/>
      <c r="F5" s="13"/>
      <c r="G5" s="13"/>
      <c r="H5" s="13"/>
      <c r="I5" s="13"/>
      <c r="J5" s="13"/>
      <c r="K5" s="13"/>
    </row>
    <row r="6" spans="1:11" ht="13.5">
      <c r="B6" s="14"/>
      <c r="J6" s="16"/>
      <c r="K6" s="16"/>
    </row>
    <row r="7" spans="1:11">
      <c r="A7" s="7"/>
      <c r="C7" s="13"/>
      <c r="D7" s="17"/>
      <c r="E7" s="13"/>
      <c r="F7" s="13"/>
      <c r="G7" s="13"/>
      <c r="H7" s="13"/>
      <c r="I7" s="13"/>
      <c r="J7" s="13"/>
      <c r="K7" s="13"/>
    </row>
    <row r="8" spans="1:11">
      <c r="A8" s="7"/>
      <c r="B8" s="18" t="s">
        <v>6</v>
      </c>
      <c r="C8" s="18" t="s">
        <v>7</v>
      </c>
      <c r="D8" s="18" t="s">
        <v>8</v>
      </c>
      <c r="E8" s="11" t="s">
        <v>9</v>
      </c>
      <c r="F8" s="11"/>
      <c r="G8" s="17" t="s">
        <v>10</v>
      </c>
      <c r="H8" s="11"/>
      <c r="I8" s="17" t="s">
        <v>11</v>
      </c>
      <c r="J8" s="13"/>
      <c r="K8" s="13"/>
    </row>
    <row r="9" spans="1:11">
      <c r="A9" s="7" t="s">
        <v>12</v>
      </c>
      <c r="B9" s="13"/>
      <c r="C9" s="13"/>
      <c r="D9" s="16"/>
      <c r="E9" s="13"/>
      <c r="F9" s="13"/>
      <c r="G9" s="13"/>
      <c r="H9" s="13"/>
      <c r="I9" s="7" t="s">
        <v>13</v>
      </c>
      <c r="J9" s="13"/>
      <c r="K9" s="13"/>
    </row>
    <row r="10" spans="1:11" ht="13.5" thickBot="1">
      <c r="A10" s="19" t="s">
        <v>14</v>
      </c>
      <c r="B10" s="13"/>
      <c r="C10" s="19" t="s">
        <v>15</v>
      </c>
      <c r="D10" s="13"/>
      <c r="E10" s="13"/>
      <c r="F10" s="13"/>
      <c r="G10" s="13"/>
      <c r="H10" s="13"/>
      <c r="I10" s="19" t="s">
        <v>16</v>
      </c>
      <c r="J10" s="13"/>
      <c r="K10" s="13"/>
    </row>
    <row r="11" spans="1:11">
      <c r="A11" s="7">
        <v>1</v>
      </c>
      <c r="B11" s="13" t="s">
        <v>17</v>
      </c>
      <c r="C11" s="13" t="s">
        <v>18</v>
      </c>
      <c r="D11" s="11"/>
      <c r="E11" s="13"/>
      <c r="F11" s="13"/>
      <c r="G11" s="13"/>
      <c r="H11" s="13"/>
      <c r="I11" s="20">
        <f>+I189</f>
        <v>1922743.8792556503</v>
      </c>
      <c r="J11" s="13"/>
      <c r="K11" s="13"/>
    </row>
    <row r="12" spans="1:11">
      <c r="A12" s="7"/>
      <c r="B12" s="13"/>
      <c r="C12" s="13"/>
      <c r="D12" s="13"/>
      <c r="E12" s="13"/>
      <c r="F12" s="13"/>
      <c r="G12" s="13"/>
      <c r="H12" s="13"/>
      <c r="I12" s="11"/>
      <c r="J12" s="13"/>
      <c r="K12" s="13"/>
    </row>
    <row r="13" spans="1:11" ht="13.5" thickBot="1">
      <c r="A13" s="7" t="s">
        <v>9</v>
      </c>
      <c r="B13" s="13" t="s">
        <v>19</v>
      </c>
      <c r="C13" s="11" t="s">
        <v>20</v>
      </c>
      <c r="D13" s="19" t="s">
        <v>21</v>
      </c>
      <c r="E13" s="11"/>
      <c r="F13" s="21" t="s">
        <v>22</v>
      </c>
      <c r="G13" s="21"/>
      <c r="H13" s="13"/>
      <c r="I13" s="11"/>
      <c r="J13" s="13"/>
      <c r="K13" s="13"/>
    </row>
    <row r="14" spans="1:11">
      <c r="A14" s="7">
        <f>+A11+1</f>
        <v>2</v>
      </c>
      <c r="B14" s="13" t="s">
        <v>23</v>
      </c>
      <c r="C14" s="11" t="str">
        <f>"(Page 4, Line "&amp;A240&amp;")"</f>
        <v>(Page 4, Line 34)</v>
      </c>
      <c r="D14" s="22">
        <f>I240</f>
        <v>0</v>
      </c>
      <c r="E14" s="11"/>
      <c r="F14" s="11" t="s">
        <v>24</v>
      </c>
      <c r="G14" s="37">
        <v>1</v>
      </c>
      <c r="H14" s="23"/>
      <c r="I14" s="22">
        <f>+G14*D14</f>
        <v>0</v>
      </c>
      <c r="J14" s="13"/>
      <c r="K14" s="13"/>
    </row>
    <row r="15" spans="1:11">
      <c r="A15" s="7" t="s">
        <v>25</v>
      </c>
      <c r="B15" s="13" t="s">
        <v>26</v>
      </c>
      <c r="C15" s="11" t="str">
        <f>"(Page 4, Line "&amp;A242&amp;")"</f>
        <v>(Page 4, Line 34a)</v>
      </c>
      <c r="D15" s="22">
        <f>I242</f>
        <v>0</v>
      </c>
      <c r="E15" s="11"/>
      <c r="F15" s="11" t="s">
        <v>24</v>
      </c>
      <c r="G15" s="37">
        <v>1</v>
      </c>
      <c r="H15" s="23"/>
      <c r="I15" s="22">
        <f>+G15*D15</f>
        <v>0</v>
      </c>
      <c r="J15" s="13"/>
      <c r="K15" s="13"/>
    </row>
    <row r="16" spans="1:11">
      <c r="A16" s="7">
        <f>+A14+1</f>
        <v>3</v>
      </c>
      <c r="B16" s="13" t="s">
        <v>27</v>
      </c>
      <c r="C16" s="11" t="str">
        <f>"(Page 4, Line "&amp;A249&amp;")"</f>
        <v>(Page 4, Line 37)</v>
      </c>
      <c r="D16" s="22">
        <f>I249</f>
        <v>0</v>
      </c>
      <c r="E16" s="11"/>
      <c r="F16" s="11" t="s">
        <v>24</v>
      </c>
      <c r="G16" s="37">
        <v>1</v>
      </c>
      <c r="H16" s="23"/>
      <c r="I16" s="22">
        <f>+G16*D16</f>
        <v>0</v>
      </c>
      <c r="J16" s="13"/>
      <c r="K16" s="13"/>
    </row>
    <row r="17" spans="1:13">
      <c r="A17" s="7">
        <f>+A16+1</f>
        <v>4</v>
      </c>
      <c r="B17" s="11" t="s">
        <v>28</v>
      </c>
      <c r="C17" s="24" t="s">
        <v>29</v>
      </c>
      <c r="D17" s="22">
        <v>0</v>
      </c>
      <c r="E17" s="11"/>
      <c r="F17" s="11" t="s">
        <v>24</v>
      </c>
      <c r="G17" s="37">
        <v>1</v>
      </c>
      <c r="H17" s="23"/>
      <c r="I17" s="22">
        <f>+G17*D17</f>
        <v>0</v>
      </c>
      <c r="J17" s="13"/>
      <c r="K17" s="13"/>
    </row>
    <row r="18" spans="1:13" ht="13.5" thickBot="1">
      <c r="A18" s="7">
        <f>+A17+1</f>
        <v>5</v>
      </c>
      <c r="B18" s="11" t="s">
        <v>30</v>
      </c>
      <c r="C18" s="24" t="s">
        <v>31</v>
      </c>
      <c r="D18" s="22">
        <v>0</v>
      </c>
      <c r="E18" s="11"/>
      <c r="F18" s="11" t="s">
        <v>24</v>
      </c>
      <c r="G18" s="37">
        <v>1</v>
      </c>
      <c r="H18" s="23"/>
      <c r="I18" s="25">
        <f>+G18*D18</f>
        <v>0</v>
      </c>
      <c r="J18" s="13"/>
      <c r="K18" s="13"/>
    </row>
    <row r="19" spans="1:13">
      <c r="A19" s="7">
        <f>+A18+1</f>
        <v>6</v>
      </c>
      <c r="B19" s="13" t="s">
        <v>32</v>
      </c>
      <c r="C19" s="13" t="s">
        <v>33</v>
      </c>
      <c r="D19" s="26" t="s">
        <v>9</v>
      </c>
      <c r="E19" s="11"/>
      <c r="F19" s="11"/>
      <c r="G19" s="27"/>
      <c r="H19" s="23"/>
      <c r="I19" s="22">
        <f>SUM(I14:I18)</f>
        <v>0</v>
      </c>
      <c r="J19" s="13"/>
      <c r="K19" s="13"/>
    </row>
    <row r="20" spans="1:13">
      <c r="A20" s="7"/>
      <c r="B20" s="5"/>
      <c r="C20" s="13"/>
      <c r="D20" s="11" t="s">
        <v>9</v>
      </c>
      <c r="E20" s="13"/>
      <c r="F20" s="13"/>
      <c r="G20" s="28"/>
      <c r="H20" s="13"/>
      <c r="I20" s="5"/>
      <c r="J20" s="13"/>
      <c r="K20" s="13"/>
    </row>
    <row r="21" spans="1:13">
      <c r="A21" s="7" t="s">
        <v>34</v>
      </c>
      <c r="B21" s="5" t="s">
        <v>950</v>
      </c>
      <c r="C21" s="13"/>
      <c r="D21" s="11"/>
      <c r="E21" s="13"/>
      <c r="F21" s="13"/>
      <c r="G21" s="28"/>
      <c r="H21" s="13"/>
      <c r="I21" s="29">
        <v>0</v>
      </c>
      <c r="J21" s="13"/>
      <c r="K21" s="13"/>
    </row>
    <row r="22" spans="1:13">
      <c r="A22" s="7"/>
      <c r="B22" s="5"/>
      <c r="C22" s="13"/>
      <c r="D22" s="11"/>
      <c r="E22" s="13"/>
      <c r="F22" s="13"/>
      <c r="G22" s="28"/>
      <c r="H22" s="13"/>
      <c r="I22" s="5"/>
      <c r="J22" s="13"/>
      <c r="K22" s="13"/>
    </row>
    <row r="23" spans="1:13" ht="13.5" thickBot="1">
      <c r="A23" s="7" t="s">
        <v>36</v>
      </c>
      <c r="B23" s="13" t="s">
        <v>37</v>
      </c>
      <c r="C23" s="13" t="s">
        <v>38</v>
      </c>
      <c r="D23" s="30" t="s">
        <v>9</v>
      </c>
      <c r="E23" s="11"/>
      <c r="F23" s="11"/>
      <c r="G23" s="11"/>
      <c r="H23" s="11"/>
      <c r="I23" s="31">
        <f>I11-I19-I21</f>
        <v>1922743.8792556503</v>
      </c>
      <c r="J23" s="13"/>
      <c r="K23" s="13"/>
      <c r="M23" s="32"/>
    </row>
    <row r="24" spans="1:13" ht="13.5" thickTop="1">
      <c r="A24" s="7"/>
      <c r="B24" s="5"/>
      <c r="C24" s="13"/>
      <c r="D24" s="30"/>
      <c r="E24" s="11"/>
      <c r="F24" s="11"/>
      <c r="G24" s="11"/>
      <c r="H24" s="11"/>
      <c r="I24" s="5"/>
      <c r="J24" s="13"/>
      <c r="K24" s="13"/>
      <c r="M24" s="33"/>
    </row>
    <row r="25" spans="1:13">
      <c r="A25" s="34" t="s">
        <v>39</v>
      </c>
      <c r="B25" s="35" t="s">
        <v>951</v>
      </c>
      <c r="C25" s="36" t="s">
        <v>952</v>
      </c>
      <c r="D25" s="22">
        <f>+'3-Project True-up'!H23</f>
        <v>0</v>
      </c>
      <c r="E25" s="35"/>
      <c r="F25" s="35" t="s">
        <v>24</v>
      </c>
      <c r="G25" s="22">
        <v>1</v>
      </c>
      <c r="H25" s="35"/>
      <c r="I25" s="4">
        <f>+G25*D25</f>
        <v>0</v>
      </c>
      <c r="K25" s="13"/>
    </row>
    <row r="26" spans="1:13">
      <c r="A26" s="34"/>
      <c r="B26" s="35"/>
      <c r="C26" s="35"/>
      <c r="D26" s="35"/>
      <c r="E26" s="35"/>
      <c r="F26" s="35"/>
      <c r="G26" s="35"/>
      <c r="H26" s="35"/>
      <c r="I26" s="38"/>
      <c r="K26" s="13"/>
    </row>
    <row r="27" spans="1:13" ht="13.5" thickBot="1">
      <c r="A27" s="34">
        <v>7</v>
      </c>
      <c r="B27" s="35" t="s">
        <v>37</v>
      </c>
      <c r="C27" s="35" t="s">
        <v>42</v>
      </c>
      <c r="D27" s="35"/>
      <c r="E27" s="38"/>
      <c r="F27" s="38"/>
      <c r="G27" s="38"/>
      <c r="H27" s="38"/>
      <c r="I27" s="39">
        <f>+I23+I25</f>
        <v>1922743.8792556503</v>
      </c>
      <c r="K27" s="13"/>
    </row>
    <row r="28" spans="1:13" ht="13.5" thickTop="1">
      <c r="A28" s="7"/>
      <c r="B28" s="11"/>
      <c r="C28" s="13"/>
      <c r="D28" s="13"/>
      <c r="E28" s="13"/>
      <c r="F28" s="5"/>
      <c r="G28" s="6"/>
      <c r="H28" s="13"/>
      <c r="I28" s="11"/>
      <c r="J28" s="13"/>
      <c r="K28" s="13"/>
    </row>
    <row r="29" spans="1:13">
      <c r="A29" s="7"/>
      <c r="B29" s="13"/>
      <c r="C29" s="13"/>
      <c r="D29" s="13"/>
      <c r="E29" s="13"/>
      <c r="F29" s="5"/>
      <c r="G29" s="6"/>
      <c r="H29" s="13"/>
      <c r="I29" s="11"/>
      <c r="J29" s="13"/>
      <c r="K29" s="13"/>
    </row>
    <row r="30" spans="1:13" ht="15.75">
      <c r="A30" s="40"/>
      <c r="B30" s="41" t="s">
        <v>953</v>
      </c>
      <c r="C30" s="41"/>
      <c r="D30" s="42"/>
      <c r="E30" s="41"/>
      <c r="F30" s="41"/>
      <c r="G30" s="41"/>
      <c r="H30" s="41"/>
      <c r="I30" s="22"/>
      <c r="J30" s="41"/>
      <c r="L30" s="43"/>
    </row>
    <row r="31" spans="1:13" ht="15.75">
      <c r="A31" s="40">
        <v>8</v>
      </c>
      <c r="B31" s="41" t="s">
        <v>44</v>
      </c>
      <c r="D31" s="42"/>
      <c r="E31" s="41"/>
      <c r="F31" s="41"/>
      <c r="G31" s="44" t="s">
        <v>45</v>
      </c>
      <c r="H31" s="41"/>
      <c r="I31" s="29">
        <v>0</v>
      </c>
      <c r="J31" s="41"/>
      <c r="L31" s="43"/>
    </row>
    <row r="32" spans="1:13" ht="15.75">
      <c r="A32" s="40">
        <v>9</v>
      </c>
      <c r="B32" s="41" t="s">
        <v>46</v>
      </c>
      <c r="C32" s="42"/>
      <c r="D32" s="42"/>
      <c r="E32" s="42"/>
      <c r="F32" s="42"/>
      <c r="G32" s="42" t="s">
        <v>47</v>
      </c>
      <c r="H32" s="42"/>
      <c r="I32" s="29">
        <v>0</v>
      </c>
      <c r="J32" s="41"/>
      <c r="L32" s="43"/>
    </row>
    <row r="33" spans="1:12" ht="15.75">
      <c r="A33" s="40">
        <v>10</v>
      </c>
      <c r="B33" s="42" t="s">
        <v>48</v>
      </c>
      <c r="C33" s="41"/>
      <c r="D33" s="41"/>
      <c r="E33" s="41"/>
      <c r="G33" s="44" t="s">
        <v>49</v>
      </c>
      <c r="H33" s="41"/>
      <c r="I33" s="29">
        <v>0</v>
      </c>
      <c r="J33" s="41"/>
      <c r="L33" s="43"/>
    </row>
    <row r="34" spans="1:12" ht="15.75">
      <c r="A34" s="40">
        <v>11</v>
      </c>
      <c r="B34" s="41" t="s">
        <v>50</v>
      </c>
      <c r="C34" s="41"/>
      <c r="D34" s="41"/>
      <c r="E34" s="41"/>
      <c r="G34" s="44" t="s">
        <v>51</v>
      </c>
      <c r="H34" s="41"/>
      <c r="I34" s="29">
        <v>0</v>
      </c>
      <c r="J34" s="41"/>
      <c r="L34" s="43"/>
    </row>
    <row r="35" spans="1:12" ht="15.75">
      <c r="A35" s="40">
        <v>12</v>
      </c>
      <c r="B35" s="42" t="s">
        <v>52</v>
      </c>
      <c r="C35" s="41"/>
      <c r="D35" s="41"/>
      <c r="E35" s="41"/>
      <c r="F35" s="41"/>
      <c r="G35" s="44"/>
      <c r="H35" s="41"/>
      <c r="I35" s="29">
        <v>0</v>
      </c>
      <c r="J35" s="41"/>
      <c r="L35" s="43"/>
    </row>
    <row r="36" spans="1:12" ht="15.75">
      <c r="A36" s="40">
        <v>13</v>
      </c>
      <c r="B36" s="42" t="s">
        <v>53</v>
      </c>
      <c r="C36" s="41"/>
      <c r="D36" s="41"/>
      <c r="E36" s="41"/>
      <c r="F36" s="41"/>
      <c r="G36" s="44" t="s">
        <v>29</v>
      </c>
      <c r="H36" s="41"/>
      <c r="I36" s="29">
        <v>0</v>
      </c>
      <c r="J36" s="41"/>
      <c r="L36" s="43"/>
    </row>
    <row r="37" spans="1:12" ht="16.5" thickBot="1">
      <c r="A37" s="40">
        <v>14</v>
      </c>
      <c r="B37" s="42" t="s">
        <v>54</v>
      </c>
      <c r="C37" s="41"/>
      <c r="D37" s="41"/>
      <c r="E37" s="41"/>
      <c r="F37" s="41"/>
      <c r="G37" s="44"/>
      <c r="H37" s="41"/>
      <c r="I37" s="45">
        <v>0</v>
      </c>
      <c r="J37" s="41"/>
      <c r="L37" s="43"/>
    </row>
    <row r="38" spans="1:12" ht="15.75">
      <c r="A38" s="40">
        <v>15</v>
      </c>
      <c r="B38" s="44" t="s">
        <v>55</v>
      </c>
      <c r="C38" s="41"/>
      <c r="D38" s="41"/>
      <c r="E38" s="41"/>
      <c r="F38" s="41"/>
      <c r="G38" s="41"/>
      <c r="H38" s="41"/>
      <c r="I38" s="22">
        <f>SUM(I31:I37)</f>
        <v>0</v>
      </c>
      <c r="J38" s="41"/>
      <c r="L38" s="43"/>
    </row>
    <row r="39" spans="1:12" ht="15.75">
      <c r="A39" s="40"/>
      <c r="B39" s="41"/>
      <c r="C39" s="41"/>
      <c r="D39" s="41"/>
      <c r="E39" s="41"/>
      <c r="F39" s="41"/>
      <c r="G39" s="41"/>
      <c r="H39" s="41"/>
      <c r="I39" s="22"/>
      <c r="J39" s="41"/>
      <c r="L39" s="43"/>
    </row>
    <row r="40" spans="1:12" ht="15.75">
      <c r="A40" s="40">
        <v>16</v>
      </c>
      <c r="B40" s="41" t="s">
        <v>56</v>
      </c>
      <c r="C40" s="41" t="s">
        <v>57</v>
      </c>
      <c r="D40" s="22">
        <f>IF(I38&gt;0,I27/I38,0)</f>
        <v>0</v>
      </c>
      <c r="E40" s="22"/>
      <c r="F40" s="22"/>
      <c r="G40" s="22"/>
      <c r="H40" s="22"/>
      <c r="I40" s="22"/>
      <c r="J40" s="41"/>
      <c r="L40" s="43"/>
    </row>
    <row r="41" spans="1:12" ht="15.75">
      <c r="A41" s="40">
        <v>17</v>
      </c>
      <c r="B41" s="41" t="s">
        <v>58</v>
      </c>
      <c r="C41" s="41" t="s">
        <v>59</v>
      </c>
      <c r="D41" s="22">
        <f>+D40/12</f>
        <v>0</v>
      </c>
      <c r="E41" s="22"/>
      <c r="F41" s="22"/>
      <c r="G41" s="22"/>
      <c r="H41" s="22"/>
      <c r="I41" s="22"/>
      <c r="J41" s="41"/>
      <c r="L41" s="43"/>
    </row>
    <row r="42" spans="1:12" ht="15.75">
      <c r="A42" s="40"/>
      <c r="B42" s="41"/>
      <c r="C42" s="41"/>
      <c r="D42" s="22"/>
      <c r="E42" s="22"/>
      <c r="F42" s="22"/>
      <c r="G42" s="22"/>
      <c r="H42" s="22"/>
      <c r="I42" s="22"/>
      <c r="J42" s="41"/>
      <c r="L42" s="43"/>
    </row>
    <row r="43" spans="1:12" ht="15.75">
      <c r="A43" s="40"/>
      <c r="B43" s="41"/>
      <c r="C43" s="41"/>
      <c r="D43" s="46" t="s">
        <v>60</v>
      </c>
      <c r="E43" s="22"/>
      <c r="F43" s="22"/>
      <c r="G43" s="22"/>
      <c r="H43" s="22"/>
      <c r="I43" s="46" t="s">
        <v>61</v>
      </c>
      <c r="J43" s="41"/>
      <c r="L43" s="43"/>
    </row>
    <row r="44" spans="1:12" ht="15.75">
      <c r="A44" s="40"/>
      <c r="B44" s="41"/>
      <c r="C44" s="41"/>
      <c r="D44" s="22"/>
      <c r="E44" s="22"/>
      <c r="F44" s="22"/>
      <c r="G44" s="22"/>
      <c r="H44" s="22"/>
      <c r="I44" s="22"/>
      <c r="J44" s="41"/>
      <c r="L44" s="43"/>
    </row>
    <row r="45" spans="1:12" ht="15.75">
      <c r="A45" s="40">
        <v>18</v>
      </c>
      <c r="B45" s="41" t="s">
        <v>62</v>
      </c>
      <c r="C45" s="47" t="s">
        <v>63</v>
      </c>
      <c r="D45" s="22">
        <f>+D40/52</f>
        <v>0</v>
      </c>
      <c r="E45" s="22"/>
      <c r="F45" s="22"/>
      <c r="G45" s="22"/>
      <c r="H45" s="22"/>
      <c r="I45" s="22">
        <f>+D40/52</f>
        <v>0</v>
      </c>
      <c r="J45" s="41"/>
      <c r="L45" s="43"/>
    </row>
    <row r="46" spans="1:12" ht="15.75">
      <c r="A46" s="40">
        <v>19</v>
      </c>
      <c r="B46" s="41" t="s">
        <v>64</v>
      </c>
      <c r="C46" s="47" t="s">
        <v>65</v>
      </c>
      <c r="D46" s="22">
        <f>+D40/260</f>
        <v>0</v>
      </c>
      <c r="E46" s="22" t="s">
        <v>66</v>
      </c>
      <c r="F46" s="22"/>
      <c r="G46" s="22"/>
      <c r="H46" s="22"/>
      <c r="I46" s="22">
        <f>+D40/365</f>
        <v>0</v>
      </c>
      <c r="J46" s="41"/>
      <c r="L46" s="43"/>
    </row>
    <row r="47" spans="1:12" ht="15.75">
      <c r="A47" s="40">
        <v>20</v>
      </c>
      <c r="B47" s="41" t="s">
        <v>67</v>
      </c>
      <c r="C47" s="47" t="s">
        <v>68</v>
      </c>
      <c r="D47" s="22">
        <f>+D40/4160*1000</f>
        <v>0</v>
      </c>
      <c r="E47" s="22" t="s">
        <v>69</v>
      </c>
      <c r="F47" s="22"/>
      <c r="G47" s="22"/>
      <c r="H47" s="22"/>
      <c r="I47" s="22">
        <f>+D40/8760*1000</f>
        <v>0</v>
      </c>
      <c r="J47" s="41"/>
      <c r="L47" s="43" t="s">
        <v>9</v>
      </c>
    </row>
    <row r="48" spans="1:12" ht="15.75">
      <c r="A48" s="40"/>
      <c r="B48" s="41"/>
      <c r="C48" s="41" t="s">
        <v>70</v>
      </c>
      <c r="D48" s="22"/>
      <c r="E48" s="22" t="s">
        <v>71</v>
      </c>
      <c r="F48" s="22"/>
      <c r="G48" s="22"/>
      <c r="H48" s="22"/>
      <c r="I48" s="22"/>
      <c r="J48" s="41"/>
      <c r="L48" s="43" t="s">
        <v>9</v>
      </c>
    </row>
    <row r="49" spans="1:12" ht="15.75">
      <c r="A49" s="40"/>
      <c r="B49" s="41"/>
      <c r="C49" s="41"/>
      <c r="D49" s="22"/>
      <c r="E49" s="22"/>
      <c r="F49" s="22"/>
      <c r="G49" s="22"/>
      <c r="H49" s="22"/>
      <c r="I49" s="22"/>
      <c r="J49" s="41"/>
      <c r="L49" s="43" t="s">
        <v>9</v>
      </c>
    </row>
    <row r="50" spans="1:12" ht="15.75">
      <c r="A50" s="40">
        <v>21</v>
      </c>
      <c r="B50" s="41" t="s">
        <v>72</v>
      </c>
      <c r="C50" s="41" t="s">
        <v>73</v>
      </c>
      <c r="D50" s="48">
        <v>0</v>
      </c>
      <c r="E50" s="49" t="s">
        <v>74</v>
      </c>
      <c r="F50" s="49"/>
      <c r="G50" s="49"/>
      <c r="H50" s="49"/>
      <c r="I50" s="49">
        <f>D50</f>
        <v>0</v>
      </c>
      <c r="J50" s="50" t="s">
        <v>74</v>
      </c>
      <c r="L50" s="43"/>
    </row>
    <row r="51" spans="1:12" ht="15.75">
      <c r="A51" s="40">
        <v>22</v>
      </c>
      <c r="B51" s="41"/>
      <c r="C51" s="41"/>
      <c r="D51" s="48">
        <v>0</v>
      </c>
      <c r="E51" s="49" t="s">
        <v>75</v>
      </c>
      <c r="F51" s="49"/>
      <c r="G51" s="49"/>
      <c r="H51" s="49"/>
      <c r="I51" s="49">
        <f>D51</f>
        <v>0</v>
      </c>
      <c r="J51" s="50" t="s">
        <v>75</v>
      </c>
      <c r="L51" s="43"/>
    </row>
    <row r="52" spans="1:12" ht="15.75">
      <c r="A52" s="40"/>
      <c r="C52" s="41"/>
      <c r="D52" s="41"/>
      <c r="E52" s="50"/>
      <c r="F52" s="50"/>
      <c r="G52" s="50"/>
      <c r="H52" s="50"/>
      <c r="I52" s="50"/>
      <c r="J52" s="50"/>
      <c r="K52" s="50"/>
      <c r="L52" s="43"/>
    </row>
    <row r="53" spans="1:12">
      <c r="A53" s="7"/>
      <c r="B53" s="13"/>
      <c r="C53" s="13"/>
      <c r="D53" s="51"/>
      <c r="E53" s="51"/>
      <c r="F53" s="51"/>
      <c r="G53" s="51"/>
      <c r="H53" s="51"/>
      <c r="I53" s="51"/>
      <c r="J53" s="51"/>
      <c r="K53" s="52" t="str">
        <f>+K1</f>
        <v>Attachment O-GLH</v>
      </c>
    </row>
    <row r="54" spans="1:12">
      <c r="A54" s="5"/>
      <c r="B54" s="13"/>
      <c r="C54" s="13"/>
      <c r="D54" s="13"/>
      <c r="E54" s="13"/>
      <c r="F54" s="13"/>
      <c r="G54" s="13"/>
      <c r="H54" s="13"/>
      <c r="I54" s="53"/>
      <c r="J54" s="13"/>
      <c r="K54" s="52" t="s">
        <v>76</v>
      </c>
    </row>
    <row r="55" spans="1:12">
      <c r="A55" s="5"/>
      <c r="B55" s="13"/>
      <c r="C55" s="13"/>
      <c r="D55" s="13"/>
      <c r="E55" s="13"/>
      <c r="F55" s="13"/>
      <c r="G55" s="13"/>
      <c r="H55" s="13"/>
      <c r="I55" s="13"/>
      <c r="J55" s="13"/>
      <c r="K55" s="13"/>
    </row>
    <row r="56" spans="1:12">
      <c r="A56" s="5"/>
      <c r="B56" s="13" t="s">
        <v>2</v>
      </c>
      <c r="C56" s="13"/>
      <c r="D56" s="18" t="s">
        <v>949</v>
      </c>
      <c r="E56" s="13"/>
      <c r="F56" s="13"/>
      <c r="G56" s="13"/>
      <c r="H56" s="13"/>
      <c r="I56" s="1"/>
      <c r="J56" s="13"/>
      <c r="K56" s="52" t="str">
        <f>K3</f>
        <v>For the 12 months ended 12/31/2020</v>
      </c>
    </row>
    <row r="57" spans="1:12">
      <c r="A57" s="5"/>
      <c r="B57" s="54"/>
      <c r="C57" s="11"/>
      <c r="D57" s="12" t="s">
        <v>4</v>
      </c>
      <c r="E57" s="11"/>
      <c r="F57" s="11"/>
      <c r="G57" s="11"/>
      <c r="H57" s="11"/>
      <c r="I57" s="11"/>
      <c r="J57" s="11"/>
      <c r="K57" s="11"/>
    </row>
    <row r="58" spans="1:12">
      <c r="A58" s="5"/>
      <c r="B58" s="13"/>
      <c r="C58" s="11"/>
      <c r="D58" s="12" t="str">
        <f>+D5</f>
        <v>GridLiance Heartland LLC</v>
      </c>
      <c r="E58" s="11"/>
      <c r="F58" s="11"/>
      <c r="G58" s="11" t="s">
        <v>9</v>
      </c>
      <c r="H58" s="11"/>
      <c r="I58" s="11"/>
      <c r="J58" s="11"/>
      <c r="K58" s="11"/>
    </row>
    <row r="59" spans="1:12">
      <c r="A59" s="695"/>
      <c r="B59" s="695"/>
      <c r="C59" s="695"/>
      <c r="D59" s="695"/>
      <c r="E59" s="695"/>
      <c r="F59" s="695"/>
      <c r="G59" s="695"/>
      <c r="H59" s="695"/>
      <c r="I59" s="695"/>
      <c r="J59" s="695"/>
      <c r="K59" s="695"/>
    </row>
    <row r="60" spans="1:12">
      <c r="A60" s="5"/>
      <c r="B60" s="18" t="s">
        <v>6</v>
      </c>
      <c r="C60" s="18" t="s">
        <v>7</v>
      </c>
      <c r="D60" s="18" t="s">
        <v>8</v>
      </c>
      <c r="E60" s="11" t="s">
        <v>9</v>
      </c>
      <c r="F60" s="11"/>
      <c r="G60" s="17" t="s">
        <v>10</v>
      </c>
      <c r="H60" s="11"/>
      <c r="I60" s="17" t="s">
        <v>11</v>
      </c>
      <c r="J60" s="11"/>
      <c r="K60" s="18"/>
    </row>
    <row r="61" spans="1:12">
      <c r="A61" s="5"/>
      <c r="B61" s="13"/>
      <c r="C61" s="55"/>
      <c r="D61" s="11"/>
      <c r="E61" s="11"/>
      <c r="F61" s="11"/>
      <c r="G61" s="7"/>
      <c r="H61" s="11"/>
      <c r="I61" s="56" t="s">
        <v>77</v>
      </c>
      <c r="J61" s="11"/>
      <c r="K61" s="18"/>
    </row>
    <row r="62" spans="1:12">
      <c r="A62" s="7" t="s">
        <v>12</v>
      </c>
      <c r="B62" s="13"/>
      <c r="C62" s="57" t="s">
        <v>15</v>
      </c>
      <c r="D62" s="56" t="s">
        <v>78</v>
      </c>
      <c r="E62" s="58"/>
      <c r="F62" s="56" t="s">
        <v>79</v>
      </c>
      <c r="G62" s="5"/>
      <c r="H62" s="58"/>
      <c r="I62" s="7" t="s">
        <v>80</v>
      </c>
      <c r="J62" s="11"/>
      <c r="K62" s="18"/>
    </row>
    <row r="63" spans="1:12" ht="13.5" thickBot="1">
      <c r="A63" s="19" t="s">
        <v>14</v>
      </c>
      <c r="B63" s="59" t="s">
        <v>81</v>
      </c>
      <c r="C63" s="11"/>
      <c r="D63" s="11"/>
      <c r="E63" s="11"/>
      <c r="F63" s="11"/>
      <c r="G63" s="11"/>
      <c r="H63" s="11"/>
      <c r="I63" s="11"/>
      <c r="J63" s="11"/>
      <c r="K63" s="11"/>
    </row>
    <row r="64" spans="1:12">
      <c r="A64" s="7"/>
      <c r="B64" s="13" t="s">
        <v>82</v>
      </c>
      <c r="C64" s="11"/>
      <c r="D64" s="11"/>
      <c r="E64" s="11"/>
      <c r="F64" s="11"/>
      <c r="G64" s="11"/>
      <c r="H64" s="11"/>
      <c r="I64" s="11"/>
      <c r="J64" s="11"/>
      <c r="K64" s="11"/>
    </row>
    <row r="65" spans="1:11">
      <c r="A65" s="7">
        <v>1</v>
      </c>
      <c r="B65" s="13" t="s">
        <v>83</v>
      </c>
      <c r="C65" s="23" t="s">
        <v>84</v>
      </c>
      <c r="D65" s="4">
        <f>'4- Rate Base'!C23</f>
        <v>0</v>
      </c>
      <c r="E65" s="11"/>
      <c r="F65" s="11" t="s">
        <v>85</v>
      </c>
      <c r="G65" s="60">
        <v>0</v>
      </c>
      <c r="H65" s="11"/>
      <c r="I65" s="4">
        <f>+G65*D65</f>
        <v>0</v>
      </c>
      <c r="J65" s="11"/>
      <c r="K65" s="11"/>
    </row>
    <row r="66" spans="1:11">
      <c r="A66" s="7">
        <f>+A65+1</f>
        <v>2</v>
      </c>
      <c r="B66" s="13" t="s">
        <v>86</v>
      </c>
      <c r="C66" s="23" t="s">
        <v>87</v>
      </c>
      <c r="D66" s="4">
        <f>'4- Rate Base'!D23</f>
        <v>21966736.641538464</v>
      </c>
      <c r="E66" s="11"/>
      <c r="F66" s="11" t="s">
        <v>88</v>
      </c>
      <c r="G66" s="60">
        <f>I209</f>
        <v>0.23598582233179097</v>
      </c>
      <c r="H66" s="23"/>
      <c r="I66" s="4">
        <f>+G66*D66</f>
        <v>5183838.4102993384</v>
      </c>
      <c r="J66" s="11"/>
      <c r="K66" s="11"/>
    </row>
    <row r="67" spans="1:11">
      <c r="A67" s="7">
        <f>+A66+1</f>
        <v>3</v>
      </c>
      <c r="B67" s="13" t="s">
        <v>89</v>
      </c>
      <c r="C67" s="23" t="s">
        <v>90</v>
      </c>
      <c r="D67" s="4">
        <f>'4- Rate Base'!E23</f>
        <v>0</v>
      </c>
      <c r="E67" s="11"/>
      <c r="F67" s="11" t="s">
        <v>85</v>
      </c>
      <c r="G67" s="60">
        <v>0</v>
      </c>
      <c r="H67" s="23"/>
      <c r="I67" s="4">
        <f>+G67*D67</f>
        <v>0</v>
      </c>
      <c r="J67" s="11"/>
      <c r="K67" s="11"/>
    </row>
    <row r="68" spans="1:11">
      <c r="A68" s="7">
        <f>+A67+1</f>
        <v>4</v>
      </c>
      <c r="B68" s="13" t="s">
        <v>91</v>
      </c>
      <c r="C68" s="23" t="s">
        <v>92</v>
      </c>
      <c r="D68" s="4">
        <f>'4- Rate Base'!F23</f>
        <v>0</v>
      </c>
      <c r="E68" s="11"/>
      <c r="F68" s="11" t="s">
        <v>93</v>
      </c>
      <c r="G68" s="60">
        <f>I217</f>
        <v>0.23598582233179097</v>
      </c>
      <c r="H68" s="23"/>
      <c r="I68" s="4">
        <f>+G68*D68</f>
        <v>0</v>
      </c>
      <c r="J68" s="11"/>
      <c r="K68" s="11"/>
    </row>
    <row r="69" spans="1:11" ht="13.5" thickBot="1">
      <c r="A69" s="7">
        <f>+A68+1</f>
        <v>5</v>
      </c>
      <c r="B69" s="13" t="s">
        <v>94</v>
      </c>
      <c r="C69" s="23" t="s">
        <v>95</v>
      </c>
      <c r="D69" s="61">
        <f>'4- Rate Base'!G23</f>
        <v>0</v>
      </c>
      <c r="E69" s="11"/>
      <c r="F69" s="11" t="s">
        <v>96</v>
      </c>
      <c r="G69" s="60">
        <f>K221</f>
        <v>0.23598582233179097</v>
      </c>
      <c r="H69" s="23"/>
      <c r="I69" s="61">
        <f>+G69*D69</f>
        <v>0</v>
      </c>
      <c r="J69" s="11"/>
      <c r="K69" s="11"/>
    </row>
    <row r="70" spans="1:11">
      <c r="A70" s="7">
        <f>+A69+1</f>
        <v>6</v>
      </c>
      <c r="B70" s="6" t="s">
        <v>97</v>
      </c>
      <c r="C70" s="11" t="s">
        <v>98</v>
      </c>
      <c r="D70" s="4">
        <f>SUM(D65:D69)</f>
        <v>21966736.641538464</v>
      </c>
      <c r="E70" s="11"/>
      <c r="F70" s="11" t="s">
        <v>99</v>
      </c>
      <c r="G70" s="60">
        <f>IF(I70&gt;0,I70/D70,0)</f>
        <v>0.23598582233179097</v>
      </c>
      <c r="H70" s="23"/>
      <c r="I70" s="4">
        <f>SUM(I65:I69)</f>
        <v>5183838.4102993384</v>
      </c>
      <c r="J70" s="11"/>
      <c r="K70" s="63"/>
    </row>
    <row r="71" spans="1:11">
      <c r="A71" s="7"/>
      <c r="B71" s="13"/>
      <c r="C71" s="11"/>
      <c r="D71" s="4"/>
      <c r="E71" s="11"/>
      <c r="F71" s="11"/>
      <c r="G71" s="60"/>
      <c r="H71" s="11"/>
      <c r="I71" s="4"/>
      <c r="J71" s="11"/>
      <c r="K71" s="63"/>
    </row>
    <row r="72" spans="1:11">
      <c r="A72" s="7"/>
      <c r="B72" s="13" t="s">
        <v>100</v>
      </c>
      <c r="C72" s="11"/>
      <c r="D72" s="4"/>
      <c r="E72" s="11"/>
      <c r="F72" s="11"/>
      <c r="G72" s="60"/>
      <c r="H72" s="11"/>
      <c r="I72" s="4"/>
      <c r="J72" s="11"/>
      <c r="K72" s="11"/>
    </row>
    <row r="73" spans="1:11">
      <c r="A73" s="7">
        <f>+A70+1</f>
        <v>7</v>
      </c>
      <c r="B73" s="13" t="s">
        <v>83</v>
      </c>
      <c r="C73" s="23" t="s">
        <v>101</v>
      </c>
      <c r="D73" s="4">
        <f>'4- Rate Base'!L23</f>
        <v>0</v>
      </c>
      <c r="E73" s="11"/>
      <c r="F73" s="11" t="s">
        <v>85</v>
      </c>
      <c r="G73" s="60">
        <f>+G65</f>
        <v>0</v>
      </c>
      <c r="H73" s="11"/>
      <c r="I73" s="4">
        <f>+G73*D73</f>
        <v>0</v>
      </c>
      <c r="J73" s="11"/>
      <c r="K73" s="11"/>
    </row>
    <row r="74" spans="1:11">
      <c r="A74" s="7">
        <f>+A73+1</f>
        <v>8</v>
      </c>
      <c r="B74" s="13" t="s">
        <v>86</v>
      </c>
      <c r="C74" s="23" t="s">
        <v>102</v>
      </c>
      <c r="D74" s="4">
        <f>'4- Rate Base'!M23</f>
        <v>10672014.768461537</v>
      </c>
      <c r="E74" s="11"/>
      <c r="F74" s="11" t="s">
        <v>88</v>
      </c>
      <c r="G74" s="60">
        <f>+G66</f>
        <v>0.23598582233179097</v>
      </c>
      <c r="H74" s="23"/>
      <c r="I74" s="4">
        <f>+G74*D74</f>
        <v>2518444.1810724135</v>
      </c>
      <c r="J74" s="11"/>
      <c r="K74" s="11"/>
    </row>
    <row r="75" spans="1:11">
      <c r="A75" s="7">
        <f>+A74+1</f>
        <v>9</v>
      </c>
      <c r="B75" s="13" t="s">
        <v>89</v>
      </c>
      <c r="C75" s="23" t="s">
        <v>103</v>
      </c>
      <c r="D75" s="4">
        <f>'4- Rate Base'!N23</f>
        <v>0</v>
      </c>
      <c r="E75" s="11"/>
      <c r="F75" s="11" t="s">
        <v>85</v>
      </c>
      <c r="G75" s="60">
        <f>+G67</f>
        <v>0</v>
      </c>
      <c r="H75" s="23"/>
      <c r="I75" s="4">
        <f>+G75*D75</f>
        <v>0</v>
      </c>
      <c r="J75" s="11"/>
      <c r="K75" s="11"/>
    </row>
    <row r="76" spans="1:11">
      <c r="A76" s="7">
        <f>+A75+1</f>
        <v>10</v>
      </c>
      <c r="B76" s="13" t="s">
        <v>91</v>
      </c>
      <c r="C76" s="23" t="s">
        <v>104</v>
      </c>
      <c r="D76" s="4">
        <f>'4- Rate Base'!O23</f>
        <v>0</v>
      </c>
      <c r="E76" s="11"/>
      <c r="F76" s="11" t="s">
        <v>93</v>
      </c>
      <c r="G76" s="60">
        <f>+G68</f>
        <v>0.23598582233179097</v>
      </c>
      <c r="H76" s="23"/>
      <c r="I76" s="4">
        <f>+G76*D76</f>
        <v>0</v>
      </c>
      <c r="J76" s="11"/>
      <c r="K76" s="11"/>
    </row>
    <row r="77" spans="1:11" ht="13.5" thickBot="1">
      <c r="A77" s="7">
        <f>+A76+1</f>
        <v>11</v>
      </c>
      <c r="B77" s="13" t="s">
        <v>94</v>
      </c>
      <c r="C77" s="23" t="s">
        <v>105</v>
      </c>
      <c r="D77" s="61">
        <f>'4- Rate Base'!P23</f>
        <v>0</v>
      </c>
      <c r="E77" s="11"/>
      <c r="F77" s="11" t="s">
        <v>96</v>
      </c>
      <c r="G77" s="60">
        <f>+G69</f>
        <v>0.23598582233179097</v>
      </c>
      <c r="H77" s="23"/>
      <c r="I77" s="61">
        <f>+G77*D77</f>
        <v>0</v>
      </c>
      <c r="J77" s="11"/>
      <c r="K77" s="11"/>
    </row>
    <row r="78" spans="1:11">
      <c r="A78" s="7">
        <f>+A77+1</f>
        <v>12</v>
      </c>
      <c r="B78" s="13" t="s">
        <v>106</v>
      </c>
      <c r="C78" s="11" t="s">
        <v>107</v>
      </c>
      <c r="D78" s="4">
        <f>SUM(D73:D77)</f>
        <v>10672014.768461537</v>
      </c>
      <c r="E78" s="11"/>
      <c r="F78" s="11"/>
      <c r="G78" s="60"/>
      <c r="H78" s="23"/>
      <c r="I78" s="4">
        <f>SUM(I73:I77)</f>
        <v>2518444.1810724135</v>
      </c>
      <c r="J78" s="11"/>
      <c r="K78" s="11"/>
    </row>
    <row r="79" spans="1:11">
      <c r="A79" s="7"/>
      <c r="B79" s="5"/>
      <c r="C79" s="11" t="s">
        <v>9</v>
      </c>
      <c r="D79" s="4"/>
      <c r="E79" s="11"/>
      <c r="F79" s="11"/>
      <c r="G79" s="60"/>
      <c r="H79" s="11"/>
      <c r="I79" s="4"/>
      <c r="J79" s="11"/>
      <c r="K79" s="63"/>
    </row>
    <row r="80" spans="1:11">
      <c r="A80" s="7"/>
      <c r="B80" s="13" t="s">
        <v>108</v>
      </c>
      <c r="C80" s="11"/>
      <c r="D80" s="4"/>
      <c r="E80" s="11"/>
      <c r="F80" s="11"/>
      <c r="G80" s="60"/>
      <c r="H80" s="11"/>
      <c r="I80" s="4"/>
      <c r="J80" s="11"/>
      <c r="K80" s="11"/>
    </row>
    <row r="81" spans="1:11">
      <c r="A81" s="7">
        <f>+A78+1</f>
        <v>13</v>
      </c>
      <c r="B81" s="13" t="s">
        <v>83</v>
      </c>
      <c r="C81" s="11" t="str">
        <f>"(Line "&amp;A65&amp;" - Line "&amp;A73&amp;")"</f>
        <v>(Line 1 - Line 7)</v>
      </c>
      <c r="D81" s="4">
        <f>D65-D73</f>
        <v>0</v>
      </c>
      <c r="E81" s="23"/>
      <c r="F81" s="23"/>
      <c r="G81" s="60"/>
      <c r="H81" s="23"/>
      <c r="I81" s="4">
        <f>I65-I73</f>
        <v>0</v>
      </c>
      <c r="J81" s="11"/>
      <c r="K81" s="63"/>
    </row>
    <row r="82" spans="1:11">
      <c r="A82" s="7">
        <f>+A81+1</f>
        <v>14</v>
      </c>
      <c r="B82" s="13" t="s">
        <v>86</v>
      </c>
      <c r="C82" s="11" t="str">
        <f>"(Line "&amp;A66&amp;" - Line "&amp;A74&amp;")"</f>
        <v>(Line 2 - Line 8)</v>
      </c>
      <c r="D82" s="4">
        <f>D66-D74</f>
        <v>11294721.873076927</v>
      </c>
      <c r="E82" s="23"/>
      <c r="F82" s="23"/>
      <c r="G82" s="60"/>
      <c r="H82" s="23"/>
      <c r="I82" s="4">
        <f>I66-I74</f>
        <v>2665394.2292269249</v>
      </c>
      <c r="J82" s="11"/>
      <c r="K82" s="63"/>
    </row>
    <row r="83" spans="1:11">
      <c r="A83" s="7">
        <f>+A82+1</f>
        <v>15</v>
      </c>
      <c r="B83" s="13" t="s">
        <v>89</v>
      </c>
      <c r="C83" s="11" t="str">
        <f>"(Line "&amp;A67&amp;" - Line "&amp;A75&amp;")"</f>
        <v>(Line 3 - Line 9)</v>
      </c>
      <c r="D83" s="4">
        <f>D67-D75</f>
        <v>0</v>
      </c>
      <c r="E83" s="23"/>
      <c r="F83" s="23"/>
      <c r="G83" s="60"/>
      <c r="H83" s="23"/>
      <c r="I83" s="4">
        <f>I67-I75</f>
        <v>0</v>
      </c>
      <c r="J83" s="11"/>
      <c r="K83" s="63"/>
    </row>
    <row r="84" spans="1:11">
      <c r="A84" s="7">
        <f>+A83+1</f>
        <v>16</v>
      </c>
      <c r="B84" s="13" t="s">
        <v>91</v>
      </c>
      <c r="C84" s="11" t="str">
        <f>"(Line "&amp;A68&amp;" - Line "&amp;A76&amp;")"</f>
        <v>(Line 4 - Line 10)</v>
      </c>
      <c r="D84" s="4">
        <f>D68-D76</f>
        <v>0</v>
      </c>
      <c r="E84" s="23"/>
      <c r="F84" s="23"/>
      <c r="G84" s="60"/>
      <c r="H84" s="23"/>
      <c r="I84" s="4">
        <f>I68-I76</f>
        <v>0</v>
      </c>
      <c r="J84" s="11"/>
      <c r="K84" s="63"/>
    </row>
    <row r="85" spans="1:11" ht="13.5" thickBot="1">
      <c r="A85" s="7">
        <f>+A84+1</f>
        <v>17</v>
      </c>
      <c r="B85" s="13" t="s">
        <v>94</v>
      </c>
      <c r="C85" s="11" t="str">
        <f>"(Line "&amp;A69&amp;" - Line "&amp;A77&amp;")"</f>
        <v>(Line 5 - Line 11)</v>
      </c>
      <c r="D85" s="61">
        <f>D69-D77</f>
        <v>0</v>
      </c>
      <c r="E85" s="23"/>
      <c r="F85" s="23"/>
      <c r="G85" s="60"/>
      <c r="H85" s="23"/>
      <c r="I85" s="61">
        <f>I69-I77</f>
        <v>0</v>
      </c>
      <c r="J85" s="11"/>
      <c r="K85" s="63"/>
    </row>
    <row r="86" spans="1:11">
      <c r="A86" s="7">
        <f>+A85+1</f>
        <v>18</v>
      </c>
      <c r="B86" s="13" t="s">
        <v>109</v>
      </c>
      <c r="C86" s="11" t="s">
        <v>110</v>
      </c>
      <c r="D86" s="4">
        <f>SUM(D81:D85)</f>
        <v>11294721.873076927</v>
      </c>
      <c r="E86" s="23"/>
      <c r="F86" s="23" t="s">
        <v>111</v>
      </c>
      <c r="G86" s="60">
        <f>IF(I86&gt;0,I86/D86,0)</f>
        <v>0.23598582233179097</v>
      </c>
      <c r="H86" s="23"/>
      <c r="I86" s="4">
        <f>SUM(I81:I85)</f>
        <v>2665394.2292269249</v>
      </c>
      <c r="J86" s="11"/>
      <c r="K86" s="11"/>
    </row>
    <row r="87" spans="1:11">
      <c r="A87" s="7"/>
      <c r="B87" s="13"/>
      <c r="C87" s="11"/>
      <c r="D87" s="4"/>
      <c r="E87" s="23"/>
      <c r="F87" s="23"/>
      <c r="G87" s="60"/>
      <c r="H87" s="23"/>
      <c r="I87" s="4"/>
      <c r="J87" s="11"/>
      <c r="K87" s="11"/>
    </row>
    <row r="88" spans="1:11">
      <c r="A88" s="7" t="s">
        <v>112</v>
      </c>
      <c r="B88" s="35" t="s">
        <v>113</v>
      </c>
      <c r="C88" s="38" t="s">
        <v>114</v>
      </c>
      <c r="D88" s="4">
        <f>+'4- Rate Base'!H23</f>
        <v>0</v>
      </c>
      <c r="E88" s="38"/>
      <c r="F88" s="38" t="str">
        <f>+F96</f>
        <v>DA</v>
      </c>
      <c r="G88" s="60">
        <v>1</v>
      </c>
      <c r="H88" s="38"/>
      <c r="I88" s="4">
        <f>+G88*D88</f>
        <v>0</v>
      </c>
      <c r="J88" s="11"/>
      <c r="K88" s="11"/>
    </row>
    <row r="89" spans="1:11">
      <c r="A89" s="7"/>
      <c r="B89" s="5"/>
      <c r="C89" s="11"/>
      <c r="D89" s="4"/>
      <c r="E89" s="11"/>
      <c r="F89" s="5"/>
      <c r="G89" s="60"/>
      <c r="H89" s="11"/>
      <c r="I89" s="4"/>
      <c r="J89" s="11"/>
      <c r="K89" s="63"/>
    </row>
    <row r="90" spans="1:11">
      <c r="A90" s="7"/>
      <c r="B90" s="6" t="s">
        <v>115</v>
      </c>
      <c r="C90" s="11"/>
      <c r="D90" s="4"/>
      <c r="E90" s="11"/>
      <c r="F90" s="11"/>
      <c r="G90" s="60"/>
      <c r="H90" s="11"/>
      <c r="I90" s="4"/>
      <c r="J90" s="11"/>
      <c r="K90" s="11"/>
    </row>
    <row r="91" spans="1:11">
      <c r="A91" s="7">
        <f>+A86+1</f>
        <v>19</v>
      </c>
      <c r="B91" s="13" t="s">
        <v>116</v>
      </c>
      <c r="C91" s="11"/>
      <c r="D91" s="4">
        <f>+'4- Rate Base'!E42</f>
        <v>0</v>
      </c>
      <c r="E91" s="11"/>
      <c r="F91" s="11" t="s">
        <v>85</v>
      </c>
      <c r="G91" s="60" t="s">
        <v>117</v>
      </c>
      <c r="H91" s="23"/>
      <c r="I91" s="4">
        <v>0</v>
      </c>
      <c r="J91" s="11"/>
      <c r="K91" s="63"/>
    </row>
    <row r="92" spans="1:11">
      <c r="A92" s="7">
        <f>+A91+1</f>
        <v>20</v>
      </c>
      <c r="B92" s="13" t="s">
        <v>116</v>
      </c>
      <c r="C92" s="11"/>
      <c r="D92" s="4">
        <f>+'4- Rate Base'!F42</f>
        <v>0</v>
      </c>
      <c r="E92" s="11"/>
      <c r="F92" s="11" t="s">
        <v>85</v>
      </c>
      <c r="G92" s="60" t="s">
        <v>117</v>
      </c>
      <c r="H92" s="23"/>
      <c r="I92" s="4">
        <v>0</v>
      </c>
      <c r="J92" s="11"/>
      <c r="K92" s="63"/>
    </row>
    <row r="93" spans="1:11">
      <c r="A93" s="7">
        <f>+A92+1</f>
        <v>21</v>
      </c>
      <c r="B93" s="13" t="s">
        <v>116</v>
      </c>
      <c r="C93" s="11"/>
      <c r="D93" s="4">
        <f>+'4- Rate Base'!G42</f>
        <v>0</v>
      </c>
      <c r="E93" s="11"/>
      <c r="F93" s="11" t="s">
        <v>85</v>
      </c>
      <c r="G93" s="60" t="s">
        <v>117</v>
      </c>
      <c r="H93" s="23"/>
      <c r="I93" s="4">
        <v>0</v>
      </c>
      <c r="J93" s="11"/>
      <c r="K93" s="63"/>
    </row>
    <row r="94" spans="1:11">
      <c r="A94" s="7">
        <f>+A93+1</f>
        <v>22</v>
      </c>
      <c r="B94" s="13" t="s">
        <v>118</v>
      </c>
      <c r="C94" s="11" t="s">
        <v>119</v>
      </c>
      <c r="D94" s="4">
        <f>'8e-ADIT True-up'!H16</f>
        <v>88524.563013698629</v>
      </c>
      <c r="E94" s="11"/>
      <c r="F94" s="11" t="s">
        <v>120</v>
      </c>
      <c r="G94" s="81">
        <f>G86</f>
        <v>0.23598582233179097</v>
      </c>
      <c r="H94" s="23"/>
      <c r="I94" s="4">
        <f>D94*G94</f>
        <v>20890.541799350118</v>
      </c>
      <c r="J94" s="11"/>
      <c r="K94" s="63"/>
    </row>
    <row r="95" spans="1:11">
      <c r="A95" s="7">
        <f>+A94+1</f>
        <v>23</v>
      </c>
      <c r="B95" s="5" t="s">
        <v>121</v>
      </c>
      <c r="C95" s="5" t="s">
        <v>122</v>
      </c>
      <c r="D95" s="4">
        <f>+'4- Rate Base'!I42</f>
        <v>0</v>
      </c>
      <c r="E95" s="11"/>
      <c r="F95" s="11" t="s">
        <v>120</v>
      </c>
      <c r="G95" s="60">
        <f>+G86</f>
        <v>0.23598582233179097</v>
      </c>
      <c r="H95" s="23"/>
      <c r="I95" s="4">
        <f>D95*G95</f>
        <v>0</v>
      </c>
      <c r="J95" s="11"/>
      <c r="K95" s="63"/>
    </row>
    <row r="96" spans="1:11">
      <c r="A96" s="7" t="s">
        <v>123</v>
      </c>
      <c r="B96" s="35" t="s">
        <v>124</v>
      </c>
      <c r="C96" s="38" t="s">
        <v>125</v>
      </c>
      <c r="D96" s="4">
        <f>+'4- Rate Base'!C42</f>
        <v>0</v>
      </c>
      <c r="E96" s="38"/>
      <c r="F96" s="38" t="str">
        <f>+F97</f>
        <v>DA</v>
      </c>
      <c r="G96" s="81">
        <v>1</v>
      </c>
      <c r="H96" s="38"/>
      <c r="I96" s="4">
        <f>+G96*D96</f>
        <v>0</v>
      </c>
      <c r="K96" s="63"/>
    </row>
    <row r="97" spans="1:11">
      <c r="A97" s="7" t="s">
        <v>126</v>
      </c>
      <c r="B97" s="35" t="s">
        <v>127</v>
      </c>
      <c r="C97" s="38" t="s">
        <v>128</v>
      </c>
      <c r="D97" s="4">
        <f>+'4- Rate Base'!D42</f>
        <v>0</v>
      </c>
      <c r="E97" s="38"/>
      <c r="F97" s="38" t="s">
        <v>24</v>
      </c>
      <c r="G97" s="60">
        <v>1</v>
      </c>
      <c r="H97" s="38"/>
      <c r="I97" s="4">
        <f>+G97*D97</f>
        <v>0</v>
      </c>
      <c r="K97" s="63"/>
    </row>
    <row r="98" spans="1:11" ht="13.5" thickBot="1">
      <c r="A98" s="7" t="s">
        <v>129</v>
      </c>
      <c r="B98" s="35" t="s">
        <v>130</v>
      </c>
      <c r="C98" s="38" t="s">
        <v>131</v>
      </c>
      <c r="D98" s="61">
        <f>+'4- Rate Base'!I59</f>
        <v>0</v>
      </c>
      <c r="E98" s="38"/>
      <c r="F98" s="38" t="str">
        <f>+F97</f>
        <v>DA</v>
      </c>
      <c r="G98" s="60">
        <f>+G97</f>
        <v>1</v>
      </c>
      <c r="H98" s="38"/>
      <c r="I98" s="61">
        <f>+D98*G98</f>
        <v>0</v>
      </c>
      <c r="K98" s="63"/>
    </row>
    <row r="99" spans="1:11">
      <c r="A99" s="7">
        <v>24</v>
      </c>
      <c r="B99" s="13" t="s">
        <v>132</v>
      </c>
      <c r="C99" s="11" t="s">
        <v>133</v>
      </c>
      <c r="D99" s="4">
        <f>SUM(D91:D98)</f>
        <v>88524.563013698629</v>
      </c>
      <c r="E99" s="11"/>
      <c r="F99" s="11"/>
      <c r="G99" s="60"/>
      <c r="H99" s="23"/>
      <c r="I99" s="4">
        <f>SUM(I91:I98)</f>
        <v>20890.541799350118</v>
      </c>
      <c r="J99" s="11"/>
      <c r="K99" s="11"/>
    </row>
    <row r="100" spans="1:11">
      <c r="A100" s="7"/>
      <c r="B100" s="5"/>
      <c r="C100" s="11"/>
      <c r="D100" s="4"/>
      <c r="E100" s="11"/>
      <c r="F100" s="11"/>
      <c r="G100" s="60"/>
      <c r="H100" s="11"/>
      <c r="I100" s="4"/>
      <c r="J100" s="11"/>
      <c r="K100" s="63"/>
    </row>
    <row r="101" spans="1:11">
      <c r="A101" s="7">
        <f>+A99+1</f>
        <v>25</v>
      </c>
      <c r="B101" s="6" t="s">
        <v>134</v>
      </c>
      <c r="C101" s="64" t="s">
        <v>135</v>
      </c>
      <c r="D101" s="62">
        <f>+'4- Rate Base'!I23</f>
        <v>10709.692307692309</v>
      </c>
      <c r="E101" s="11"/>
      <c r="F101" s="11" t="s">
        <v>88</v>
      </c>
      <c r="G101" s="60">
        <f>+G74</f>
        <v>0.23598582233179097</v>
      </c>
      <c r="H101" s="23"/>
      <c r="I101" s="4">
        <f>+G101*D101</f>
        <v>2527.3355461512256</v>
      </c>
      <c r="J101" s="11"/>
      <c r="K101" s="11"/>
    </row>
    <row r="102" spans="1:11">
      <c r="A102" s="7"/>
      <c r="B102" s="13"/>
      <c r="C102" s="11"/>
      <c r="D102" s="4"/>
      <c r="E102" s="11"/>
      <c r="F102" s="11"/>
      <c r="G102" s="60"/>
      <c r="H102" s="23"/>
      <c r="I102" s="4"/>
      <c r="J102" s="11"/>
      <c r="K102" s="11"/>
    </row>
    <row r="103" spans="1:11">
      <c r="A103" s="7"/>
      <c r="B103" s="13" t="s">
        <v>136</v>
      </c>
      <c r="C103" s="11" t="s">
        <v>137</v>
      </c>
      <c r="D103" s="4"/>
      <c r="E103" s="11"/>
      <c r="F103" s="11"/>
      <c r="G103" s="60"/>
      <c r="H103" s="23"/>
      <c r="I103" s="4"/>
      <c r="J103" s="11"/>
      <c r="K103" s="11"/>
    </row>
    <row r="104" spans="1:11">
      <c r="A104" s="7">
        <f>+A101+1</f>
        <v>26</v>
      </c>
      <c r="B104" s="13" t="s">
        <v>138</v>
      </c>
      <c r="C104" s="5" t="s">
        <v>139</v>
      </c>
      <c r="D104" s="4">
        <f>(D138-D135)/8</f>
        <v>823439.5225000002</v>
      </c>
      <c r="E104" s="11"/>
      <c r="F104" s="11"/>
      <c r="G104" s="60"/>
      <c r="H104" s="23"/>
      <c r="I104" s="4">
        <f>(I138-I135)/8</f>
        <v>194320.05285765982</v>
      </c>
      <c r="J104" s="13"/>
      <c r="K104" s="63"/>
    </row>
    <row r="105" spans="1:11">
      <c r="A105" s="7">
        <f>+A104+1</f>
        <v>27</v>
      </c>
      <c r="B105" s="13" t="s">
        <v>140</v>
      </c>
      <c r="C105" s="64" t="s">
        <v>141</v>
      </c>
      <c r="D105" s="4">
        <f>+'4- Rate Base'!J23</f>
        <v>276094.33461538458</v>
      </c>
      <c r="E105" s="11"/>
      <c r="F105" s="11" t="s">
        <v>88</v>
      </c>
      <c r="G105" s="60">
        <f>+G122</f>
        <v>0.23598582233179097</v>
      </c>
      <c r="H105" s="23"/>
      <c r="I105" s="4">
        <f>+G105*D105</f>
        <v>65154.348595360192</v>
      </c>
      <c r="J105" s="11" t="s">
        <v>9</v>
      </c>
      <c r="K105" s="63"/>
    </row>
    <row r="106" spans="1:11" ht="13.5" thickBot="1">
      <c r="A106" s="7">
        <f>+A105+1</f>
        <v>28</v>
      </c>
      <c r="B106" s="13" t="s">
        <v>142</v>
      </c>
      <c r="C106" s="23" t="s">
        <v>143</v>
      </c>
      <c r="D106" s="61">
        <f>+'4- Rate Base'!K23</f>
        <v>1369365.2376923077</v>
      </c>
      <c r="E106" s="11"/>
      <c r="F106" s="11" t="s">
        <v>144</v>
      </c>
      <c r="G106" s="60">
        <f>+G70</f>
        <v>0.23598582233179097</v>
      </c>
      <c r="H106" s="23"/>
      <c r="I106" s="61">
        <f>+G106*D106</f>
        <v>323150.78168938763</v>
      </c>
      <c r="J106" s="11"/>
      <c r="K106" s="63"/>
    </row>
    <row r="107" spans="1:11">
      <c r="A107" s="7">
        <f>+A106+1</f>
        <v>29</v>
      </c>
      <c r="B107" s="13" t="s">
        <v>145</v>
      </c>
      <c r="C107" s="13" t="s">
        <v>146</v>
      </c>
      <c r="D107" s="4">
        <f>SUM(D104:D106)</f>
        <v>2468899.0948076923</v>
      </c>
      <c r="E107" s="13"/>
      <c r="F107" s="13"/>
      <c r="G107" s="1"/>
      <c r="H107" s="1"/>
      <c r="I107" s="4">
        <f>I104+I105+I106</f>
        <v>582625.18314240756</v>
      </c>
      <c r="J107" s="13"/>
      <c r="K107" s="13"/>
    </row>
    <row r="108" spans="1:11" ht="13.5" thickBot="1">
      <c r="A108" s="7"/>
      <c r="B108" s="5"/>
      <c r="C108" s="11"/>
      <c r="D108" s="61"/>
      <c r="E108" s="11"/>
      <c r="F108" s="11"/>
      <c r="G108" s="11"/>
      <c r="H108" s="11"/>
      <c r="I108" s="61"/>
      <c r="J108" s="11"/>
      <c r="K108" s="11"/>
    </row>
    <row r="109" spans="1:11" ht="13.5" thickBot="1">
      <c r="A109" s="7">
        <f>+A107+1</f>
        <v>30</v>
      </c>
      <c r="B109" s="13" t="s">
        <v>147</v>
      </c>
      <c r="C109" s="11" t="s">
        <v>148</v>
      </c>
      <c r="D109" s="506">
        <f>+D107+D101+D99+D86+D88</f>
        <v>13862855.22320601</v>
      </c>
      <c r="E109" s="23"/>
      <c r="F109" s="23"/>
      <c r="G109" s="66"/>
      <c r="H109" s="23"/>
      <c r="I109" s="65">
        <f>+I107+I101+I99+I86+I88</f>
        <v>3271437.2897148337</v>
      </c>
      <c r="J109" s="11"/>
      <c r="K109" s="63"/>
    </row>
    <row r="110" spans="1:11" ht="13.5" thickTop="1">
      <c r="A110" s="7"/>
      <c r="B110" s="13"/>
      <c r="C110" s="11"/>
      <c r="D110" s="23"/>
      <c r="E110" s="23"/>
      <c r="F110" s="23"/>
      <c r="G110" s="66"/>
      <c r="H110" s="23"/>
      <c r="I110" s="23"/>
      <c r="J110" s="11"/>
      <c r="K110" s="63"/>
    </row>
    <row r="111" spans="1:11">
      <c r="A111" s="7"/>
      <c r="B111" s="13"/>
      <c r="C111" s="11"/>
      <c r="D111" s="23"/>
      <c r="E111" s="23"/>
      <c r="F111" s="23"/>
      <c r="G111" s="66"/>
      <c r="H111" s="23"/>
      <c r="I111" s="23"/>
      <c r="J111" s="11"/>
      <c r="K111" s="63"/>
    </row>
    <row r="112" spans="1:11">
      <c r="A112" s="7"/>
      <c r="B112" s="13"/>
      <c r="C112" s="11"/>
      <c r="D112" s="11"/>
      <c r="E112" s="11"/>
      <c r="F112" s="11"/>
      <c r="G112" s="11"/>
      <c r="H112" s="11"/>
      <c r="I112" s="11"/>
      <c r="J112" s="11"/>
      <c r="K112" s="52" t="str">
        <f>+K1</f>
        <v>Attachment O-GLH</v>
      </c>
    </row>
    <row r="113" spans="1:11">
      <c r="A113" s="7"/>
      <c r="B113" s="13"/>
      <c r="C113" s="11"/>
      <c r="D113" s="11"/>
      <c r="E113" s="11"/>
      <c r="F113" s="11"/>
      <c r="G113" s="11"/>
      <c r="H113" s="11"/>
      <c r="I113" s="11"/>
      <c r="J113" s="11"/>
      <c r="K113" s="52" t="s">
        <v>149</v>
      </c>
    </row>
    <row r="114" spans="1:11">
      <c r="A114" s="7"/>
      <c r="B114" s="13" t="s">
        <v>2</v>
      </c>
      <c r="C114" s="11"/>
      <c r="D114" s="12" t="s">
        <v>949</v>
      </c>
      <c r="E114" s="11"/>
      <c r="F114" s="11"/>
      <c r="G114" s="11"/>
      <c r="H114" s="11"/>
      <c r="I114" s="1"/>
      <c r="J114" s="11"/>
      <c r="K114" s="67" t="str">
        <f>K3</f>
        <v>For the 12 months ended 12/31/2020</v>
      </c>
    </row>
    <row r="115" spans="1:11">
      <c r="A115" s="7"/>
      <c r="B115" s="13"/>
      <c r="C115" s="11"/>
      <c r="D115" s="12" t="s">
        <v>4</v>
      </c>
      <c r="E115" s="11"/>
      <c r="F115" s="11"/>
      <c r="G115" s="11"/>
      <c r="H115" s="11"/>
      <c r="I115" s="11"/>
      <c r="J115" s="11"/>
      <c r="K115" s="11"/>
    </row>
    <row r="116" spans="1:11">
      <c r="A116" s="7"/>
      <c r="B116" s="5"/>
      <c r="C116" s="11"/>
      <c r="D116" s="12" t="str">
        <f>+D58</f>
        <v>GridLiance Heartland LLC</v>
      </c>
      <c r="E116" s="11"/>
      <c r="F116" s="11"/>
      <c r="G116" s="11"/>
      <c r="H116" s="11"/>
      <c r="I116" s="11"/>
      <c r="J116" s="11"/>
      <c r="K116" s="11"/>
    </row>
    <row r="117" spans="1:11">
      <c r="A117" s="696"/>
      <c r="B117" s="696"/>
      <c r="C117" s="696"/>
      <c r="D117" s="696"/>
      <c r="E117" s="696"/>
      <c r="F117" s="696"/>
      <c r="G117" s="696"/>
      <c r="H117" s="696"/>
      <c r="I117" s="696"/>
      <c r="J117" s="696"/>
      <c r="K117" s="696"/>
    </row>
    <row r="118" spans="1:11">
      <c r="A118" s="7"/>
      <c r="B118" s="18" t="s">
        <v>6</v>
      </c>
      <c r="C118" s="18" t="s">
        <v>7</v>
      </c>
      <c r="D118" s="18" t="s">
        <v>8</v>
      </c>
      <c r="E118" s="11" t="s">
        <v>9</v>
      </c>
      <c r="F118" s="11"/>
      <c r="G118" s="17" t="s">
        <v>10</v>
      </c>
      <c r="H118" s="11"/>
      <c r="I118" s="17" t="s">
        <v>11</v>
      </c>
      <c r="J118" s="11"/>
      <c r="K118" s="11"/>
    </row>
    <row r="119" spans="1:11">
      <c r="A119" s="7" t="s">
        <v>12</v>
      </c>
      <c r="B119" s="13"/>
      <c r="C119" s="55"/>
      <c r="D119" s="11"/>
      <c r="E119" s="11"/>
      <c r="F119" s="11"/>
      <c r="G119" s="7"/>
      <c r="H119" s="11"/>
      <c r="I119" s="56" t="s">
        <v>77</v>
      </c>
      <c r="J119" s="11"/>
      <c r="K119" s="56"/>
    </row>
    <row r="120" spans="1:11" ht="13.5" thickBot="1">
      <c r="A120" s="19" t="s">
        <v>14</v>
      </c>
      <c r="B120" s="13"/>
      <c r="C120" s="57" t="s">
        <v>15</v>
      </c>
      <c r="D120" s="56" t="s">
        <v>78</v>
      </c>
      <c r="E120" s="58"/>
      <c r="F120" s="56" t="s">
        <v>79</v>
      </c>
      <c r="G120" s="5"/>
      <c r="H120" s="58"/>
      <c r="I120" s="7" t="s">
        <v>80</v>
      </c>
      <c r="J120" s="11"/>
      <c r="K120" s="56"/>
    </row>
    <row r="121" spans="1:11">
      <c r="A121" s="7"/>
      <c r="B121" s="13" t="s">
        <v>150</v>
      </c>
      <c r="C121" s="11" t="s">
        <v>151</v>
      </c>
      <c r="D121" s="11"/>
      <c r="E121" s="11"/>
      <c r="F121" s="11"/>
      <c r="G121" s="11"/>
      <c r="H121" s="11"/>
      <c r="I121" s="11"/>
      <c r="J121" s="11"/>
      <c r="K121" s="11"/>
    </row>
    <row r="122" spans="1:11">
      <c r="A122" s="7">
        <v>1</v>
      </c>
      <c r="B122" s="13" t="s">
        <v>152</v>
      </c>
      <c r="C122" s="11" t="s">
        <v>153</v>
      </c>
      <c r="D122" s="4">
        <f>+'5-P3 Support'!C22</f>
        <v>4571071.2500000009</v>
      </c>
      <c r="E122" s="11"/>
      <c r="F122" s="11" t="s">
        <v>88</v>
      </c>
      <c r="G122" s="60">
        <f>+I209</f>
        <v>0.23598582233179097</v>
      </c>
      <c r="H122" s="23"/>
      <c r="I122" s="4">
        <f t="shared" ref="I122:I133" si="0">+G122*D122</f>
        <v>1078708.0078684578</v>
      </c>
      <c r="J122" s="13"/>
      <c r="K122" s="11"/>
    </row>
    <row r="123" spans="1:11">
      <c r="A123" s="34" t="s">
        <v>154</v>
      </c>
      <c r="B123" s="69" t="s">
        <v>155</v>
      </c>
      <c r="C123" s="11" t="s">
        <v>156</v>
      </c>
      <c r="D123" s="4">
        <f>+'5-P3 Support'!N22</f>
        <v>1102459.3400000001</v>
      </c>
      <c r="E123" s="38"/>
      <c r="F123" s="38" t="str">
        <f>+F122</f>
        <v>TP</v>
      </c>
      <c r="G123" s="60">
        <f>+G122</f>
        <v>0.23598582233179097</v>
      </c>
      <c r="H123" s="38"/>
      <c r="I123" s="4">
        <f t="shared" si="0"/>
        <v>260164.77393726356</v>
      </c>
      <c r="K123" s="11"/>
    </row>
    <row r="124" spans="1:11">
      <c r="A124" s="34" t="s">
        <v>157</v>
      </c>
      <c r="B124" s="41" t="s">
        <v>158</v>
      </c>
      <c r="C124" s="11" t="s">
        <v>159</v>
      </c>
      <c r="D124" s="4">
        <f>+'5-P3 Support'!D22</f>
        <v>0</v>
      </c>
      <c r="E124" s="38"/>
      <c r="F124" s="38" t="str">
        <f>+F123</f>
        <v>TP</v>
      </c>
      <c r="G124" s="60">
        <f>+G123</f>
        <v>0.23598582233179097</v>
      </c>
      <c r="H124" s="38"/>
      <c r="I124" s="4">
        <f t="shared" si="0"/>
        <v>0</v>
      </c>
      <c r="K124" s="11"/>
    </row>
    <row r="125" spans="1:11">
      <c r="A125" s="34">
        <v>2</v>
      </c>
      <c r="B125" s="13" t="s">
        <v>160</v>
      </c>
      <c r="C125" s="11" t="s">
        <v>161</v>
      </c>
      <c r="D125" s="4">
        <f>+'5-P3 Support'!E22</f>
        <v>0</v>
      </c>
      <c r="E125" s="11"/>
      <c r="F125" s="11" t="str">
        <f>+F123</f>
        <v>TP</v>
      </c>
      <c r="G125" s="60">
        <f>+G124</f>
        <v>0.23598582233179097</v>
      </c>
      <c r="H125" s="23"/>
      <c r="I125" s="4">
        <f t="shared" si="0"/>
        <v>0</v>
      </c>
      <c r="J125" s="13"/>
      <c r="K125" s="11"/>
    </row>
    <row r="126" spans="1:11">
      <c r="A126" s="34">
        <f>+A125+1</f>
        <v>3</v>
      </c>
      <c r="B126" s="13" t="s">
        <v>162</v>
      </c>
      <c r="C126" s="11" t="s">
        <v>163</v>
      </c>
      <c r="D126" s="4">
        <f>+'5-P3 Support'!F22-D149</f>
        <v>3118904.27</v>
      </c>
      <c r="E126" s="11"/>
      <c r="F126" s="11" t="s">
        <v>93</v>
      </c>
      <c r="G126" s="60">
        <f>+I217</f>
        <v>0.23598582233179097</v>
      </c>
      <c r="H126" s="23"/>
      <c r="I126" s="4">
        <f t="shared" si="0"/>
        <v>736017.18893008423</v>
      </c>
      <c r="J126" s="11"/>
      <c r="K126" s="11" t="s">
        <v>9</v>
      </c>
    </row>
    <row r="127" spans="1:11">
      <c r="A127" s="34">
        <f>+A126+1</f>
        <v>4</v>
      </c>
      <c r="B127" s="13" t="s">
        <v>164</v>
      </c>
      <c r="C127" s="11" t="s">
        <v>165</v>
      </c>
      <c r="D127" s="4">
        <f>'5-P3 Support'!G22</f>
        <v>0</v>
      </c>
      <c r="E127" s="11"/>
      <c r="F127" s="11" t="s">
        <v>93</v>
      </c>
      <c r="G127" s="60">
        <f>+G126</f>
        <v>0.23598582233179097</v>
      </c>
      <c r="H127" s="23"/>
      <c r="I127" s="4">
        <f t="shared" si="0"/>
        <v>0</v>
      </c>
      <c r="J127" s="11"/>
      <c r="K127" s="11"/>
    </row>
    <row r="128" spans="1:11">
      <c r="A128" s="34">
        <f>+A127+1</f>
        <v>5</v>
      </c>
      <c r="B128" s="13" t="s">
        <v>166</v>
      </c>
      <c r="C128" s="11" t="s">
        <v>167</v>
      </c>
      <c r="D128" s="4">
        <f>'5-P3 Support'!H22</f>
        <v>0</v>
      </c>
      <c r="E128" s="11"/>
      <c r="F128" s="11" t="s">
        <v>93</v>
      </c>
      <c r="G128" s="60">
        <f>+G127</f>
        <v>0.23598582233179097</v>
      </c>
      <c r="H128" s="23"/>
      <c r="I128" s="4">
        <f t="shared" si="0"/>
        <v>0</v>
      </c>
      <c r="J128" s="11"/>
      <c r="K128" s="11"/>
    </row>
    <row r="129" spans="1:11">
      <c r="A129" s="34" t="s">
        <v>168</v>
      </c>
      <c r="B129" s="13" t="s">
        <v>169</v>
      </c>
      <c r="C129" s="11" t="s">
        <v>170</v>
      </c>
      <c r="D129" s="4">
        <f>'5-P3 Support'!I22</f>
        <v>0</v>
      </c>
      <c r="E129" s="11"/>
      <c r="F129" s="70" t="s">
        <v>88</v>
      </c>
      <c r="G129" s="60">
        <f>+G122</f>
        <v>0.23598582233179097</v>
      </c>
      <c r="H129" s="23"/>
      <c r="I129" s="4">
        <f t="shared" si="0"/>
        <v>0</v>
      </c>
      <c r="J129" s="11"/>
      <c r="K129" s="11"/>
    </row>
    <row r="130" spans="1:11" s="71" customFormat="1">
      <c r="A130" s="34" t="s">
        <v>171</v>
      </c>
      <c r="B130" s="13" t="s">
        <v>172</v>
      </c>
      <c r="C130" s="11" t="s">
        <v>173</v>
      </c>
      <c r="D130" s="72">
        <f>+'7 - PBOP'!D13</f>
        <v>0</v>
      </c>
      <c r="E130" s="73"/>
      <c r="F130" s="11" t="str">
        <f>+F128</f>
        <v>W/S</v>
      </c>
      <c r="G130" s="60">
        <f>+G128</f>
        <v>0.23598582233179097</v>
      </c>
      <c r="H130" s="74"/>
      <c r="I130" s="4">
        <f t="shared" si="0"/>
        <v>0</v>
      </c>
      <c r="J130" s="73"/>
      <c r="K130" s="73"/>
    </row>
    <row r="131" spans="1:11" s="71" customFormat="1">
      <c r="A131" s="34" t="s">
        <v>174</v>
      </c>
      <c r="B131" s="13" t="s">
        <v>175</v>
      </c>
      <c r="C131" s="11" t="s">
        <v>176</v>
      </c>
      <c r="D131" s="72">
        <f>+'7 - PBOP'!D16</f>
        <v>0</v>
      </c>
      <c r="E131" s="73"/>
      <c r="F131" s="70" t="str">
        <f>+F128</f>
        <v>W/S</v>
      </c>
      <c r="G131" s="60">
        <f>+G128</f>
        <v>0.23598582233179097</v>
      </c>
      <c r="H131" s="74"/>
      <c r="I131" s="4">
        <f t="shared" si="0"/>
        <v>0</v>
      </c>
      <c r="J131" s="73"/>
      <c r="K131" s="73"/>
    </row>
    <row r="132" spans="1:11">
      <c r="A132" s="34">
        <v>6</v>
      </c>
      <c r="B132" s="13" t="s">
        <v>94</v>
      </c>
      <c r="C132" s="11" t="s">
        <v>177</v>
      </c>
      <c r="D132" s="75">
        <v>0</v>
      </c>
      <c r="E132" s="11"/>
      <c r="F132" s="11" t="s">
        <v>96</v>
      </c>
      <c r="G132" s="60">
        <f>+G77</f>
        <v>0.23598582233179097</v>
      </c>
      <c r="H132" s="23"/>
      <c r="I132" s="4">
        <f t="shared" si="0"/>
        <v>0</v>
      </c>
      <c r="J132" s="11"/>
      <c r="K132" s="11"/>
    </row>
    <row r="133" spans="1:11">
      <c r="A133" s="34">
        <f>+A132+1</f>
        <v>7</v>
      </c>
      <c r="B133" s="13" t="s">
        <v>178</v>
      </c>
      <c r="C133" s="11" t="s">
        <v>179</v>
      </c>
      <c r="D133" s="4">
        <f>'5-P3 Support'!J22</f>
        <v>0</v>
      </c>
      <c r="E133" s="11"/>
      <c r="F133" s="11" t="str">
        <f>+F135</f>
        <v>DA</v>
      </c>
      <c r="G133" s="60">
        <v>1</v>
      </c>
      <c r="H133" s="23"/>
      <c r="I133" s="4">
        <f t="shared" si="0"/>
        <v>0</v>
      </c>
      <c r="J133" s="11"/>
      <c r="K133" s="11"/>
    </row>
    <row r="134" spans="1:11">
      <c r="A134" s="34" t="s">
        <v>180</v>
      </c>
      <c r="B134" s="35" t="s">
        <v>181</v>
      </c>
      <c r="C134" s="38"/>
      <c r="D134" s="4"/>
      <c r="E134" s="38"/>
      <c r="F134" s="38"/>
      <c r="G134" s="60"/>
      <c r="H134" s="38"/>
      <c r="I134" s="4"/>
      <c r="K134" s="11"/>
    </row>
    <row r="135" spans="1:11">
      <c r="A135" s="34" t="s">
        <v>182</v>
      </c>
      <c r="B135" s="35" t="s">
        <v>183</v>
      </c>
      <c r="C135" s="38" t="s">
        <v>184</v>
      </c>
      <c r="D135" s="4">
        <f>'5-P3 Support'!K22</f>
        <v>0</v>
      </c>
      <c r="E135" s="38"/>
      <c r="F135" s="38" t="s">
        <v>24</v>
      </c>
      <c r="G135" s="81">
        <v>1</v>
      </c>
      <c r="H135" s="38"/>
      <c r="I135" s="4">
        <f>+G135*D135</f>
        <v>0</v>
      </c>
      <c r="K135" s="11"/>
    </row>
    <row r="136" spans="1:11">
      <c r="A136" s="34" t="s">
        <v>185</v>
      </c>
      <c r="B136" s="35" t="s">
        <v>186</v>
      </c>
      <c r="C136" s="11" t="s">
        <v>187</v>
      </c>
      <c r="D136" s="4">
        <f>'5-P3 Support'!L22</f>
        <v>0</v>
      </c>
      <c r="E136" s="38"/>
      <c r="F136" s="38" t="s">
        <v>88</v>
      </c>
      <c r="G136" s="60">
        <f>+G122</f>
        <v>0.23598582233179097</v>
      </c>
      <c r="H136" s="38"/>
      <c r="I136" s="4">
        <f>+G136*D136</f>
        <v>0</v>
      </c>
      <c r="K136" s="11"/>
    </row>
    <row r="137" spans="1:11" ht="13.5" thickBot="1">
      <c r="A137" s="34" t="s">
        <v>188</v>
      </c>
      <c r="B137" s="35" t="s">
        <v>189</v>
      </c>
      <c r="C137" s="38" t="s">
        <v>190</v>
      </c>
      <c r="D137" s="61">
        <f>SUM(D135:D136)</f>
        <v>0</v>
      </c>
      <c r="E137" s="38"/>
      <c r="F137" s="38"/>
      <c r="G137" s="60"/>
      <c r="H137" s="38"/>
      <c r="I137" s="61">
        <f>SUM(I135:I136)</f>
        <v>0</v>
      </c>
      <c r="K137" s="11"/>
    </row>
    <row r="138" spans="1:11">
      <c r="A138" s="34">
        <v>8</v>
      </c>
      <c r="B138" s="76" t="s">
        <v>191</v>
      </c>
      <c r="C138" s="77" t="s">
        <v>192</v>
      </c>
      <c r="D138" s="4">
        <f>+D122-D125-D123+D126-D127-D128-D130+D129+D131+D132+D133+D137-D124</f>
        <v>6587516.1800000016</v>
      </c>
      <c r="E138" s="4"/>
      <c r="F138" s="4"/>
      <c r="G138" s="60"/>
      <c r="H138" s="4"/>
      <c r="I138" s="4">
        <f>+I122-I125-I123+I126-I127-I128-I130+I129+I131+I132+I133+I137-I124</f>
        <v>1554560.4228612785</v>
      </c>
      <c r="J138" s="11"/>
      <c r="K138" s="11"/>
    </row>
    <row r="139" spans="1:11">
      <c r="A139" s="34"/>
      <c r="B139" s="5"/>
      <c r="C139" s="11"/>
      <c r="D139" s="4"/>
      <c r="E139" s="4"/>
      <c r="F139" s="4"/>
      <c r="G139" s="60"/>
      <c r="H139" s="4"/>
      <c r="I139" s="4"/>
      <c r="J139" s="11"/>
      <c r="K139" s="11"/>
    </row>
    <row r="140" spans="1:11">
      <c r="A140" s="34"/>
      <c r="B140" s="13" t="s">
        <v>193</v>
      </c>
      <c r="C140" s="11" t="s">
        <v>194</v>
      </c>
      <c r="D140" s="4"/>
      <c r="E140" s="4"/>
      <c r="F140" s="4"/>
      <c r="G140" s="60"/>
      <c r="H140" s="4"/>
      <c r="I140" s="4"/>
      <c r="J140" s="11"/>
      <c r="K140" s="11"/>
    </row>
    <row r="141" spans="1:11">
      <c r="A141" s="34">
        <v>9</v>
      </c>
      <c r="B141" s="13" t="s">
        <v>152</v>
      </c>
      <c r="C141" s="64" t="s">
        <v>195</v>
      </c>
      <c r="D141" s="4">
        <f>'5-P3 Support'!M22</f>
        <v>416168.62000000005</v>
      </c>
      <c r="E141" s="4"/>
      <c r="F141" s="4" t="s">
        <v>88</v>
      </c>
      <c r="G141" s="60">
        <f>+G101</f>
        <v>0.23598582233179097</v>
      </c>
      <c r="H141" s="4"/>
      <c r="I141" s="4">
        <f>+G141*D141</f>
        <v>98209.894019386644</v>
      </c>
      <c r="J141" s="11"/>
      <c r="K141" s="63"/>
    </row>
    <row r="142" spans="1:11">
      <c r="A142" s="34">
        <f>+A141+1</f>
        <v>10</v>
      </c>
      <c r="B142" s="78" t="s">
        <v>91</v>
      </c>
      <c r="C142" s="64" t="s">
        <v>196</v>
      </c>
      <c r="D142" s="4">
        <f>'5-P3 Support'!C41</f>
        <v>0</v>
      </c>
      <c r="E142" s="4"/>
      <c r="F142" s="4" t="s">
        <v>93</v>
      </c>
      <c r="G142" s="60">
        <f>+G126</f>
        <v>0.23598582233179097</v>
      </c>
      <c r="H142" s="4"/>
      <c r="I142" s="4">
        <f>+G142*D142</f>
        <v>0</v>
      </c>
      <c r="J142" s="11"/>
      <c r="K142" s="63"/>
    </row>
    <row r="143" spans="1:11">
      <c r="A143" s="34">
        <f>+A142+1</f>
        <v>11</v>
      </c>
      <c r="B143" s="13" t="s">
        <v>94</v>
      </c>
      <c r="C143" s="64" t="s">
        <v>197</v>
      </c>
      <c r="D143" s="4">
        <f>'5-P3 Support'!N41</f>
        <v>0</v>
      </c>
      <c r="E143" s="4"/>
      <c r="F143" s="4" t="s">
        <v>96</v>
      </c>
      <c r="G143" s="60">
        <f>+G132</f>
        <v>0.23598582233179097</v>
      </c>
      <c r="H143" s="4"/>
      <c r="I143" s="4">
        <f>+G143*D143</f>
        <v>0</v>
      </c>
      <c r="J143" s="11"/>
      <c r="K143" s="63"/>
    </row>
    <row r="144" spans="1:11" ht="13.5" thickBot="1">
      <c r="A144" s="34" t="s">
        <v>198</v>
      </c>
      <c r="B144" s="35" t="s">
        <v>199</v>
      </c>
      <c r="C144" s="24" t="s">
        <v>200</v>
      </c>
      <c r="D144" s="61">
        <f>'5-P3 Support'!D41</f>
        <v>0</v>
      </c>
      <c r="E144" s="4"/>
      <c r="F144" s="4" t="s">
        <v>24</v>
      </c>
      <c r="G144" s="60">
        <v>1</v>
      </c>
      <c r="H144" s="4"/>
      <c r="I144" s="61">
        <f>+G144*D144</f>
        <v>0</v>
      </c>
      <c r="J144" s="11"/>
      <c r="K144" s="63"/>
    </row>
    <row r="145" spans="1:11">
      <c r="A145" s="34">
        <v>12</v>
      </c>
      <c r="B145" s="13" t="s">
        <v>201</v>
      </c>
      <c r="C145" s="11" t="s">
        <v>202</v>
      </c>
      <c r="D145" s="4">
        <f>SUM(D141:D144)</f>
        <v>416168.62000000005</v>
      </c>
      <c r="E145" s="4"/>
      <c r="F145" s="4"/>
      <c r="G145" s="60"/>
      <c r="H145" s="4"/>
      <c r="I145" s="4">
        <f>SUM(I141:I144)</f>
        <v>98209.894019386644</v>
      </c>
      <c r="J145" s="11"/>
      <c r="K145" s="11"/>
    </row>
    <row r="146" spans="1:11">
      <c r="A146" s="34"/>
      <c r="B146" s="13"/>
      <c r="C146" s="11"/>
      <c r="D146" s="4"/>
      <c r="E146" s="4"/>
      <c r="F146" s="4"/>
      <c r="G146" s="60"/>
      <c r="H146" s="4"/>
      <c r="I146" s="4"/>
      <c r="J146" s="11"/>
      <c r="K146" s="11"/>
    </row>
    <row r="147" spans="1:11">
      <c r="A147" s="34"/>
      <c r="B147" s="13" t="s">
        <v>203</v>
      </c>
      <c r="C147" s="5" t="s">
        <v>204</v>
      </c>
      <c r="D147" s="4"/>
      <c r="E147" s="4"/>
      <c r="F147" s="4"/>
      <c r="G147" s="60"/>
      <c r="H147" s="4"/>
      <c r="I147" s="4"/>
      <c r="J147" s="11"/>
      <c r="K147" s="11"/>
    </row>
    <row r="148" spans="1:11">
      <c r="A148" s="34"/>
      <c r="B148" s="13" t="s">
        <v>205</v>
      </c>
      <c r="C148" s="5"/>
      <c r="D148" s="4"/>
      <c r="E148" s="4"/>
      <c r="F148" s="4"/>
      <c r="G148" s="60"/>
      <c r="H148" s="4"/>
      <c r="I148" s="4"/>
      <c r="J148" s="11"/>
      <c r="K148" s="63"/>
    </row>
    <row r="149" spans="1:11">
      <c r="A149" s="34">
        <f>+A145+1</f>
        <v>13</v>
      </c>
      <c r="B149" s="13" t="s">
        <v>206</v>
      </c>
      <c r="C149" s="11" t="s">
        <v>207</v>
      </c>
      <c r="D149" s="4">
        <f>'5-P3 Support'!E41</f>
        <v>0</v>
      </c>
      <c r="E149" s="4"/>
      <c r="F149" s="4" t="s">
        <v>93</v>
      </c>
      <c r="G149" s="60">
        <f>+G142</f>
        <v>0.23598582233179097</v>
      </c>
      <c r="H149" s="4"/>
      <c r="I149" s="4">
        <f>+G149*D149</f>
        <v>0</v>
      </c>
      <c r="J149" s="11"/>
      <c r="K149" s="63"/>
    </row>
    <row r="150" spans="1:11">
      <c r="A150" s="34">
        <f t="shared" ref="A150:A156" si="1">+A149+1</f>
        <v>14</v>
      </c>
      <c r="B150" s="13" t="s">
        <v>208</v>
      </c>
      <c r="C150" s="11" t="s">
        <v>209</v>
      </c>
      <c r="D150" s="4">
        <f>'5-P3 Support'!F41</f>
        <v>0</v>
      </c>
      <c r="E150" s="4"/>
      <c r="F150" s="4" t="s">
        <v>93</v>
      </c>
      <c r="G150" s="60">
        <f>+G149</f>
        <v>0.23598582233179097</v>
      </c>
      <c r="H150" s="4"/>
      <c r="I150" s="4">
        <f>+G150*D150</f>
        <v>0</v>
      </c>
      <c r="J150" s="11"/>
      <c r="K150" s="63"/>
    </row>
    <row r="151" spans="1:11">
      <c r="A151" s="34">
        <f t="shared" si="1"/>
        <v>15</v>
      </c>
      <c r="B151" s="13" t="s">
        <v>210</v>
      </c>
      <c r="C151" s="11" t="s">
        <v>9</v>
      </c>
      <c r="D151" s="4"/>
      <c r="E151" s="4"/>
      <c r="F151" s="4"/>
      <c r="G151" s="60"/>
      <c r="H151" s="4"/>
      <c r="I151" s="4"/>
      <c r="J151" s="11"/>
      <c r="K151" s="63"/>
    </row>
    <row r="152" spans="1:11">
      <c r="A152" s="34">
        <f t="shared" si="1"/>
        <v>16</v>
      </c>
      <c r="B152" s="13" t="s">
        <v>211</v>
      </c>
      <c r="C152" s="11" t="s">
        <v>212</v>
      </c>
      <c r="D152" s="4">
        <f>'5-P3 Support'!G41</f>
        <v>0</v>
      </c>
      <c r="E152" s="4"/>
      <c r="F152" s="4" t="s">
        <v>144</v>
      </c>
      <c r="G152" s="60">
        <f>+G70</f>
        <v>0.23598582233179097</v>
      </c>
      <c r="H152" s="4"/>
      <c r="I152" s="4">
        <f>+G152*D152</f>
        <v>0</v>
      </c>
      <c r="J152" s="11"/>
      <c r="K152" s="63"/>
    </row>
    <row r="153" spans="1:11">
      <c r="A153" s="34">
        <f t="shared" si="1"/>
        <v>17</v>
      </c>
      <c r="B153" s="13" t="s">
        <v>213</v>
      </c>
      <c r="C153" s="11" t="s">
        <v>214</v>
      </c>
      <c r="D153" s="4">
        <f>'5-P3 Support'!H41</f>
        <v>0</v>
      </c>
      <c r="E153" s="4"/>
      <c r="F153" s="4" t="s">
        <v>85</v>
      </c>
      <c r="G153" s="60" t="s">
        <v>117</v>
      </c>
      <c r="H153" s="4"/>
      <c r="I153" s="4">
        <v>0</v>
      </c>
      <c r="J153" s="11"/>
      <c r="K153" s="63"/>
    </row>
    <row r="154" spans="1:11">
      <c r="A154" s="34">
        <f t="shared" si="1"/>
        <v>18</v>
      </c>
      <c r="B154" s="13" t="s">
        <v>215</v>
      </c>
      <c r="C154" s="11" t="s">
        <v>216</v>
      </c>
      <c r="D154" s="4">
        <f>'5-P3 Support'!I41</f>
        <v>2893.6000000000004</v>
      </c>
      <c r="E154" s="4"/>
      <c r="F154" s="4" t="s">
        <v>144</v>
      </c>
      <c r="G154" s="60">
        <f>+G152</f>
        <v>0.23598582233179097</v>
      </c>
      <c r="H154" s="4"/>
      <c r="I154" s="4">
        <f>+G154*D154</f>
        <v>682.8485754992704</v>
      </c>
      <c r="J154" s="11"/>
      <c r="K154" s="63"/>
    </row>
    <row r="155" spans="1:11" ht="13.5" thickBot="1">
      <c r="A155" s="34">
        <f t="shared" si="1"/>
        <v>19</v>
      </c>
      <c r="B155" s="13" t="s">
        <v>217</v>
      </c>
      <c r="C155" s="11" t="s">
        <v>218</v>
      </c>
      <c r="D155" s="61">
        <f>'5-P3 Support'!J41</f>
        <v>0</v>
      </c>
      <c r="E155" s="4"/>
      <c r="F155" s="4" t="s">
        <v>144</v>
      </c>
      <c r="G155" s="60">
        <f>+G152</f>
        <v>0.23598582233179097</v>
      </c>
      <c r="H155" s="4"/>
      <c r="I155" s="61">
        <f>+G155*D155</f>
        <v>0</v>
      </c>
      <c r="J155" s="11"/>
      <c r="K155" s="63"/>
    </row>
    <row r="156" spans="1:11">
      <c r="A156" s="34">
        <f t="shared" si="1"/>
        <v>20</v>
      </c>
      <c r="B156" s="13" t="s">
        <v>219</v>
      </c>
      <c r="C156" s="11" t="s">
        <v>220</v>
      </c>
      <c r="D156" s="4">
        <f>SUM(D149:D155)</f>
        <v>2893.6000000000004</v>
      </c>
      <c r="E156" s="4"/>
      <c r="F156" s="4"/>
      <c r="G156" s="60"/>
      <c r="H156" s="4"/>
      <c r="I156" s="4">
        <f>SUM(I149:I155)</f>
        <v>682.8485754992704</v>
      </c>
      <c r="J156" s="11"/>
      <c r="K156" s="11"/>
    </row>
    <row r="157" spans="1:11">
      <c r="A157" s="34"/>
      <c r="B157" s="13"/>
      <c r="C157" s="11"/>
      <c r="D157" s="11"/>
      <c r="E157" s="11"/>
      <c r="F157" s="11"/>
      <c r="G157" s="60"/>
      <c r="H157" s="11"/>
      <c r="I157" s="11"/>
      <c r="J157" s="11"/>
      <c r="K157" s="11"/>
    </row>
    <row r="158" spans="1:11">
      <c r="A158" s="34"/>
      <c r="B158" s="13" t="s">
        <v>221</v>
      </c>
      <c r="C158" s="11" t="str">
        <f>"(Note "&amp;A$278&amp;")"</f>
        <v>(Note K)</v>
      </c>
      <c r="D158" s="11"/>
      <c r="E158" s="11"/>
      <c r="F158" s="5"/>
      <c r="G158" s="60"/>
      <c r="H158" s="11"/>
      <c r="I158" s="5"/>
      <c r="J158" s="11"/>
      <c r="K158" s="5"/>
    </row>
    <row r="159" spans="1:11">
      <c r="A159" s="34">
        <v>21</v>
      </c>
      <c r="B159" s="79" t="s">
        <v>222</v>
      </c>
      <c r="C159" s="11" t="s">
        <v>223</v>
      </c>
      <c r="D159" s="80">
        <f>'10 - Income Tax Allowance '!M28</f>
        <v>0.18849587296573275</v>
      </c>
      <c r="E159" s="11"/>
      <c r="F159" s="5"/>
      <c r="G159" s="81"/>
      <c r="H159" s="11"/>
      <c r="I159" s="5"/>
      <c r="J159" s="11"/>
      <c r="K159" s="5"/>
    </row>
    <row r="160" spans="1:11">
      <c r="A160" s="34">
        <f>+A159+1</f>
        <v>22</v>
      </c>
      <c r="B160" s="5" t="s">
        <v>224</v>
      </c>
      <c r="C160" s="11" t="s">
        <v>225</v>
      </c>
      <c r="D160" s="80">
        <f>IF(I228&gt;0,(D159/(1-D159))*(1-I228/I231),0)</f>
        <v>0.19926546442350523</v>
      </c>
      <c r="E160" s="11"/>
      <c r="F160" s="5"/>
      <c r="G160" s="81"/>
      <c r="H160" s="11"/>
      <c r="I160" s="5"/>
      <c r="J160" s="11"/>
      <c r="K160" s="5"/>
    </row>
    <row r="161" spans="1:11" ht="14.25" customHeight="1">
      <c r="A161" s="34"/>
      <c r="B161" s="13" t="s">
        <v>226</v>
      </c>
      <c r="C161" s="11" t="s">
        <v>227</v>
      </c>
      <c r="D161" s="11"/>
      <c r="E161" s="11"/>
      <c r="F161" s="5"/>
      <c r="G161" s="81"/>
      <c r="H161" s="11"/>
      <c r="I161" s="5"/>
      <c r="J161" s="11"/>
      <c r="K161" s="5"/>
    </row>
    <row r="162" spans="1:11">
      <c r="A162" s="34"/>
      <c r="B162" s="13"/>
      <c r="D162" s="11"/>
      <c r="E162" s="11"/>
      <c r="F162" s="5"/>
      <c r="G162" s="81"/>
      <c r="H162" s="11"/>
      <c r="I162" s="5"/>
      <c r="J162" s="11"/>
      <c r="K162" s="5"/>
    </row>
    <row r="163" spans="1:11">
      <c r="A163" s="34">
        <f>+A160+1</f>
        <v>23</v>
      </c>
      <c r="B163" s="79" t="str">
        <f>"      1 / (1 - T)  =  (from Line "&amp;A159&amp;")"</f>
        <v xml:space="preserve">      1 / (1 - T)  =  (from Line 21)</v>
      </c>
      <c r="C163" s="11" t="s">
        <v>228</v>
      </c>
      <c r="D163" s="80">
        <f>IF(D159&gt;0,1/(1-D159),0)</f>
        <v>1.2322796233392084</v>
      </c>
      <c r="E163" s="11"/>
      <c r="F163" s="5"/>
      <c r="G163" s="81"/>
      <c r="H163" s="11"/>
      <c r="I163" s="62"/>
      <c r="J163" s="11"/>
      <c r="K163" s="5"/>
    </row>
    <row r="164" spans="1:11">
      <c r="A164" s="34">
        <f>+A163+1</f>
        <v>24</v>
      </c>
      <c r="B164" s="13" t="s">
        <v>229</v>
      </c>
      <c r="C164" s="11" t="s">
        <v>230</v>
      </c>
      <c r="D164" s="62">
        <f>-'5-P3 Support'!K41</f>
        <v>0</v>
      </c>
      <c r="E164" s="11"/>
      <c r="F164" s="5"/>
      <c r="G164" s="81"/>
      <c r="H164" s="11"/>
      <c r="I164" s="62"/>
      <c r="J164" s="11"/>
      <c r="K164" s="5"/>
    </row>
    <row r="165" spans="1:11">
      <c r="A165" s="34" t="s">
        <v>231</v>
      </c>
      <c r="B165" s="13" t="s">
        <v>232</v>
      </c>
      <c r="C165" s="11" t="s">
        <v>233</v>
      </c>
      <c r="D165" s="62">
        <f>-'5-P3 Support'!L41</f>
        <v>0</v>
      </c>
      <c r="E165" s="11"/>
      <c r="F165" s="5"/>
      <c r="G165" s="81"/>
      <c r="H165" s="11"/>
      <c r="I165" s="62"/>
      <c r="J165" s="11"/>
      <c r="K165" s="5"/>
    </row>
    <row r="166" spans="1:11">
      <c r="A166" s="34" t="s">
        <v>234</v>
      </c>
      <c r="B166" s="13" t="s">
        <v>235</v>
      </c>
      <c r="C166" s="11" t="s">
        <v>236</v>
      </c>
      <c r="D166" s="62">
        <f>+'5-P3 Support'!M41</f>
        <v>1302</v>
      </c>
      <c r="E166" s="11"/>
      <c r="F166" s="5"/>
      <c r="G166" s="81"/>
      <c r="H166" s="11"/>
      <c r="I166" s="62"/>
      <c r="J166" s="11"/>
      <c r="K166" s="5"/>
    </row>
    <row r="167" spans="1:11">
      <c r="A167" s="34">
        <v>25</v>
      </c>
      <c r="B167" s="79" t="s">
        <v>237</v>
      </c>
      <c r="C167" s="82" t="s">
        <v>238</v>
      </c>
      <c r="D167" s="83">
        <f>(I231)*D109*D160</f>
        <v>189339.45683155349</v>
      </c>
      <c r="E167" s="23"/>
      <c r="F167" s="23"/>
      <c r="G167" s="81"/>
      <c r="H167" s="23"/>
      <c r="I167" s="83">
        <f>($I$231)*I109*$D$160</f>
        <v>44681.427420248787</v>
      </c>
      <c r="J167" s="11"/>
      <c r="K167" s="24" t="s">
        <v>9</v>
      </c>
    </row>
    <row r="168" spans="1:11">
      <c r="A168" s="34">
        <v>26</v>
      </c>
      <c r="B168" s="5" t="s">
        <v>239</v>
      </c>
      <c r="C168" s="82" t="s">
        <v>240</v>
      </c>
      <c r="D168" s="72">
        <f>+D$163*D164</f>
        <v>0</v>
      </c>
      <c r="E168" s="23"/>
      <c r="F168" s="1" t="s">
        <v>120</v>
      </c>
      <c r="G168" s="60">
        <f>G86</f>
        <v>0.23598582233179097</v>
      </c>
      <c r="H168" s="23"/>
      <c r="I168" s="72">
        <f>+D168*G168</f>
        <v>0</v>
      </c>
      <c r="J168" s="11"/>
      <c r="K168" s="24"/>
    </row>
    <row r="169" spans="1:11">
      <c r="A169" s="34" t="s">
        <v>241</v>
      </c>
      <c r="B169" s="5" t="s">
        <v>242</v>
      </c>
      <c r="C169" s="82" t="s">
        <v>243</v>
      </c>
      <c r="D169" s="72">
        <f>+D$163*D165</f>
        <v>0</v>
      </c>
      <c r="E169" s="23"/>
      <c r="F169" s="1" t="s">
        <v>120</v>
      </c>
      <c r="G169" s="60">
        <f>G168</f>
        <v>0.23598582233179097</v>
      </c>
      <c r="H169" s="23"/>
      <c r="I169" s="72">
        <f>+D169*G169</f>
        <v>0</v>
      </c>
      <c r="J169" s="11"/>
      <c r="K169" s="24"/>
    </row>
    <row r="170" spans="1:11" ht="13.5" thickBot="1">
      <c r="A170" s="34" t="s">
        <v>244</v>
      </c>
      <c r="B170" s="5" t="s">
        <v>245</v>
      </c>
      <c r="C170" s="82" t="s">
        <v>246</v>
      </c>
      <c r="D170" s="86">
        <f>+D$163*D166</f>
        <v>1604.4280695876494</v>
      </c>
      <c r="E170" s="23"/>
      <c r="F170" s="1" t="s">
        <v>120</v>
      </c>
      <c r="G170" s="60">
        <f>G169</f>
        <v>0.23598582233179097</v>
      </c>
      <c r="H170" s="23"/>
      <c r="I170" s="86">
        <f>+D170*G170</f>
        <v>378.62227737384939</v>
      </c>
      <c r="J170" s="11"/>
      <c r="K170" s="24"/>
    </row>
    <row r="171" spans="1:11">
      <c r="A171" s="34">
        <v>27</v>
      </c>
      <c r="B171" s="87" t="s">
        <v>247</v>
      </c>
      <c r="C171" s="5" t="s">
        <v>248</v>
      </c>
      <c r="D171" s="72">
        <f>SUM(D167:D170)</f>
        <v>190943.88490114114</v>
      </c>
      <c r="E171" s="23"/>
      <c r="F171" s="23" t="s">
        <v>9</v>
      </c>
      <c r="G171" s="27" t="s">
        <v>9</v>
      </c>
      <c r="H171" s="23"/>
      <c r="I171" s="72">
        <f>SUM(I167:I170)</f>
        <v>45060.049697622635</v>
      </c>
      <c r="J171" s="11"/>
      <c r="K171" s="11"/>
    </row>
    <row r="172" spans="1:11">
      <c r="A172" s="34"/>
      <c r="B172" s="5"/>
      <c r="C172" s="88"/>
      <c r="D172" s="4"/>
      <c r="E172" s="11"/>
      <c r="F172" s="11"/>
      <c r="G172" s="28"/>
      <c r="H172" s="11"/>
      <c r="I172" s="4"/>
      <c r="J172" s="11"/>
      <c r="K172" s="11"/>
    </row>
    <row r="173" spans="1:11">
      <c r="A173" s="34"/>
      <c r="B173" s="13" t="s">
        <v>249</v>
      </c>
      <c r="J173" s="11"/>
      <c r="K173" s="5"/>
    </row>
    <row r="174" spans="1:11">
      <c r="A174" s="34">
        <v>28</v>
      </c>
      <c r="B174" s="87" t="s">
        <v>250</v>
      </c>
      <c r="C174" s="79" t="s">
        <v>251</v>
      </c>
      <c r="D174" s="62">
        <f>+$I231*D109</f>
        <v>950187.01499194221</v>
      </c>
      <c r="E174" s="23"/>
      <c r="F174" s="23" t="s">
        <v>85</v>
      </c>
      <c r="G174" s="89"/>
      <c r="H174" s="23"/>
      <c r="I174" s="4">
        <f>+$I231*I109</f>
        <v>224230.66410186328</v>
      </c>
      <c r="K174" s="63"/>
    </row>
    <row r="175" spans="1:11">
      <c r="A175" s="34"/>
      <c r="B175" s="13"/>
      <c r="C175" s="5"/>
      <c r="D175" s="4"/>
      <c r="E175" s="23"/>
      <c r="F175" s="23"/>
      <c r="G175" s="89"/>
      <c r="H175" s="23"/>
      <c r="I175" s="4"/>
      <c r="J175" s="11"/>
      <c r="K175" s="63"/>
    </row>
    <row r="176" spans="1:11" ht="13.5" thickBot="1">
      <c r="A176" s="34">
        <f>A174+1</f>
        <v>29</v>
      </c>
      <c r="B176" s="13" t="s">
        <v>252</v>
      </c>
      <c r="C176" s="11" t="s">
        <v>253</v>
      </c>
      <c r="D176" s="90">
        <f>+D138+D145+D156+D171+D174</f>
        <v>8147709.299893084</v>
      </c>
      <c r="E176" s="23"/>
      <c r="F176" s="23"/>
      <c r="G176" s="23"/>
      <c r="H176" s="23"/>
      <c r="I176" s="90">
        <f>+I174+I171+I156+I145+I138</f>
        <v>1922743.8792556503</v>
      </c>
      <c r="J176" s="13"/>
      <c r="K176" s="13"/>
    </row>
    <row r="177" spans="1:13" ht="13.5" thickTop="1">
      <c r="A177" s="34"/>
      <c r="B177" s="13"/>
      <c r="C177" s="11"/>
      <c r="D177" s="23"/>
      <c r="E177" s="23"/>
      <c r="F177" s="23"/>
      <c r="G177" s="23"/>
      <c r="H177" s="23"/>
      <c r="I177" s="4"/>
      <c r="J177" s="13"/>
      <c r="K177" s="13"/>
    </row>
    <row r="178" spans="1:13">
      <c r="A178" s="40">
        <v>30</v>
      </c>
      <c r="B178" s="41" t="s">
        <v>254</v>
      </c>
      <c r="C178" s="42"/>
      <c r="D178" s="4"/>
      <c r="E178" s="4"/>
      <c r="F178" s="4"/>
      <c r="G178" s="4"/>
      <c r="H178" s="4"/>
      <c r="I178" s="4"/>
      <c r="K178" s="41"/>
    </row>
    <row r="179" spans="1:13" ht="13.5" customHeight="1">
      <c r="B179" s="47" t="s">
        <v>255</v>
      </c>
      <c r="C179" s="91"/>
      <c r="D179" s="4"/>
      <c r="E179" s="4"/>
      <c r="F179" s="4"/>
      <c r="G179" s="4"/>
      <c r="H179" s="4"/>
      <c r="I179" s="4"/>
      <c r="K179" s="41"/>
    </row>
    <row r="180" spans="1:13">
      <c r="A180" s="40"/>
      <c r="B180" s="41" t="s">
        <v>256</v>
      </c>
      <c r="C180" s="42"/>
      <c r="D180" s="92">
        <v>0</v>
      </c>
      <c r="E180" s="4"/>
      <c r="F180" s="4" t="s">
        <v>24</v>
      </c>
      <c r="G180" s="46">
        <v>1</v>
      </c>
      <c r="H180" s="4"/>
      <c r="I180" s="75">
        <f>+D180</f>
        <v>0</v>
      </c>
      <c r="K180" s="41"/>
    </row>
    <row r="181" spans="1:13">
      <c r="A181" s="40"/>
      <c r="B181" s="41"/>
      <c r="C181" s="42"/>
      <c r="D181" s="4"/>
      <c r="E181" s="4"/>
      <c r="F181" s="4"/>
      <c r="G181" s="22"/>
      <c r="H181" s="4"/>
      <c r="I181" s="4"/>
      <c r="K181" s="41"/>
    </row>
    <row r="182" spans="1:13">
      <c r="A182" s="40" t="s">
        <v>257</v>
      </c>
      <c r="B182" s="41" t="s">
        <v>258</v>
      </c>
      <c r="C182" s="42"/>
      <c r="D182" s="4"/>
      <c r="E182" s="4"/>
      <c r="F182" s="4"/>
      <c r="G182" s="22"/>
      <c r="H182" s="4"/>
      <c r="I182" s="4"/>
      <c r="K182" s="41"/>
    </row>
    <row r="183" spans="1:13" ht="15.75" customHeight="1">
      <c r="B183" s="47" t="s">
        <v>255</v>
      </c>
      <c r="C183" s="91"/>
      <c r="D183" s="4"/>
      <c r="E183" s="4"/>
      <c r="F183" s="4"/>
      <c r="G183" s="22"/>
      <c r="H183" s="4"/>
      <c r="I183" s="4"/>
      <c r="K183" s="41"/>
    </row>
    <row r="184" spans="1:13">
      <c r="A184" s="40"/>
      <c r="B184" s="41" t="s">
        <v>259</v>
      </c>
      <c r="C184" s="42"/>
      <c r="D184" s="92">
        <v>0</v>
      </c>
      <c r="E184" s="4"/>
      <c r="F184" s="4" t="s">
        <v>24</v>
      </c>
      <c r="G184" s="46">
        <v>1</v>
      </c>
      <c r="H184" s="4"/>
      <c r="I184" s="75">
        <f>+D184</f>
        <v>0</v>
      </c>
      <c r="K184" s="41"/>
    </row>
    <row r="185" spans="1:13">
      <c r="A185" s="40"/>
      <c r="B185" s="41"/>
      <c r="C185" s="42"/>
      <c r="D185" s="4"/>
      <c r="E185" s="4"/>
      <c r="F185" s="4"/>
      <c r="G185" s="46"/>
      <c r="H185" s="4"/>
      <c r="I185" s="4"/>
      <c r="K185" s="41"/>
    </row>
    <row r="186" spans="1:13">
      <c r="A186" s="40" t="s">
        <v>260</v>
      </c>
      <c r="B186" s="41" t="s">
        <v>954</v>
      </c>
      <c r="C186" s="42" t="s">
        <v>955</v>
      </c>
      <c r="D186" s="4">
        <f>+'1-Project Rev Req'!R99</f>
        <v>0</v>
      </c>
      <c r="E186" s="4"/>
      <c r="F186" s="4"/>
      <c r="G186" s="93"/>
      <c r="H186" s="4"/>
      <c r="I186" s="4">
        <f>+'1-Project Rev Req'!R99</f>
        <v>0</v>
      </c>
      <c r="K186" s="41"/>
    </row>
    <row r="187" spans="1:13">
      <c r="A187" s="40"/>
      <c r="B187" s="41" t="s">
        <v>263</v>
      </c>
      <c r="C187" s="42"/>
      <c r="D187" s="4"/>
      <c r="E187" s="4"/>
      <c r="F187" s="4"/>
      <c r="G187" s="93"/>
      <c r="H187" s="4"/>
      <c r="I187" s="4"/>
      <c r="K187" s="41"/>
    </row>
    <row r="188" spans="1:13" ht="13.5" thickBot="1">
      <c r="A188" s="40"/>
      <c r="B188" s="41"/>
      <c r="C188" s="42"/>
      <c r="D188" s="4"/>
      <c r="E188" s="4"/>
      <c r="F188" s="4"/>
      <c r="G188" s="93"/>
      <c r="H188" s="4"/>
      <c r="I188" s="4"/>
      <c r="K188" s="41"/>
    </row>
    <row r="189" spans="1:13" ht="13.5" thickBot="1">
      <c r="A189" s="40">
        <v>31</v>
      </c>
      <c r="B189" s="41" t="s">
        <v>956</v>
      </c>
      <c r="C189" s="42"/>
      <c r="D189" s="94">
        <f>+D176-D180-D184+D186</f>
        <v>8147709.299893084</v>
      </c>
      <c r="E189" s="4"/>
      <c r="F189" s="4"/>
      <c r="G189" s="4"/>
      <c r="H189" s="4"/>
      <c r="I189" s="507">
        <f>+I176-I180-I184+I186</f>
        <v>1922743.8792556503</v>
      </c>
      <c r="K189" s="41"/>
      <c r="L189" s="96"/>
      <c r="M189" s="96"/>
    </row>
    <row r="190" spans="1:13" ht="13.5" thickTop="1">
      <c r="A190" s="40"/>
      <c r="B190" s="41" t="s">
        <v>265</v>
      </c>
      <c r="C190" s="42"/>
      <c r="D190" s="4"/>
      <c r="E190" s="4"/>
      <c r="F190" s="4"/>
      <c r="G190" s="4"/>
      <c r="H190" s="4"/>
      <c r="I190" s="4"/>
      <c r="K190" s="41"/>
    </row>
    <row r="191" spans="1:13">
      <c r="A191" s="34"/>
      <c r="B191" s="13"/>
      <c r="C191" s="11"/>
      <c r="D191" s="23"/>
      <c r="E191" s="23"/>
      <c r="F191" s="23"/>
      <c r="G191" s="23"/>
      <c r="H191" s="23"/>
      <c r="I191" s="4"/>
      <c r="J191" s="13"/>
      <c r="K191" s="13"/>
    </row>
    <row r="192" spans="1:13">
      <c r="A192" s="34"/>
      <c r="B192" s="1"/>
      <c r="C192" s="23"/>
      <c r="D192" s="23"/>
      <c r="E192" s="23"/>
      <c r="F192" s="23"/>
      <c r="G192" s="23"/>
      <c r="H192" s="23"/>
      <c r="I192" s="23"/>
      <c r="J192" s="13"/>
      <c r="K192" s="13"/>
    </row>
    <row r="193" spans="1:11">
      <c r="A193" s="7"/>
      <c r="B193" s="5"/>
      <c r="C193" s="5"/>
      <c r="D193" s="5"/>
      <c r="E193" s="5"/>
      <c r="F193" s="5"/>
      <c r="G193" s="5"/>
      <c r="H193" s="5"/>
      <c r="I193" s="5"/>
      <c r="J193" s="11"/>
      <c r="K193" s="67" t="str">
        <f>+K1</f>
        <v>Attachment O-GLH</v>
      </c>
    </row>
    <row r="194" spans="1:11">
      <c r="A194" s="7"/>
      <c r="B194" s="5"/>
      <c r="C194" s="5"/>
      <c r="D194" s="5"/>
      <c r="E194" s="5"/>
      <c r="F194" s="5"/>
      <c r="G194" s="5"/>
      <c r="H194" s="5"/>
      <c r="I194" s="5"/>
      <c r="J194" s="11"/>
      <c r="K194" s="67" t="s">
        <v>266</v>
      </c>
    </row>
    <row r="195" spans="1:11">
      <c r="A195" s="7"/>
      <c r="B195" s="13" t="s">
        <v>2</v>
      </c>
      <c r="C195" s="5"/>
      <c r="D195" s="98" t="s">
        <v>949</v>
      </c>
      <c r="E195" s="5"/>
      <c r="F195" s="5"/>
      <c r="G195" s="5"/>
      <c r="H195" s="5"/>
      <c r="I195" s="1"/>
      <c r="J195" s="11"/>
      <c r="K195" s="97" t="str">
        <f>K3</f>
        <v>For the 12 months ended 12/31/2020</v>
      </c>
    </row>
    <row r="196" spans="1:11">
      <c r="A196" s="7"/>
      <c r="B196" s="13"/>
      <c r="C196" s="5"/>
      <c r="D196" s="98" t="s">
        <v>4</v>
      </c>
      <c r="E196" s="5"/>
      <c r="F196" s="5"/>
      <c r="G196" s="5"/>
      <c r="H196" s="5"/>
      <c r="I196" s="5"/>
      <c r="J196" s="11"/>
      <c r="K196" s="11"/>
    </row>
    <row r="197" spans="1:11">
      <c r="A197" s="7"/>
      <c r="B197" s="5"/>
      <c r="C197" s="5"/>
      <c r="D197" s="98" t="str">
        <f>+D116</f>
        <v>GridLiance Heartland LLC</v>
      </c>
      <c r="E197" s="5"/>
      <c r="F197" s="5"/>
      <c r="G197" s="5"/>
      <c r="H197" s="5"/>
      <c r="I197" s="5"/>
      <c r="J197" s="11"/>
      <c r="K197" s="11"/>
    </row>
    <row r="198" spans="1:11">
      <c r="A198" s="696"/>
      <c r="B198" s="696"/>
      <c r="C198" s="696"/>
      <c r="D198" s="696"/>
      <c r="E198" s="696"/>
      <c r="F198" s="696"/>
      <c r="G198" s="696"/>
      <c r="H198" s="696"/>
      <c r="I198" s="696"/>
      <c r="J198" s="696"/>
      <c r="K198" s="696"/>
    </row>
    <row r="199" spans="1:11" s="71" customFormat="1">
      <c r="A199" s="99"/>
      <c r="B199" s="18" t="s">
        <v>6</v>
      </c>
      <c r="C199" s="18" t="s">
        <v>7</v>
      </c>
      <c r="D199" s="18" t="s">
        <v>8</v>
      </c>
      <c r="E199" s="11" t="s">
        <v>9</v>
      </c>
      <c r="F199" s="11"/>
      <c r="G199" s="17" t="s">
        <v>10</v>
      </c>
      <c r="H199" s="11"/>
      <c r="I199" s="17" t="s">
        <v>11</v>
      </c>
      <c r="J199" s="73"/>
      <c r="K199" s="73"/>
    </row>
    <row r="200" spans="1:11">
      <c r="A200" s="7"/>
      <c r="B200" s="5"/>
      <c r="C200" s="13"/>
      <c r="D200" s="13"/>
      <c r="E200" s="13"/>
      <c r="F200" s="13"/>
      <c r="G200" s="13"/>
      <c r="H200" s="13"/>
      <c r="I200" s="13"/>
      <c r="J200" s="13"/>
      <c r="K200" s="13"/>
    </row>
    <row r="201" spans="1:11">
      <c r="A201" s="7"/>
      <c r="B201" s="5"/>
      <c r="C201" s="59" t="s">
        <v>267</v>
      </c>
      <c r="D201" s="5"/>
      <c r="E201" s="13"/>
      <c r="F201" s="13"/>
      <c r="G201" s="13"/>
      <c r="H201" s="13"/>
      <c r="I201" s="13"/>
      <c r="J201" s="11"/>
      <c r="K201" s="11"/>
    </row>
    <row r="202" spans="1:11">
      <c r="A202" s="7" t="s">
        <v>12</v>
      </c>
      <c r="B202" s="59"/>
      <c r="C202" s="13"/>
      <c r="D202" s="13"/>
      <c r="E202" s="13"/>
      <c r="F202" s="13"/>
      <c r="G202" s="13"/>
      <c r="H202" s="13"/>
      <c r="I202" s="13"/>
      <c r="J202" s="11"/>
      <c r="K202" s="11"/>
    </row>
    <row r="203" spans="1:11" ht="13.5" thickBot="1">
      <c r="A203" s="19" t="s">
        <v>14</v>
      </c>
      <c r="B203" s="6" t="s">
        <v>268</v>
      </c>
      <c r="C203" s="13"/>
      <c r="D203" s="13"/>
      <c r="E203" s="13"/>
      <c r="F203" s="13"/>
      <c r="G203" s="13"/>
      <c r="H203" s="5"/>
      <c r="I203" s="5"/>
      <c r="J203" s="11"/>
      <c r="K203" s="11"/>
    </row>
    <row r="204" spans="1:11">
      <c r="A204" s="7">
        <v>1</v>
      </c>
      <c r="B204" s="6" t="s">
        <v>269</v>
      </c>
      <c r="C204" s="13" t="s">
        <v>270</v>
      </c>
      <c r="D204" s="11"/>
      <c r="E204" s="11"/>
      <c r="F204" s="11"/>
      <c r="G204" s="11"/>
      <c r="H204" s="11"/>
      <c r="I204" s="4">
        <f>D66</f>
        <v>21966736.641538464</v>
      </c>
      <c r="J204" s="11"/>
      <c r="K204" s="11"/>
    </row>
    <row r="205" spans="1:11">
      <c r="A205" s="7">
        <f>+A204+1</f>
        <v>2</v>
      </c>
      <c r="B205" s="6" t="s">
        <v>957</v>
      </c>
      <c r="C205" s="5" t="s">
        <v>272</v>
      </c>
      <c r="D205" s="5"/>
      <c r="E205" s="5"/>
      <c r="F205" s="5"/>
      <c r="G205" s="5"/>
      <c r="H205" s="5"/>
      <c r="I205" s="679">
        <v>16782898.231239125</v>
      </c>
      <c r="J205" s="11"/>
      <c r="K205" s="11"/>
    </row>
    <row r="206" spans="1:11" ht="13.5" thickBot="1">
      <c r="A206" s="7">
        <f>+A205+1</f>
        <v>3</v>
      </c>
      <c r="B206" s="100" t="s">
        <v>958</v>
      </c>
      <c r="C206" s="101" t="s">
        <v>274</v>
      </c>
      <c r="D206" s="1"/>
      <c r="E206" s="11"/>
      <c r="F206" s="11"/>
      <c r="G206" s="12"/>
      <c r="H206" s="11"/>
      <c r="I206" s="102">
        <v>0</v>
      </c>
      <c r="J206" s="11"/>
      <c r="K206" s="11"/>
    </row>
    <row r="207" spans="1:11">
      <c r="A207" s="7">
        <f>+A206+1</f>
        <v>4</v>
      </c>
      <c r="B207" s="6" t="s">
        <v>959</v>
      </c>
      <c r="C207" s="13" t="s">
        <v>960</v>
      </c>
      <c r="D207" s="11"/>
      <c r="E207" s="11"/>
      <c r="F207" s="11"/>
      <c r="G207" s="12"/>
      <c r="H207" s="11"/>
      <c r="I207" s="4">
        <f>I204-I205-I206</f>
        <v>5183838.4102993384</v>
      </c>
      <c r="J207" s="11"/>
      <c r="K207" s="11"/>
    </row>
    <row r="208" spans="1:11">
      <c r="A208" s="7"/>
      <c r="B208" s="5"/>
      <c r="C208" s="13"/>
      <c r="D208" s="11"/>
      <c r="E208" s="11"/>
      <c r="F208" s="11"/>
      <c r="G208" s="12"/>
      <c r="H208" s="11"/>
      <c r="I208" s="4"/>
      <c r="J208" s="11"/>
      <c r="K208" s="11"/>
    </row>
    <row r="209" spans="1:15">
      <c r="A209" s="7">
        <f>+A207+1</f>
        <v>5</v>
      </c>
      <c r="B209" s="6" t="s">
        <v>961</v>
      </c>
      <c r="C209" s="16" t="s">
        <v>278</v>
      </c>
      <c r="D209" s="16"/>
      <c r="E209" s="16"/>
      <c r="F209" s="16"/>
      <c r="G209" s="17"/>
      <c r="H209" s="11" t="s">
        <v>279</v>
      </c>
      <c r="I209" s="60">
        <f>IF(I207&gt;0,I207/I204,0)</f>
        <v>0.23598582233179097</v>
      </c>
      <c r="J209" s="11"/>
      <c r="K209" s="11"/>
    </row>
    <row r="210" spans="1:15">
      <c r="A210" s="7"/>
      <c r="B210" s="5"/>
      <c r="C210" s="5"/>
      <c r="D210" s="5"/>
      <c r="E210" s="5"/>
      <c r="F210" s="5"/>
      <c r="G210" s="5"/>
      <c r="H210" s="5"/>
      <c r="I210" s="5"/>
      <c r="J210" s="5"/>
      <c r="K210" s="5"/>
    </row>
    <row r="211" spans="1:15">
      <c r="A211" s="104" t="s">
        <v>280</v>
      </c>
      <c r="B211" s="13" t="s">
        <v>281</v>
      </c>
      <c r="C211" s="11"/>
      <c r="D211" s="11"/>
      <c r="E211" s="11"/>
      <c r="F211" s="11"/>
      <c r="G211" s="11"/>
      <c r="H211" s="11"/>
      <c r="I211" s="11"/>
      <c r="J211" s="11"/>
      <c r="K211" s="11"/>
    </row>
    <row r="212" spans="1:15" ht="13.5" thickBot="1">
      <c r="A212" s="7"/>
      <c r="B212" s="13"/>
      <c r="C212" s="105" t="s">
        <v>282</v>
      </c>
      <c r="D212" s="106" t="s">
        <v>283</v>
      </c>
      <c r="E212" s="106" t="s">
        <v>88</v>
      </c>
      <c r="F212" s="11"/>
      <c r="G212" s="106" t="s">
        <v>284</v>
      </c>
      <c r="H212" s="11"/>
      <c r="I212" s="11"/>
      <c r="J212" s="11"/>
      <c r="K212" s="11"/>
    </row>
    <row r="213" spans="1:15">
      <c r="A213" s="7">
        <v>12</v>
      </c>
      <c r="B213" s="13" t="s">
        <v>83</v>
      </c>
      <c r="C213" s="11" t="s">
        <v>285</v>
      </c>
      <c r="D213" s="92">
        <v>0</v>
      </c>
      <c r="E213" s="22">
        <v>0</v>
      </c>
      <c r="F213" s="107"/>
      <c r="G213" s="4">
        <f>D213*E213</f>
        <v>0</v>
      </c>
      <c r="H213" s="23"/>
      <c r="I213" s="23"/>
      <c r="J213" s="11"/>
      <c r="K213" s="11"/>
    </row>
    <row r="214" spans="1:15">
      <c r="A214" s="7">
        <f>+A213+1</f>
        <v>13</v>
      </c>
      <c r="B214" s="13" t="s">
        <v>286</v>
      </c>
      <c r="C214" s="11" t="s">
        <v>287</v>
      </c>
      <c r="D214" s="92">
        <v>1</v>
      </c>
      <c r="E214" s="22">
        <f>+I209</f>
        <v>0.23598582233179097</v>
      </c>
      <c r="F214" s="107"/>
      <c r="G214" s="4">
        <f>D214*E214</f>
        <v>0.23598582233179097</v>
      </c>
      <c r="H214" s="23"/>
      <c r="I214" s="23"/>
      <c r="J214" s="11"/>
      <c r="K214" s="11"/>
    </row>
    <row r="215" spans="1:15">
      <c r="A215" s="7">
        <f>+A214+1</f>
        <v>14</v>
      </c>
      <c r="B215" s="13" t="s">
        <v>89</v>
      </c>
      <c r="C215" s="11" t="s">
        <v>288</v>
      </c>
      <c r="D215" s="92">
        <v>0</v>
      </c>
      <c r="E215" s="22">
        <v>0</v>
      </c>
      <c r="F215" s="107"/>
      <c r="G215" s="4">
        <f>D215*E215</f>
        <v>0</v>
      </c>
      <c r="H215" s="23"/>
      <c r="I215" s="108" t="s">
        <v>144</v>
      </c>
      <c r="J215" s="11"/>
      <c r="K215" s="11"/>
    </row>
    <row r="216" spans="1:15" ht="13.5" thickBot="1">
      <c r="A216" s="7">
        <f>+A215+1</f>
        <v>15</v>
      </c>
      <c r="B216" s="13" t="s">
        <v>289</v>
      </c>
      <c r="C216" s="11" t="s">
        <v>290</v>
      </c>
      <c r="D216" s="102">
        <v>0</v>
      </c>
      <c r="E216" s="22">
        <v>0</v>
      </c>
      <c r="F216" s="107"/>
      <c r="G216" s="61">
        <f>D216*E216</f>
        <v>0</v>
      </c>
      <c r="H216" s="23"/>
      <c r="I216" s="109" t="s">
        <v>291</v>
      </c>
      <c r="J216" s="11"/>
      <c r="K216" s="11"/>
    </row>
    <row r="217" spans="1:15">
      <c r="A217" s="7">
        <f>+A216+1</f>
        <v>16</v>
      </c>
      <c r="B217" s="13" t="s">
        <v>962</v>
      </c>
      <c r="C217" s="11"/>
      <c r="D217" s="4">
        <f>SUM(D213:D216)</f>
        <v>1</v>
      </c>
      <c r="E217" s="11"/>
      <c r="F217" s="11"/>
      <c r="G217" s="4">
        <f>SUM(G213:G216)</f>
        <v>0.23598582233179097</v>
      </c>
      <c r="H217" s="110" t="s">
        <v>293</v>
      </c>
      <c r="I217" s="22">
        <f>IF(G217&gt;0,G217/D217,0)</f>
        <v>0.23598582233179097</v>
      </c>
      <c r="J217" s="12" t="s">
        <v>293</v>
      </c>
      <c r="K217" s="11" t="s">
        <v>294</v>
      </c>
    </row>
    <row r="218" spans="1:15">
      <c r="A218" s="7"/>
      <c r="B218" s="13" t="s">
        <v>9</v>
      </c>
      <c r="C218" s="11" t="s">
        <v>9</v>
      </c>
      <c r="D218" s="5"/>
      <c r="E218" s="11"/>
      <c r="F218" s="11"/>
      <c r="G218" s="5"/>
      <c r="H218" s="5"/>
      <c r="I218" s="5"/>
      <c r="J218" s="5"/>
      <c r="K218" s="11"/>
    </row>
    <row r="219" spans="1:15">
      <c r="A219" s="7"/>
      <c r="B219" s="13" t="s">
        <v>295</v>
      </c>
      <c r="C219" s="11"/>
      <c r="D219" s="55" t="s">
        <v>283</v>
      </c>
      <c r="E219" s="11"/>
      <c r="F219" s="11"/>
      <c r="G219" s="12" t="s">
        <v>296</v>
      </c>
      <c r="H219" s="111"/>
      <c r="I219" s="63" t="s">
        <v>297</v>
      </c>
      <c r="J219" s="11"/>
      <c r="K219" s="11"/>
    </row>
    <row r="220" spans="1:15">
      <c r="A220" s="7">
        <f>+A217+1</f>
        <v>17</v>
      </c>
      <c r="B220" s="13" t="s">
        <v>298</v>
      </c>
      <c r="C220" s="11" t="s">
        <v>299</v>
      </c>
      <c r="D220" s="92">
        <f>AVERAGE('4- Rate Base'!D10,'4- Rate Base'!D22)</f>
        <v>13255735.504999999</v>
      </c>
      <c r="E220" s="11"/>
      <c r="F220" s="5"/>
      <c r="G220" s="7" t="s">
        <v>300</v>
      </c>
      <c r="H220" s="112"/>
      <c r="I220" s="7" t="s">
        <v>301</v>
      </c>
      <c r="J220" s="11"/>
      <c r="K220" s="18" t="s">
        <v>96</v>
      </c>
    </row>
    <row r="221" spans="1:15">
      <c r="A221" s="7">
        <f>+A220+1</f>
        <v>18</v>
      </c>
      <c r="B221" s="13" t="s">
        <v>302</v>
      </c>
      <c r="C221" s="11" t="s">
        <v>303</v>
      </c>
      <c r="D221" s="92">
        <v>0</v>
      </c>
      <c r="E221" s="11"/>
      <c r="F221" s="5"/>
      <c r="G221" s="113">
        <f>IF(D223&gt;0,D220/D223,0)</f>
        <v>1</v>
      </c>
      <c r="H221" s="114" t="s">
        <v>304</v>
      </c>
      <c r="I221" s="113">
        <f>I217</f>
        <v>0.23598582233179097</v>
      </c>
      <c r="J221" s="114" t="s">
        <v>293</v>
      </c>
      <c r="K221" s="113">
        <f>I221*G221</f>
        <v>0.23598582233179097</v>
      </c>
    </row>
    <row r="222" spans="1:15" ht="13.5" thickBot="1">
      <c r="A222" s="7">
        <f>+A221+1</f>
        <v>19</v>
      </c>
      <c r="B222" s="101" t="s">
        <v>305</v>
      </c>
      <c r="C222" s="105" t="s">
        <v>306</v>
      </c>
      <c r="D222" s="102">
        <v>0</v>
      </c>
      <c r="E222" s="11"/>
      <c r="F222" s="11"/>
      <c r="G222" s="11" t="s">
        <v>9</v>
      </c>
      <c r="H222" s="11"/>
      <c r="I222" s="11"/>
      <c r="J222" s="11"/>
      <c r="K222" s="11"/>
    </row>
    <row r="223" spans="1:15">
      <c r="A223" s="7">
        <f>+A222+1</f>
        <v>20</v>
      </c>
      <c r="B223" s="13" t="s">
        <v>307</v>
      </c>
      <c r="C223" s="11" t="s">
        <v>308</v>
      </c>
      <c r="D223" s="4">
        <f>D220+D221+D222</f>
        <v>13255735.504999999</v>
      </c>
      <c r="E223" s="11"/>
      <c r="F223" s="11"/>
      <c r="G223" s="11"/>
      <c r="H223" s="11"/>
      <c r="I223" s="11"/>
      <c r="J223" s="11"/>
      <c r="K223" s="11"/>
    </row>
    <row r="224" spans="1:15">
      <c r="A224" s="7"/>
      <c r="B224" s="13"/>
      <c r="C224" s="11"/>
      <c r="D224" s="5"/>
      <c r="E224" s="11"/>
      <c r="F224" s="11"/>
      <c r="G224" s="11"/>
      <c r="H224" s="11"/>
      <c r="I224" s="11"/>
      <c r="J224" s="11"/>
      <c r="K224" s="11"/>
      <c r="N224" s="508"/>
      <c r="O224" s="508"/>
    </row>
    <row r="225" spans="1:15" ht="13.5" thickBot="1">
      <c r="A225" s="7" t="s">
        <v>309</v>
      </c>
      <c r="B225" s="6" t="s">
        <v>310</v>
      </c>
      <c r="C225" s="11"/>
      <c r="D225" s="11"/>
      <c r="E225" s="11"/>
      <c r="F225" s="11"/>
      <c r="G225" s="11"/>
      <c r="H225" s="11"/>
      <c r="I225" s="106" t="s">
        <v>283</v>
      </c>
      <c r="J225" s="11"/>
      <c r="K225" s="11"/>
      <c r="N225" s="508"/>
      <c r="O225" s="508"/>
    </row>
    <row r="226" spans="1:15">
      <c r="A226" s="7"/>
      <c r="B226" s="13"/>
      <c r="C226" s="11"/>
      <c r="D226" s="11"/>
      <c r="E226" s="11"/>
      <c r="F226" s="11"/>
      <c r="G226" s="12" t="s">
        <v>311</v>
      </c>
      <c r="H226" s="11"/>
      <c r="I226" s="11"/>
      <c r="J226" s="11"/>
      <c r="K226" s="11"/>
      <c r="N226" s="508"/>
      <c r="O226" s="508"/>
    </row>
    <row r="227" spans="1:15" ht="13.5" thickBot="1">
      <c r="A227" s="7"/>
      <c r="B227" s="13"/>
      <c r="C227" s="11"/>
      <c r="D227" s="19" t="s">
        <v>283</v>
      </c>
      <c r="E227" s="19" t="s">
        <v>312</v>
      </c>
      <c r="F227" s="11"/>
      <c r="G227" s="98"/>
      <c r="H227" s="11"/>
      <c r="I227" s="19" t="s">
        <v>313</v>
      </c>
      <c r="J227" s="11"/>
      <c r="K227" s="11"/>
      <c r="N227" s="508"/>
      <c r="O227" s="508"/>
    </row>
    <row r="228" spans="1:15">
      <c r="A228" s="7">
        <v>27</v>
      </c>
      <c r="B228" s="6" t="s">
        <v>314</v>
      </c>
      <c r="C228" s="5" t="s">
        <v>315</v>
      </c>
      <c r="D228" s="169">
        <f>+'5-P3 Support'!F62</f>
        <v>0.4</v>
      </c>
      <c r="E228" s="117">
        <f>+'5-P3 Support'!G62</f>
        <v>0.4</v>
      </c>
      <c r="F228" s="117"/>
      <c r="G228" s="118">
        <f>+'5-P3 Support'!I62</f>
        <v>2.435485433789954E-2</v>
      </c>
      <c r="H228" s="22"/>
      <c r="I228" s="84">
        <f>+'5-P3 Support'!K62</f>
        <v>9.7419417351598172E-3</v>
      </c>
      <c r="J228" s="119" t="s">
        <v>316</v>
      </c>
      <c r="K228" s="5"/>
      <c r="N228" s="508"/>
      <c r="O228" s="508"/>
    </row>
    <row r="229" spans="1:15" ht="15">
      <c r="A229" s="7">
        <f>+A228+1</f>
        <v>28</v>
      </c>
      <c r="B229" s="6" t="s">
        <v>317</v>
      </c>
      <c r="C229" s="5" t="s">
        <v>318</v>
      </c>
      <c r="D229" s="169">
        <f>+'5-P3 Support'!F63</f>
        <v>0</v>
      </c>
      <c r="E229" s="117">
        <f>+'5-P3 Support'!G63</f>
        <v>0</v>
      </c>
      <c r="F229" s="22"/>
      <c r="G229" s="118">
        <f>+'5-P3 Support'!I63</f>
        <v>0</v>
      </c>
      <c r="H229" s="22"/>
      <c r="I229" s="84">
        <f>+'5-P3 Support'!K63</f>
        <v>0</v>
      </c>
      <c r="J229" s="11"/>
      <c r="K229" s="5"/>
      <c r="L229"/>
      <c r="M229"/>
      <c r="N229"/>
      <c r="O229"/>
    </row>
    <row r="230" spans="1:15" ht="15.75" thickBot="1">
      <c r="A230" s="7">
        <f>+A229+1</f>
        <v>29</v>
      </c>
      <c r="B230" s="6" t="s">
        <v>319</v>
      </c>
      <c r="C230" s="5" t="s">
        <v>320</v>
      </c>
      <c r="D230" s="509">
        <f>+'5-P3 Support'!F64</f>
        <v>0.6</v>
      </c>
      <c r="E230" s="510">
        <f>+'5-P3 Support'!G64</f>
        <v>0.6</v>
      </c>
      <c r="F230" s="22"/>
      <c r="G230" s="118">
        <f>+'5-P3 Support'!I64</f>
        <v>9.8000000000000004E-2</v>
      </c>
      <c r="H230" s="5"/>
      <c r="I230" s="122">
        <f>+'5-P3 Support'!K64</f>
        <v>5.8799999999999998E-2</v>
      </c>
      <c r="J230" s="11"/>
      <c r="K230" s="5"/>
      <c r="L230"/>
      <c r="M230"/>
      <c r="N230"/>
      <c r="O230"/>
    </row>
    <row r="231" spans="1:15" ht="15">
      <c r="A231" s="7">
        <f>+A230+1</f>
        <v>30</v>
      </c>
      <c r="B231" s="13" t="s">
        <v>321</v>
      </c>
      <c r="C231" s="5" t="s">
        <v>322</v>
      </c>
      <c r="D231" s="169">
        <f>SUM(D228:D230)</f>
        <v>1</v>
      </c>
      <c r="E231" s="22" t="s">
        <v>9</v>
      </c>
      <c r="F231" s="22"/>
      <c r="G231" s="11"/>
      <c r="H231" s="11"/>
      <c r="I231" s="123">
        <f>SUM(I228:I230)</f>
        <v>6.8541941735159817E-2</v>
      </c>
      <c r="J231" s="119" t="s">
        <v>323</v>
      </c>
      <c r="K231" s="5"/>
      <c r="L231"/>
      <c r="M231"/>
      <c r="N231"/>
      <c r="O231"/>
    </row>
    <row r="232" spans="1:15" ht="15">
      <c r="A232" s="7"/>
      <c r="B232" s="5"/>
      <c r="C232" s="5"/>
      <c r="D232" s="5"/>
      <c r="E232" s="11"/>
      <c r="F232" s="11"/>
      <c r="G232" s="11"/>
      <c r="H232" s="11"/>
      <c r="I232" s="5"/>
      <c r="J232" s="5"/>
      <c r="K232" s="5"/>
      <c r="L232"/>
      <c r="M232"/>
      <c r="N232"/>
      <c r="O232"/>
    </row>
    <row r="233" spans="1:15" ht="15">
      <c r="A233" s="7"/>
      <c r="B233" s="6" t="s">
        <v>324</v>
      </c>
      <c r="C233" s="6"/>
      <c r="D233" s="6"/>
      <c r="E233" s="6"/>
      <c r="F233" s="6"/>
      <c r="G233" s="6"/>
      <c r="H233" s="6"/>
      <c r="I233" s="6"/>
      <c r="J233" s="6"/>
      <c r="K233" s="6"/>
      <c r="L233"/>
      <c r="M233"/>
      <c r="N233"/>
      <c r="O233"/>
    </row>
    <row r="234" spans="1:15" ht="15.75" thickBot="1">
      <c r="A234" s="7"/>
      <c r="B234" s="6"/>
      <c r="C234" s="6"/>
      <c r="D234" s="6"/>
      <c r="E234" s="6"/>
      <c r="F234" s="6"/>
      <c r="G234" s="6"/>
      <c r="H234" s="6"/>
      <c r="I234" s="19" t="s">
        <v>325</v>
      </c>
      <c r="J234" s="7"/>
      <c r="K234" s="5"/>
      <c r="L234"/>
      <c r="M234"/>
      <c r="N234"/>
      <c r="O234"/>
    </row>
    <row r="235" spans="1:15" ht="15">
      <c r="A235" s="7"/>
      <c r="B235" s="6" t="s">
        <v>326</v>
      </c>
      <c r="C235" s="6" t="s">
        <v>327</v>
      </c>
      <c r="D235" s="6"/>
      <c r="E235" s="6"/>
      <c r="F235" s="6"/>
      <c r="G235" s="124" t="s">
        <v>9</v>
      </c>
      <c r="H235" s="125"/>
      <c r="I235" s="5"/>
      <c r="J235" s="5"/>
      <c r="K235" s="5"/>
      <c r="L235"/>
      <c r="M235"/>
      <c r="N235"/>
      <c r="O235"/>
    </row>
    <row r="236" spans="1:15" ht="15">
      <c r="A236" s="7">
        <v>31</v>
      </c>
      <c r="B236" s="5" t="s">
        <v>328</v>
      </c>
      <c r="C236" s="6" t="s">
        <v>329</v>
      </c>
      <c r="D236" s="6"/>
      <c r="E236" s="5"/>
      <c r="F236" s="6"/>
      <c r="G236" s="5"/>
      <c r="H236" s="125"/>
      <c r="I236" s="126">
        <v>0</v>
      </c>
      <c r="J236" s="127"/>
      <c r="K236" s="5"/>
      <c r="L236"/>
      <c r="M236"/>
      <c r="N236"/>
      <c r="O236"/>
    </row>
    <row r="237" spans="1:15" ht="13.5" thickBot="1">
      <c r="A237" s="7">
        <f>+A236+1</f>
        <v>32</v>
      </c>
      <c r="B237" s="128" t="s">
        <v>330</v>
      </c>
      <c r="C237" s="11"/>
      <c r="D237" s="5"/>
      <c r="E237" s="6"/>
      <c r="F237" s="6"/>
      <c r="G237" s="6"/>
      <c r="H237" s="6"/>
      <c r="I237" s="129">
        <v>0</v>
      </c>
      <c r="J237" s="127"/>
      <c r="K237" s="5"/>
      <c r="N237" s="508"/>
      <c r="O237" s="508"/>
    </row>
    <row r="238" spans="1:15">
      <c r="A238" s="7">
        <f>+A237+1</f>
        <v>33</v>
      </c>
      <c r="B238" s="5" t="s">
        <v>331</v>
      </c>
      <c r="C238" s="13" t="s">
        <v>332</v>
      </c>
      <c r="D238" s="5"/>
      <c r="E238" s="6"/>
      <c r="F238" s="6"/>
      <c r="G238" s="6"/>
      <c r="H238" s="6"/>
      <c r="I238" s="130">
        <f>I236-I237</f>
        <v>0</v>
      </c>
      <c r="J238" s="127"/>
      <c r="K238" s="5"/>
      <c r="N238" s="508"/>
      <c r="O238" s="508"/>
    </row>
    <row r="239" spans="1:15">
      <c r="A239" s="7"/>
      <c r="B239" s="5"/>
      <c r="C239" s="13"/>
      <c r="D239" s="5"/>
      <c r="E239" s="6"/>
      <c r="F239" s="6"/>
      <c r="G239" s="6"/>
      <c r="H239" s="6"/>
      <c r="I239" s="131"/>
      <c r="J239" s="5"/>
      <c r="K239" s="5"/>
      <c r="N239" s="508"/>
      <c r="O239" s="508"/>
    </row>
    <row r="240" spans="1:15">
      <c r="A240" s="7">
        <f>+A238+1</f>
        <v>34</v>
      </c>
      <c r="B240" s="6" t="s">
        <v>333</v>
      </c>
      <c r="C240" s="13" t="s">
        <v>334</v>
      </c>
      <c r="D240" s="5"/>
      <c r="E240" s="6"/>
      <c r="F240" s="6"/>
      <c r="G240" s="132"/>
      <c r="H240" s="6"/>
      <c r="I240" s="92">
        <v>0</v>
      </c>
      <c r="J240" s="5"/>
      <c r="K240" s="133"/>
      <c r="N240" s="508"/>
      <c r="O240" s="508"/>
    </row>
    <row r="241" spans="1:15">
      <c r="A241" s="7"/>
      <c r="B241" s="6"/>
      <c r="C241" s="13"/>
      <c r="D241" s="5"/>
      <c r="E241" s="6"/>
      <c r="F241" s="6"/>
      <c r="G241" s="132"/>
      <c r="H241" s="6"/>
      <c r="I241" s="62"/>
      <c r="J241" s="5"/>
      <c r="K241" s="133"/>
      <c r="N241" s="508"/>
      <c r="O241" s="508"/>
    </row>
    <row r="242" spans="1:15">
      <c r="A242" s="7" t="s">
        <v>335</v>
      </c>
      <c r="B242" s="6" t="s">
        <v>336</v>
      </c>
      <c r="C242" s="13" t="s">
        <v>337</v>
      </c>
      <c r="D242" s="5"/>
      <c r="E242" s="6"/>
      <c r="F242" s="6"/>
      <c r="G242" s="132"/>
      <c r="H242" s="6"/>
      <c r="I242" s="92">
        <v>0</v>
      </c>
      <c r="J242" s="5"/>
      <c r="K242" s="133"/>
      <c r="N242" s="508"/>
      <c r="O242" s="508"/>
    </row>
    <row r="243" spans="1:15">
      <c r="A243" s="7"/>
      <c r="B243" s="5"/>
      <c r="C243" s="6"/>
      <c r="D243" s="6"/>
      <c r="E243" s="6"/>
      <c r="F243" s="6"/>
      <c r="G243" s="6"/>
      <c r="H243" s="6"/>
      <c r="I243" s="131"/>
      <c r="J243" s="5"/>
      <c r="K243" s="133"/>
    </row>
    <row r="244" spans="1:15">
      <c r="A244" s="7"/>
      <c r="B244" s="6" t="s">
        <v>338</v>
      </c>
      <c r="C244" s="6" t="s">
        <v>339</v>
      </c>
      <c r="D244" s="6"/>
      <c r="E244" s="6"/>
      <c r="F244" s="6"/>
      <c r="G244" s="6"/>
      <c r="H244" s="6"/>
      <c r="I244" s="5"/>
      <c r="J244" s="5"/>
      <c r="K244" s="133"/>
    </row>
    <row r="245" spans="1:15">
      <c r="A245" s="7">
        <v>35</v>
      </c>
      <c r="B245" s="134" t="s">
        <v>340</v>
      </c>
      <c r="C245" s="11"/>
      <c r="D245" s="11"/>
      <c r="E245" s="11"/>
      <c r="F245" s="11"/>
      <c r="G245" s="11"/>
      <c r="H245" s="11"/>
      <c r="I245" s="135">
        <v>0</v>
      </c>
      <c r="J245" s="11"/>
      <c r="K245" s="133"/>
    </row>
    <row r="246" spans="1:15">
      <c r="A246" s="7">
        <v>36</v>
      </c>
      <c r="B246" s="134" t="s">
        <v>341</v>
      </c>
      <c r="C246" s="11"/>
      <c r="D246" s="11"/>
      <c r="E246" s="11"/>
      <c r="F246" s="11"/>
      <c r="G246" s="11"/>
      <c r="H246" s="11"/>
      <c r="I246" s="135">
        <v>0</v>
      </c>
      <c r="J246" s="11"/>
      <c r="K246" s="133"/>
    </row>
    <row r="247" spans="1:15">
      <c r="A247" s="7" t="s">
        <v>342</v>
      </c>
      <c r="B247" s="134" t="s">
        <v>343</v>
      </c>
      <c r="C247" s="11" t="s">
        <v>344</v>
      </c>
      <c r="D247" s="11"/>
      <c r="E247" s="11"/>
      <c r="F247" s="11"/>
      <c r="G247" s="11"/>
      <c r="H247" s="11"/>
      <c r="I247" s="135">
        <v>0</v>
      </c>
      <c r="J247" s="11"/>
      <c r="K247" s="133"/>
    </row>
    <row r="248" spans="1:15" ht="13.5" thickBot="1">
      <c r="A248" s="7" t="s">
        <v>345</v>
      </c>
      <c r="B248" s="134" t="s">
        <v>346</v>
      </c>
      <c r="C248" s="11" t="s">
        <v>347</v>
      </c>
      <c r="D248" s="11"/>
      <c r="E248" s="11"/>
      <c r="F248" s="11"/>
      <c r="G248" s="11"/>
      <c r="H248" s="11"/>
      <c r="I248" s="136">
        <v>0</v>
      </c>
      <c r="J248" s="11"/>
      <c r="K248" s="133"/>
    </row>
    <row r="249" spans="1:15">
      <c r="A249" s="7">
        <v>37</v>
      </c>
      <c r="B249" s="137" t="s">
        <v>348</v>
      </c>
      <c r="C249" s="7"/>
      <c r="D249" s="11"/>
      <c r="E249" s="11"/>
      <c r="F249" s="11"/>
      <c r="G249" s="11"/>
      <c r="H249" s="6"/>
      <c r="I249" s="4">
        <f>+I245-I246-I247-I248</f>
        <v>0</v>
      </c>
      <c r="J249" s="11"/>
      <c r="K249" s="11"/>
    </row>
    <row r="250" spans="1:15">
      <c r="A250" s="7"/>
      <c r="B250" s="137"/>
      <c r="C250" s="7"/>
      <c r="D250" s="11"/>
      <c r="E250" s="11"/>
      <c r="F250" s="11"/>
      <c r="G250" s="11"/>
      <c r="H250" s="6"/>
      <c r="I250" s="4"/>
      <c r="J250" s="11"/>
      <c r="K250" s="11"/>
    </row>
    <row r="251" spans="1:15">
      <c r="A251" s="7"/>
      <c r="B251" s="110" t="s">
        <v>612</v>
      </c>
      <c r="C251" s="15" t="s">
        <v>613</v>
      </c>
      <c r="D251" s="7" t="s">
        <v>614</v>
      </c>
      <c r="E251" s="12"/>
      <c r="F251" s="12" t="s">
        <v>615</v>
      </c>
      <c r="H251" s="713" t="s">
        <v>616</v>
      </c>
      <c r="I251" s="713"/>
      <c r="J251" s="11"/>
      <c r="K251" s="11"/>
    </row>
    <row r="252" spans="1:15">
      <c r="A252" s="7"/>
      <c r="B252" s="1" t="s">
        <v>963</v>
      </c>
      <c r="C252" s="139" t="s">
        <v>964</v>
      </c>
      <c r="D252" s="11"/>
      <c r="E252" s="11"/>
      <c r="F252" s="2" t="s">
        <v>503</v>
      </c>
      <c r="H252" s="714" t="s">
        <v>965</v>
      </c>
      <c r="I252" s="714"/>
      <c r="J252" s="11"/>
      <c r="K252" s="11"/>
    </row>
    <row r="253" spans="1:15">
      <c r="A253" s="7">
        <f>+A249+1</f>
        <v>38</v>
      </c>
      <c r="B253" s="1" t="s">
        <v>966</v>
      </c>
      <c r="C253" s="511">
        <v>0</v>
      </c>
      <c r="D253" s="22"/>
      <c r="E253" s="11"/>
      <c r="I253" s="4"/>
      <c r="J253" s="11"/>
      <c r="K253" s="11"/>
    </row>
    <row r="254" spans="1:15" ht="25.5">
      <c r="A254" s="512">
        <v>39</v>
      </c>
      <c r="B254" s="513" t="s">
        <v>967</v>
      </c>
      <c r="C254" s="144">
        <f>+C253*D174</f>
        <v>0</v>
      </c>
      <c r="D254" s="62"/>
      <c r="E254" s="62"/>
      <c r="F254" s="62"/>
      <c r="H254" s="62"/>
      <c r="I254" s="62">
        <f>+C253*I174</f>
        <v>0</v>
      </c>
      <c r="J254" s="11"/>
      <c r="K254" s="11"/>
    </row>
    <row r="255" spans="1:15">
      <c r="A255" s="7">
        <v>40</v>
      </c>
      <c r="B255" s="5" t="s">
        <v>968</v>
      </c>
      <c r="C255" s="144">
        <f>+D160*C254</f>
        <v>0</v>
      </c>
      <c r="D255" s="143"/>
      <c r="E255" s="62"/>
      <c r="F255" s="62">
        <f>+C255</f>
        <v>0</v>
      </c>
      <c r="I255" s="144">
        <f>+$D$160*I254</f>
        <v>0</v>
      </c>
      <c r="J255" s="11"/>
      <c r="K255" s="11"/>
    </row>
    <row r="256" spans="1:15">
      <c r="A256" s="7"/>
      <c r="C256" s="7"/>
      <c r="D256" s="11"/>
      <c r="E256" s="11"/>
      <c r="F256" s="11"/>
      <c r="G256" s="11"/>
      <c r="H256" s="6"/>
      <c r="I256" s="131"/>
      <c r="J256" s="11"/>
      <c r="K256" s="11"/>
    </row>
    <row r="257" spans="1:22">
      <c r="A257" s="7"/>
      <c r="B257" s="137"/>
      <c r="C257" s="13"/>
      <c r="D257" s="11"/>
      <c r="E257" s="11"/>
      <c r="F257" s="11"/>
      <c r="G257" s="11"/>
      <c r="H257" s="13"/>
      <c r="I257" s="11"/>
      <c r="J257" s="13"/>
      <c r="K257" s="67" t="str">
        <f>+K1</f>
        <v>Attachment O-GLH</v>
      </c>
    </row>
    <row r="258" spans="1:22">
      <c r="A258" s="7"/>
      <c r="B258" s="13"/>
      <c r="C258" s="13"/>
      <c r="D258" s="11"/>
      <c r="E258" s="11"/>
      <c r="F258" s="11"/>
      <c r="G258" s="11"/>
      <c r="H258" s="13"/>
      <c r="I258" s="11"/>
      <c r="J258" s="13"/>
      <c r="K258" s="67" t="s">
        <v>349</v>
      </c>
    </row>
    <row r="259" spans="1:22">
      <c r="A259" s="7"/>
      <c r="B259" s="145" t="s">
        <v>2</v>
      </c>
      <c r="C259" s="7"/>
      <c r="D259" s="12" t="s">
        <v>949</v>
      </c>
      <c r="E259" s="11"/>
      <c r="F259" s="11"/>
      <c r="G259" s="11"/>
      <c r="H259" s="6"/>
      <c r="I259" s="1"/>
      <c r="J259" s="5"/>
      <c r="K259" s="146" t="str">
        <f>K3</f>
        <v>For the 12 months ended 12/31/2020</v>
      </c>
    </row>
    <row r="260" spans="1:22">
      <c r="A260" s="7"/>
      <c r="B260" s="145"/>
      <c r="C260" s="7"/>
      <c r="D260" s="12" t="s">
        <v>4</v>
      </c>
      <c r="E260" s="11"/>
      <c r="F260" s="11"/>
      <c r="G260" s="11"/>
      <c r="H260" s="6"/>
      <c r="I260" s="147"/>
      <c r="J260" s="5"/>
      <c r="K260" s="11"/>
    </row>
    <row r="261" spans="1:22">
      <c r="A261" s="7"/>
      <c r="B261" s="145"/>
      <c r="C261" s="7"/>
      <c r="D261" s="12" t="str">
        <f>+D197</f>
        <v>GridLiance Heartland LLC</v>
      </c>
      <c r="E261" s="11"/>
      <c r="F261" s="11"/>
      <c r="G261" s="11"/>
      <c r="H261" s="6"/>
      <c r="I261" s="147"/>
      <c r="J261" s="5"/>
      <c r="K261" s="11"/>
    </row>
    <row r="262" spans="1:22">
      <c r="A262" s="696"/>
      <c r="B262" s="696"/>
      <c r="C262" s="696"/>
      <c r="D262" s="696"/>
      <c r="E262" s="696"/>
      <c r="F262" s="696"/>
      <c r="G262" s="696"/>
      <c r="H262" s="696"/>
      <c r="I262" s="696"/>
      <c r="J262" s="696"/>
      <c r="K262" s="696"/>
    </row>
    <row r="263" spans="1:22">
      <c r="A263" s="7"/>
      <c r="B263" s="145"/>
      <c r="C263" s="7"/>
      <c r="D263" s="11"/>
      <c r="E263" s="11"/>
      <c r="F263" s="11"/>
      <c r="G263" s="11"/>
      <c r="H263" s="6"/>
      <c r="I263" s="147"/>
      <c r="J263" s="5"/>
      <c r="K263" s="11"/>
    </row>
    <row r="264" spans="1:22">
      <c r="A264" s="7"/>
      <c r="B264" s="6" t="s">
        <v>350</v>
      </c>
      <c r="C264" s="7"/>
      <c r="D264" s="11"/>
      <c r="E264" s="11"/>
      <c r="F264" s="11"/>
      <c r="G264" s="11"/>
      <c r="H264" s="6"/>
      <c r="I264" s="11"/>
      <c r="J264" s="6"/>
      <c r="K264" s="11"/>
    </row>
    <row r="265" spans="1:22">
      <c r="A265" s="7"/>
      <c r="B265" s="148" t="s">
        <v>351</v>
      </c>
      <c r="C265" s="7"/>
      <c r="D265" s="11"/>
      <c r="E265" s="11"/>
      <c r="F265" s="11"/>
      <c r="G265" s="11"/>
      <c r="H265" s="6"/>
      <c r="I265" s="11"/>
      <c r="J265" s="6"/>
      <c r="K265" s="11"/>
    </row>
    <row r="266" spans="1:22">
      <c r="A266" s="7" t="s">
        <v>352</v>
      </c>
      <c r="B266" s="6"/>
      <c r="C266" s="6"/>
      <c r="D266" s="11"/>
      <c r="E266" s="11"/>
      <c r="F266" s="11"/>
      <c r="G266" s="11"/>
      <c r="H266" s="6"/>
      <c r="I266" s="11"/>
      <c r="J266" s="6"/>
      <c r="K266" s="11"/>
    </row>
    <row r="267" spans="1:22" ht="13.5" thickBot="1">
      <c r="A267" s="19" t="s">
        <v>353</v>
      </c>
      <c r="B267" s="697"/>
      <c r="C267" s="697"/>
      <c r="D267" s="149"/>
      <c r="E267" s="149"/>
      <c r="F267" s="149"/>
      <c r="G267" s="149"/>
      <c r="H267" s="150"/>
      <c r="I267" s="149"/>
      <c r="J267" s="150"/>
      <c r="K267" s="149"/>
    </row>
    <row r="268" spans="1:22">
      <c r="A268" s="151" t="s">
        <v>354</v>
      </c>
      <c r="B268" s="152" t="s">
        <v>969</v>
      </c>
      <c r="C268" s="152"/>
      <c r="D268" s="153"/>
      <c r="E268" s="153"/>
      <c r="F268" s="153"/>
      <c r="G268" s="153"/>
      <c r="H268" s="152"/>
      <c r="I268" s="153"/>
      <c r="J268" s="152"/>
      <c r="K268" s="153"/>
      <c r="L268" s="150"/>
      <c r="M268" s="698"/>
      <c r="N268" s="698"/>
      <c r="O268" s="698"/>
      <c r="P268" s="698"/>
      <c r="Q268" s="698"/>
      <c r="R268" s="698"/>
      <c r="S268" s="698"/>
      <c r="T268" s="698"/>
      <c r="U268" s="698"/>
      <c r="V268" s="698"/>
    </row>
    <row r="269" spans="1:22">
      <c r="A269" s="151" t="s">
        <v>356</v>
      </c>
      <c r="B269" s="152" t="s">
        <v>970</v>
      </c>
      <c r="C269" s="152"/>
      <c r="D269" s="153"/>
      <c r="E269" s="153"/>
      <c r="F269" s="153"/>
      <c r="G269" s="153"/>
      <c r="H269" s="152"/>
      <c r="I269" s="153"/>
      <c r="J269" s="152"/>
      <c r="K269" s="153"/>
      <c r="L269" s="150"/>
    </row>
    <row r="270" spans="1:22">
      <c r="A270" s="151" t="s">
        <v>358</v>
      </c>
      <c r="B270" s="152" t="s">
        <v>971</v>
      </c>
      <c r="C270" s="152"/>
      <c r="D270" s="152"/>
      <c r="E270" s="152"/>
      <c r="F270" s="152"/>
      <c r="G270" s="152"/>
      <c r="H270" s="152"/>
      <c r="I270" s="153"/>
      <c r="J270" s="152"/>
      <c r="K270" s="152"/>
      <c r="L270" s="150"/>
      <c r="M270" s="698"/>
      <c r="N270" s="698"/>
      <c r="O270" s="698"/>
      <c r="P270" s="698"/>
      <c r="Q270" s="698"/>
      <c r="R270" s="698"/>
      <c r="S270" s="698"/>
      <c r="T270" s="698"/>
      <c r="U270" s="698"/>
      <c r="V270" s="698"/>
    </row>
    <row r="271" spans="1:22">
      <c r="A271" s="151" t="s">
        <v>360</v>
      </c>
      <c r="B271" s="152" t="s">
        <v>971</v>
      </c>
      <c r="C271" s="152"/>
      <c r="D271" s="152"/>
      <c r="E271" s="152"/>
      <c r="F271" s="152"/>
      <c r="G271" s="152"/>
      <c r="H271" s="152"/>
      <c r="I271" s="153"/>
      <c r="J271" s="152"/>
      <c r="K271" s="152"/>
      <c r="L271" s="150"/>
      <c r="M271" s="698"/>
      <c r="N271" s="698"/>
      <c r="O271" s="698"/>
      <c r="P271" s="698"/>
      <c r="Q271" s="698"/>
      <c r="R271" s="698"/>
      <c r="S271" s="698"/>
      <c r="T271" s="698"/>
      <c r="U271" s="698"/>
      <c r="V271" s="698"/>
    </row>
    <row r="272" spans="1:22">
      <c r="A272" s="151" t="s">
        <v>362</v>
      </c>
      <c r="B272" s="152" t="s">
        <v>972</v>
      </c>
      <c r="C272" s="152"/>
      <c r="D272" s="152"/>
      <c r="E272" s="152"/>
      <c r="F272" s="152"/>
      <c r="G272" s="152"/>
      <c r="H272" s="152"/>
      <c r="I272" s="152"/>
      <c r="J272" s="152"/>
      <c r="K272" s="152"/>
      <c r="L272" s="150"/>
      <c r="M272" s="698"/>
      <c r="N272" s="698"/>
      <c r="O272" s="698"/>
      <c r="P272" s="698"/>
      <c r="Q272" s="698"/>
      <c r="R272" s="698"/>
      <c r="S272" s="698"/>
      <c r="T272" s="698"/>
      <c r="U272" s="698"/>
      <c r="V272" s="698"/>
    </row>
    <row r="273" spans="1:22" ht="30.75" customHeight="1">
      <c r="A273" s="151" t="s">
        <v>364</v>
      </c>
      <c r="B273" s="693" t="s">
        <v>365</v>
      </c>
      <c r="C273" s="693"/>
      <c r="D273" s="693"/>
      <c r="E273" s="693"/>
      <c r="F273" s="693"/>
      <c r="G273" s="693"/>
      <c r="H273" s="693"/>
      <c r="I273" s="693"/>
      <c r="J273" s="150"/>
      <c r="K273" s="150"/>
      <c r="L273" s="150"/>
      <c r="M273" s="698"/>
      <c r="N273" s="698"/>
      <c r="O273" s="698"/>
      <c r="P273" s="698"/>
      <c r="Q273" s="698"/>
      <c r="R273" s="698"/>
      <c r="S273" s="698"/>
      <c r="T273" s="698"/>
      <c r="U273" s="698"/>
      <c r="V273" s="698"/>
    </row>
    <row r="274" spans="1:22">
      <c r="A274" s="151" t="s">
        <v>366</v>
      </c>
      <c r="B274" s="152" t="s">
        <v>367</v>
      </c>
      <c r="C274" s="152"/>
      <c r="D274" s="152"/>
      <c r="E274" s="152"/>
      <c r="F274" s="152"/>
      <c r="G274" s="152"/>
      <c r="H274" s="152"/>
      <c r="I274" s="152"/>
      <c r="J274" s="152"/>
      <c r="K274" s="152"/>
      <c r="L274" s="698"/>
      <c r="M274" s="698"/>
      <c r="N274" s="698"/>
      <c r="O274" s="698"/>
      <c r="P274" s="698"/>
      <c r="Q274" s="698"/>
      <c r="R274" s="698"/>
      <c r="S274" s="698"/>
      <c r="T274" s="698"/>
      <c r="U274" s="698"/>
      <c r="V274" s="698"/>
    </row>
    <row r="275" spans="1:22" ht="28.5" customHeight="1">
      <c r="A275" s="151" t="s">
        <v>368</v>
      </c>
      <c r="B275" s="694" t="s">
        <v>369</v>
      </c>
      <c r="C275" s="694"/>
      <c r="D275" s="694"/>
      <c r="E275" s="694"/>
      <c r="F275" s="694"/>
      <c r="G275" s="694"/>
      <c r="H275" s="694"/>
      <c r="I275" s="694"/>
      <c r="J275" s="152"/>
      <c r="K275" s="152"/>
      <c r="L275" s="698"/>
      <c r="M275" s="154"/>
      <c r="N275" s="154"/>
      <c r="O275" s="60"/>
      <c r="P275" s="154"/>
      <c r="Q275" s="154"/>
      <c r="R275" s="154"/>
      <c r="S275" s="154"/>
      <c r="T275" s="154"/>
      <c r="U275" s="154"/>
      <c r="V275" s="154"/>
    </row>
    <row r="276" spans="1:22" ht="30" customHeight="1">
      <c r="A276" s="151" t="s">
        <v>370</v>
      </c>
      <c r="B276" s="694" t="s">
        <v>371</v>
      </c>
      <c r="C276" s="694"/>
      <c r="D276" s="694"/>
      <c r="E276" s="694"/>
      <c r="F276" s="694"/>
      <c r="G276" s="694"/>
      <c r="H276" s="694"/>
      <c r="I276" s="694"/>
      <c r="J276" s="152"/>
      <c r="K276" s="152"/>
      <c r="L276" s="698"/>
      <c r="M276" s="154"/>
      <c r="N276" s="154"/>
      <c r="O276" s="514"/>
      <c r="P276" s="154"/>
      <c r="Q276" s="154"/>
      <c r="R276" s="154"/>
      <c r="S276" s="154"/>
      <c r="T276" s="154"/>
      <c r="U276" s="154"/>
      <c r="V276" s="154"/>
    </row>
    <row r="277" spans="1:22" ht="29.25" customHeight="1">
      <c r="A277" s="151" t="s">
        <v>372</v>
      </c>
      <c r="B277" s="694" t="s">
        <v>373</v>
      </c>
      <c r="C277" s="694"/>
      <c r="D277" s="694"/>
      <c r="E277" s="694"/>
      <c r="F277" s="694"/>
      <c r="G277" s="694"/>
      <c r="H277" s="694"/>
      <c r="I277" s="694"/>
      <c r="J277" s="152"/>
      <c r="K277" s="152"/>
      <c r="L277" s="150"/>
      <c r="M277" s="698"/>
      <c r="N277" s="698"/>
      <c r="O277" s="698"/>
      <c r="P277" s="698"/>
      <c r="Q277" s="698"/>
      <c r="R277" s="698"/>
      <c r="S277" s="698"/>
      <c r="T277" s="698"/>
      <c r="U277" s="698"/>
      <c r="V277" s="698"/>
    </row>
    <row r="278" spans="1:22" ht="41.25" customHeight="1">
      <c r="A278" s="151" t="s">
        <v>374</v>
      </c>
      <c r="B278" s="694" t="s">
        <v>375</v>
      </c>
      <c r="C278" s="694"/>
      <c r="D278" s="694"/>
      <c r="E278" s="694"/>
      <c r="F278" s="694"/>
      <c r="G278" s="694"/>
      <c r="H278" s="694"/>
      <c r="I278" s="694"/>
      <c r="J278" s="152"/>
      <c r="K278" s="152"/>
      <c r="L278" s="150"/>
    </row>
    <row r="279" spans="1:22">
      <c r="A279" s="151" t="s">
        <v>9</v>
      </c>
      <c r="B279" s="152" t="s">
        <v>376</v>
      </c>
      <c r="C279" s="152" t="s">
        <v>377</v>
      </c>
      <c r="D279" s="155" t="s">
        <v>378</v>
      </c>
      <c r="E279" s="152" t="s">
        <v>379</v>
      </c>
      <c r="F279" s="152"/>
      <c r="G279" s="152"/>
      <c r="H279" s="152"/>
      <c r="I279" s="152"/>
      <c r="J279" s="152"/>
      <c r="K279" s="152"/>
      <c r="L279" s="156"/>
    </row>
    <row r="280" spans="1:22">
      <c r="A280" s="151"/>
      <c r="B280" s="152"/>
      <c r="C280" s="152" t="s">
        <v>380</v>
      </c>
      <c r="D280" s="155" t="s">
        <v>378</v>
      </c>
      <c r="E280" s="152" t="s">
        <v>381</v>
      </c>
      <c r="F280" s="152"/>
      <c r="G280" s="152"/>
      <c r="H280" s="152"/>
      <c r="I280" s="152"/>
      <c r="J280" s="152"/>
      <c r="K280" s="152"/>
      <c r="L280" s="156"/>
    </row>
    <row r="281" spans="1:22" s="71" customFormat="1">
      <c r="A281" s="151"/>
      <c r="B281" s="152"/>
      <c r="C281" s="152" t="s">
        <v>382</v>
      </c>
      <c r="D281" s="155" t="s">
        <v>378</v>
      </c>
      <c r="E281" s="152" t="s">
        <v>383</v>
      </c>
      <c r="F281" s="152"/>
      <c r="G281" s="152"/>
      <c r="H281" s="152"/>
      <c r="I281" s="152"/>
      <c r="J281" s="152"/>
      <c r="K281" s="152"/>
      <c r="L281" s="156"/>
    </row>
    <row r="282" spans="1:22" s="71" customFormat="1" ht="29.25" customHeight="1">
      <c r="A282" s="151" t="s">
        <v>384</v>
      </c>
      <c r="B282" s="694" t="s">
        <v>973</v>
      </c>
      <c r="C282" s="694"/>
      <c r="D282" s="694"/>
      <c r="E282" s="694"/>
      <c r="F282" s="694"/>
      <c r="G282" s="694"/>
      <c r="H282" s="694"/>
      <c r="I282" s="694"/>
      <c r="J282" s="152"/>
      <c r="K282" s="152"/>
      <c r="L282" s="156"/>
    </row>
    <row r="283" spans="1:22" ht="30.75" customHeight="1">
      <c r="A283" s="151" t="s">
        <v>386</v>
      </c>
      <c r="B283" s="694" t="s">
        <v>974</v>
      </c>
      <c r="C283" s="694"/>
      <c r="D283" s="694"/>
      <c r="E283" s="694"/>
      <c r="F283" s="694"/>
      <c r="G283" s="694"/>
      <c r="H283" s="694"/>
      <c r="I283" s="694"/>
      <c r="J283" s="515"/>
      <c r="K283" s="152"/>
    </row>
    <row r="284" spans="1:22">
      <c r="A284" s="151" t="s">
        <v>388</v>
      </c>
      <c r="B284" s="152" t="s">
        <v>389</v>
      </c>
      <c r="C284" s="157"/>
      <c r="D284" s="152"/>
      <c r="E284" s="152"/>
      <c r="F284" s="152"/>
      <c r="G284" s="152"/>
      <c r="H284" s="152"/>
      <c r="I284" s="152"/>
      <c r="J284" s="152"/>
      <c r="K284" s="152"/>
    </row>
    <row r="285" spans="1:22" ht="12.75" customHeight="1">
      <c r="A285" s="151" t="s">
        <v>390</v>
      </c>
      <c r="B285" s="693" t="s">
        <v>975</v>
      </c>
      <c r="C285" s="693"/>
      <c r="D285" s="693"/>
      <c r="E285" s="693"/>
      <c r="F285" s="693"/>
      <c r="G285" s="693"/>
      <c r="H285" s="693"/>
      <c r="I285" s="693"/>
      <c r="J285" s="150"/>
      <c r="K285" s="150"/>
    </row>
    <row r="286" spans="1:22" ht="12.75" customHeight="1">
      <c r="A286" s="151" t="s">
        <v>392</v>
      </c>
      <c r="B286" s="698" t="s">
        <v>393</v>
      </c>
      <c r="C286" s="698"/>
      <c r="D286" s="698"/>
      <c r="E286" s="698"/>
      <c r="F286" s="698"/>
      <c r="G286" s="698"/>
      <c r="H286" s="698"/>
      <c r="I286" s="698"/>
      <c r="J286" s="698"/>
      <c r="K286" s="698"/>
    </row>
    <row r="287" spans="1:22" ht="30" customHeight="1">
      <c r="A287" s="151" t="s">
        <v>394</v>
      </c>
      <c r="B287" s="694" t="s">
        <v>976</v>
      </c>
      <c r="C287" s="694"/>
      <c r="D287" s="694"/>
      <c r="E287" s="694"/>
      <c r="F287" s="694"/>
      <c r="G287" s="694"/>
      <c r="H287" s="694"/>
      <c r="I287" s="694"/>
      <c r="J287" s="152"/>
      <c r="K287" s="152"/>
    </row>
    <row r="288" spans="1:22" ht="41.25" customHeight="1">
      <c r="A288" s="151" t="s">
        <v>396</v>
      </c>
      <c r="B288" s="694" t="s">
        <v>977</v>
      </c>
      <c r="C288" s="694"/>
      <c r="D288" s="694"/>
      <c r="E288" s="694"/>
      <c r="F288" s="694"/>
      <c r="G288" s="694"/>
      <c r="H288" s="694"/>
      <c r="I288" s="694"/>
      <c r="J288" s="157"/>
      <c r="K288" s="157"/>
    </row>
    <row r="289" spans="1:11" ht="59.25" customHeight="1">
      <c r="A289" s="151" t="s">
        <v>398</v>
      </c>
      <c r="B289" s="700" t="s">
        <v>978</v>
      </c>
      <c r="C289" s="700"/>
      <c r="D289" s="700"/>
      <c r="E289" s="700"/>
      <c r="F289" s="700"/>
      <c r="G289" s="700"/>
      <c r="H289" s="700"/>
      <c r="I289" s="700"/>
      <c r="J289" s="152"/>
      <c r="K289" s="152"/>
    </row>
    <row r="290" spans="1:11" ht="31.5" customHeight="1">
      <c r="A290" s="158" t="s">
        <v>400</v>
      </c>
      <c r="B290" s="701" t="s">
        <v>979</v>
      </c>
      <c r="C290" s="701"/>
      <c r="D290" s="701"/>
      <c r="E290" s="701"/>
      <c r="F290" s="701"/>
      <c r="G290" s="701"/>
      <c r="H290" s="701"/>
      <c r="I290" s="701"/>
      <c r="J290" s="156"/>
      <c r="K290" s="156"/>
    </row>
    <row r="291" spans="1:11">
      <c r="A291" s="158" t="s">
        <v>402</v>
      </c>
      <c r="B291" s="159" t="s">
        <v>980</v>
      </c>
      <c r="C291" s="159"/>
      <c r="D291" s="159"/>
      <c r="E291" s="159"/>
      <c r="F291" s="159"/>
      <c r="G291" s="159"/>
      <c r="H291" s="159"/>
      <c r="I291" s="159"/>
      <c r="J291" s="159"/>
      <c r="K291" s="159"/>
    </row>
    <row r="292" spans="1:11">
      <c r="A292" s="158" t="s">
        <v>404</v>
      </c>
      <c r="B292" s="699" t="s">
        <v>981</v>
      </c>
      <c r="C292" s="699"/>
      <c r="D292" s="699"/>
      <c r="E292" s="699"/>
      <c r="F292" s="699"/>
      <c r="G292" s="699"/>
      <c r="H292" s="699"/>
      <c r="I292" s="699"/>
      <c r="J292" s="159"/>
      <c r="K292" s="159"/>
    </row>
    <row r="293" spans="1:11" ht="28.5" customHeight="1">
      <c r="A293" s="158" t="s">
        <v>406</v>
      </c>
      <c r="B293" s="702" t="s">
        <v>982</v>
      </c>
      <c r="C293" s="702"/>
      <c r="D293" s="702"/>
      <c r="E293" s="702"/>
      <c r="F293" s="702"/>
      <c r="G293" s="702"/>
      <c r="H293" s="702"/>
      <c r="I293" s="702"/>
      <c r="J293" s="159"/>
      <c r="K293" s="159"/>
    </row>
    <row r="294" spans="1:11" ht="27.75" customHeight="1">
      <c r="A294" s="158" t="s">
        <v>408</v>
      </c>
      <c r="B294" s="702" t="s">
        <v>409</v>
      </c>
      <c r="C294" s="702"/>
      <c r="D294" s="702"/>
      <c r="E294" s="702"/>
      <c r="F294" s="702"/>
      <c r="G294" s="702"/>
      <c r="H294" s="702"/>
      <c r="I294" s="702"/>
      <c r="J294" s="159"/>
      <c r="K294" s="159"/>
    </row>
    <row r="295" spans="1:11" ht="47.25" customHeight="1">
      <c r="A295" s="158" t="s">
        <v>410</v>
      </c>
      <c r="B295" s="703" t="s">
        <v>411</v>
      </c>
      <c r="C295" s="703"/>
      <c r="D295" s="703"/>
      <c r="E295" s="703"/>
      <c r="F295" s="703"/>
      <c r="G295" s="703"/>
      <c r="H295" s="703"/>
      <c r="I295" s="703"/>
      <c r="J295" s="159"/>
      <c r="K295" s="159"/>
    </row>
    <row r="296" spans="1:11">
      <c r="A296" s="158" t="s">
        <v>412</v>
      </c>
      <c r="B296" s="699" t="s">
        <v>983</v>
      </c>
      <c r="C296" s="699"/>
      <c r="D296" s="699"/>
      <c r="E296" s="699"/>
      <c r="F296" s="699"/>
      <c r="G296" s="699"/>
      <c r="H296" s="699"/>
      <c r="I296" s="699"/>
      <c r="J296" s="159"/>
      <c r="K296" s="159"/>
    </row>
    <row r="297" spans="1:11" ht="29.25" customHeight="1">
      <c r="A297" s="158" t="s">
        <v>414</v>
      </c>
      <c r="B297" s="702" t="s">
        <v>984</v>
      </c>
      <c r="C297" s="702"/>
      <c r="D297" s="702"/>
      <c r="E297" s="702"/>
      <c r="F297" s="702"/>
      <c r="G297" s="702"/>
      <c r="H297" s="702"/>
      <c r="I297" s="702"/>
      <c r="J297" s="159"/>
      <c r="K297" s="159"/>
    </row>
    <row r="298" spans="1:11">
      <c r="A298" s="158" t="s">
        <v>416</v>
      </c>
      <c r="B298" s="160" t="s">
        <v>417</v>
      </c>
      <c r="C298" s="159"/>
      <c r="D298" s="159"/>
      <c r="E298" s="159"/>
      <c r="F298" s="159"/>
      <c r="G298" s="159"/>
      <c r="H298" s="159"/>
      <c r="I298" s="159"/>
      <c r="J298" s="159"/>
      <c r="K298" s="159"/>
    </row>
    <row r="299" spans="1:11">
      <c r="A299" s="161" t="s">
        <v>418</v>
      </c>
      <c r="B299" s="160" t="s">
        <v>985</v>
      </c>
      <c r="C299" s="157"/>
      <c r="D299" s="157"/>
      <c r="E299" s="157"/>
      <c r="F299" s="157"/>
      <c r="G299" s="157"/>
      <c r="H299" s="157"/>
      <c r="I299" s="157"/>
      <c r="J299" s="157"/>
      <c r="K299" s="157"/>
    </row>
    <row r="300" spans="1:11">
      <c r="A300" s="161" t="s">
        <v>420</v>
      </c>
      <c r="B300" s="157" t="s">
        <v>421</v>
      </c>
      <c r="C300" s="157"/>
      <c r="D300" s="157"/>
      <c r="E300" s="157"/>
      <c r="F300" s="157"/>
      <c r="G300" s="157"/>
      <c r="H300" s="157"/>
      <c r="I300" s="157"/>
      <c r="J300" s="157"/>
      <c r="K300" s="157"/>
    </row>
    <row r="301" spans="1:11" ht="68.25" customHeight="1">
      <c r="A301" s="158" t="s">
        <v>422</v>
      </c>
      <c r="B301" s="704" t="s">
        <v>423</v>
      </c>
      <c r="C301" s="715"/>
      <c r="D301" s="715"/>
      <c r="E301" s="715"/>
      <c r="F301" s="715"/>
      <c r="G301" s="715"/>
      <c r="H301" s="715"/>
      <c r="I301" s="715"/>
      <c r="J301" s="162"/>
      <c r="K301" s="162"/>
    </row>
    <row r="302" spans="1:11" ht="14.25" customHeight="1">
      <c r="A302" s="158" t="s">
        <v>424</v>
      </c>
      <c r="B302" s="705" t="s">
        <v>425</v>
      </c>
      <c r="C302" s="705"/>
      <c r="D302" s="705"/>
      <c r="E302" s="705"/>
      <c r="F302" s="705"/>
      <c r="G302" s="705"/>
      <c r="H302" s="705"/>
      <c r="I302" s="705"/>
      <c r="J302" s="705"/>
      <c r="K302" s="705"/>
    </row>
    <row r="303" spans="1:11" ht="29.25" customHeight="1">
      <c r="A303" s="158" t="s">
        <v>426</v>
      </c>
      <c r="B303" s="706" t="s">
        <v>427</v>
      </c>
      <c r="C303" s="706"/>
      <c r="D303" s="706"/>
      <c r="E303" s="706"/>
      <c r="F303" s="706"/>
      <c r="G303" s="706"/>
      <c r="H303" s="706"/>
      <c r="I303" s="706"/>
      <c r="J303" s="156"/>
      <c r="K303" s="156"/>
    </row>
    <row r="304" spans="1:11">
      <c r="A304" s="158" t="s">
        <v>428</v>
      </c>
      <c r="B304" s="163" t="s">
        <v>429</v>
      </c>
      <c r="C304" s="163"/>
      <c r="D304" s="163"/>
      <c r="E304" s="163"/>
      <c r="F304" s="163"/>
      <c r="G304" s="163"/>
      <c r="H304" s="154"/>
      <c r="I304" s="516"/>
      <c r="J304" s="517"/>
      <c r="K304" s="517"/>
    </row>
    <row r="305" spans="1:11" ht="12.75" customHeight="1">
      <c r="A305" s="158" t="s">
        <v>430</v>
      </c>
      <c r="B305" s="703" t="s">
        <v>431</v>
      </c>
      <c r="C305" s="703"/>
      <c r="D305" s="703"/>
      <c r="E305" s="703"/>
      <c r="F305" s="703"/>
      <c r="G305" s="703"/>
      <c r="H305" s="703"/>
      <c r="I305" s="703"/>
      <c r="J305" s="157"/>
      <c r="K305" s="157"/>
    </row>
    <row r="306" spans="1:11">
      <c r="A306" s="158" t="s">
        <v>432</v>
      </c>
      <c r="B306" s="157" t="s">
        <v>986</v>
      </c>
      <c r="C306" s="157"/>
      <c r="D306" s="157"/>
      <c r="E306" s="157"/>
      <c r="F306" s="157"/>
      <c r="G306" s="157"/>
      <c r="H306" s="157"/>
      <c r="I306" s="157"/>
      <c r="J306" s="157"/>
      <c r="K306" s="157"/>
    </row>
    <row r="307" spans="1:11">
      <c r="A307" s="158" t="s">
        <v>434</v>
      </c>
      <c r="B307" s="157" t="s">
        <v>987</v>
      </c>
      <c r="C307" s="157"/>
      <c r="D307" s="157"/>
      <c r="E307" s="157"/>
      <c r="F307" s="157"/>
      <c r="G307" s="157"/>
      <c r="H307" s="157"/>
      <c r="I307" s="157"/>
      <c r="J307" s="157"/>
      <c r="K307" s="157"/>
    </row>
    <row r="308" spans="1:11">
      <c r="A308" s="158" t="s">
        <v>436</v>
      </c>
      <c r="B308" s="157" t="s">
        <v>437</v>
      </c>
      <c r="C308" s="157"/>
      <c r="D308" s="157"/>
      <c r="E308" s="157"/>
      <c r="F308" s="157"/>
      <c r="G308" s="157"/>
      <c r="H308" s="157"/>
      <c r="I308" s="157"/>
      <c r="J308" s="157"/>
      <c r="K308" s="157"/>
    </row>
    <row r="309" spans="1:11" ht="12.75" customHeight="1">
      <c r="A309" s="158" t="s">
        <v>438</v>
      </c>
      <c r="B309" s="707" t="s">
        <v>439</v>
      </c>
      <c r="C309" s="707"/>
      <c r="D309" s="707"/>
      <c r="E309" s="707"/>
      <c r="F309" s="707"/>
      <c r="G309" s="707"/>
      <c r="H309" s="707"/>
      <c r="I309" s="707"/>
      <c r="J309" s="157"/>
      <c r="K309" s="157"/>
    </row>
    <row r="310" spans="1:11" ht="30.6" customHeight="1">
      <c r="A310" s="158" t="s">
        <v>440</v>
      </c>
      <c r="B310" s="694" t="s">
        <v>988</v>
      </c>
      <c r="C310" s="694"/>
      <c r="D310" s="694"/>
      <c r="E310" s="694"/>
      <c r="F310" s="694"/>
      <c r="G310" s="694"/>
      <c r="H310" s="694"/>
      <c r="I310" s="694"/>
      <c r="J310" s="157"/>
      <c r="K310" s="157"/>
    </row>
    <row r="311" spans="1:11" ht="13.15" customHeight="1">
      <c r="A311" s="15" t="s">
        <v>442</v>
      </c>
      <c r="B311" s="167"/>
    </row>
    <row r="312" spans="1:11">
      <c r="A312" s="7"/>
      <c r="B312" s="1"/>
      <c r="D312" s="7"/>
      <c r="E312" s="11"/>
      <c r="F312" s="11"/>
      <c r="G312" s="11"/>
    </row>
    <row r="313" spans="1:11">
      <c r="A313" s="7"/>
      <c r="B313" s="1"/>
      <c r="C313" s="139"/>
      <c r="D313" s="11"/>
      <c r="E313" s="11"/>
      <c r="F313" s="11"/>
    </row>
    <row r="314" spans="1:11">
      <c r="A314" s="7"/>
      <c r="B314" s="1"/>
      <c r="C314" s="139"/>
      <c r="D314" s="22"/>
      <c r="E314" s="11"/>
      <c r="F314" s="11"/>
    </row>
    <row r="315" spans="1:11">
      <c r="A315" s="7"/>
      <c r="B315" s="1"/>
      <c r="C315" s="168"/>
      <c r="D315" s="4"/>
      <c r="E315" s="4"/>
      <c r="F315" s="4"/>
      <c r="G315" s="4"/>
    </row>
    <row r="316" spans="1:11">
      <c r="A316" s="7"/>
      <c r="B316" s="5"/>
      <c r="C316" s="168"/>
      <c r="D316" s="169"/>
      <c r="E316" s="4"/>
      <c r="F316" s="4"/>
      <c r="G316" s="4"/>
    </row>
    <row r="317" spans="1:11">
      <c r="A317" s="7"/>
      <c r="B317" s="1"/>
      <c r="C317" s="7"/>
      <c r="D317" s="11"/>
      <c r="E317" s="11"/>
      <c r="F317" s="11"/>
      <c r="G317" s="11"/>
    </row>
  </sheetData>
  <mergeCells count="40">
    <mergeCell ref="B305:I305"/>
    <mergeCell ref="B309:I309"/>
    <mergeCell ref="B310:I310"/>
    <mergeCell ref="B295:I295"/>
    <mergeCell ref="B296:I296"/>
    <mergeCell ref="B297:I297"/>
    <mergeCell ref="B301:I301"/>
    <mergeCell ref="B302:K302"/>
    <mergeCell ref="B303:I303"/>
    <mergeCell ref="B294:I294"/>
    <mergeCell ref="B278:I278"/>
    <mergeCell ref="B282:I282"/>
    <mergeCell ref="B283:I283"/>
    <mergeCell ref="B285:I285"/>
    <mergeCell ref="B286:K286"/>
    <mergeCell ref="B287:I287"/>
    <mergeCell ref="B288:I288"/>
    <mergeCell ref="B289:I289"/>
    <mergeCell ref="B290:I290"/>
    <mergeCell ref="B292:I292"/>
    <mergeCell ref="B293:I293"/>
    <mergeCell ref="L274:L276"/>
    <mergeCell ref="M274:V274"/>
    <mergeCell ref="B275:I275"/>
    <mergeCell ref="B276:I276"/>
    <mergeCell ref="B277:I277"/>
    <mergeCell ref="M277:V277"/>
    <mergeCell ref="B273:I273"/>
    <mergeCell ref="M273:V273"/>
    <mergeCell ref="A59:K59"/>
    <mergeCell ref="A117:K117"/>
    <mergeCell ref="A198:K198"/>
    <mergeCell ref="H251:I251"/>
    <mergeCell ref="H252:I252"/>
    <mergeCell ref="A262:K262"/>
    <mergeCell ref="B267:C267"/>
    <mergeCell ref="M268:V268"/>
    <mergeCell ref="M270:V270"/>
    <mergeCell ref="M271:V271"/>
    <mergeCell ref="M272:V272"/>
  </mergeCells>
  <pageMargins left="0.25" right="0.25" top="0.5" bottom="0.5" header="0.3" footer="0.3"/>
  <pageSetup scale="47" fitToHeight="0" orientation="landscape" r:id="rId1"/>
  <rowBreaks count="4" manualBreakCount="4">
    <brk id="52" max="10" man="1"/>
    <brk id="111" max="10" man="1"/>
    <brk id="192" max="10"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6F37-E561-4E09-8F7D-8F6B46C348AC}">
  <dimension ref="A1:W114"/>
  <sheetViews>
    <sheetView view="pageBreakPreview" topLeftCell="A64" zoomScaleNormal="100" zoomScaleSheetLayoutView="100" workbookViewId="0">
      <selection activeCell="C76" sqref="C76"/>
    </sheetView>
  </sheetViews>
  <sheetFormatPr defaultColWidth="8.88671875" defaultRowHeight="12.75"/>
  <cols>
    <col min="1" max="1" width="6" style="170" customWidth="1"/>
    <col min="2" max="2" width="1.44140625" style="170" customWidth="1"/>
    <col min="3" max="3" width="25.6640625" style="170" customWidth="1"/>
    <col min="4" max="4" width="12" style="170" customWidth="1"/>
    <col min="5" max="5" width="13.44140625" style="170" customWidth="1"/>
    <col min="6" max="6" width="13.109375" style="170" customWidth="1"/>
    <col min="7" max="7" width="14.44140625" style="170" customWidth="1"/>
    <col min="8" max="8" width="13.33203125" style="170" customWidth="1"/>
    <col min="9" max="9" width="13.77734375" style="170" customWidth="1"/>
    <col min="10" max="10" width="12.44140625" style="170" customWidth="1"/>
    <col min="11" max="11" width="12.5546875" style="170" customWidth="1"/>
    <col min="12" max="12" width="12.6640625" style="170" customWidth="1"/>
    <col min="13" max="13" width="12.109375" style="170" customWidth="1"/>
    <col min="14" max="14" width="8.6640625" style="170" customWidth="1"/>
    <col min="15" max="15" width="14.44140625" style="170" customWidth="1"/>
    <col min="16" max="16" width="12.77734375" style="170" customWidth="1"/>
    <col min="17" max="17" width="13.88671875" style="170" customWidth="1"/>
    <col min="18" max="18" width="12.109375" style="170" customWidth="1"/>
    <col min="19" max="19" width="9.88671875" style="170" customWidth="1"/>
    <col min="20" max="20" width="12.109375" style="170" customWidth="1"/>
    <col min="21" max="21" width="11.33203125" style="170" customWidth="1"/>
    <col min="22" max="22" width="10.21875" style="170" customWidth="1"/>
    <col min="23" max="23" width="11.21875" style="170" customWidth="1"/>
    <col min="24" max="24" width="9.109375" style="170" bestFit="1" customWidth="1"/>
    <col min="25" max="16384" width="8.88671875" style="170"/>
  </cols>
  <sheetData>
    <row r="1" spans="1:21">
      <c r="Q1" s="171"/>
    </row>
    <row r="2" spans="1:21">
      <c r="Q2" s="171"/>
    </row>
    <row r="4" spans="1:21">
      <c r="E4" s="172" t="s">
        <v>989</v>
      </c>
      <c r="L4" s="170" t="s">
        <v>444</v>
      </c>
      <c r="Q4" s="171"/>
    </row>
    <row r="5" spans="1:21">
      <c r="D5" s="173"/>
      <c r="E5" s="172" t="s">
        <v>990</v>
      </c>
      <c r="F5" s="173"/>
      <c r="H5" s="173"/>
      <c r="I5" s="173"/>
      <c r="J5" s="173"/>
      <c r="L5" s="1"/>
      <c r="M5" s="174"/>
      <c r="N5" s="174"/>
      <c r="O5" s="174"/>
      <c r="P5" s="174"/>
      <c r="Q5" s="174"/>
      <c r="R5" s="175"/>
      <c r="S5" s="176"/>
      <c r="T5" s="176"/>
      <c r="U5" s="175"/>
    </row>
    <row r="6" spans="1:21">
      <c r="D6" s="173"/>
      <c r="E6" s="18" t="str">
        <f>+'Attachment O'!D5</f>
        <v>GridLiance Heartland LLC</v>
      </c>
      <c r="F6" s="177"/>
      <c r="H6" s="177"/>
      <c r="I6" s="177"/>
      <c r="J6" s="177"/>
      <c r="P6" s="175"/>
      <c r="Q6" s="173"/>
      <c r="R6" s="175"/>
      <c r="S6" s="178"/>
      <c r="T6" s="176"/>
      <c r="U6" s="175"/>
    </row>
    <row r="7" spans="1:21">
      <c r="C7" s="175"/>
      <c r="D7" s="175"/>
      <c r="E7" s="175"/>
      <c r="F7" s="175"/>
      <c r="H7" s="175"/>
      <c r="I7" s="175"/>
      <c r="J7" s="175"/>
      <c r="P7" s="175"/>
      <c r="Q7" s="175"/>
      <c r="R7" s="175"/>
      <c r="S7" s="176"/>
      <c r="T7" s="176"/>
      <c r="U7" s="175"/>
    </row>
    <row r="8" spans="1:21">
      <c r="A8" s="172"/>
      <c r="C8" s="175"/>
      <c r="D8" s="175"/>
      <c r="E8" s="175"/>
      <c r="F8" s="175"/>
      <c r="H8" s="175"/>
      <c r="I8" s="175"/>
      <c r="J8" s="175"/>
      <c r="K8" s="175"/>
      <c r="L8" s="175"/>
      <c r="M8" s="175"/>
      <c r="N8" s="175"/>
      <c r="O8" s="175"/>
      <c r="P8" s="175"/>
      <c r="Q8" s="175"/>
      <c r="R8" s="175"/>
      <c r="S8" s="176"/>
      <c r="T8" s="176"/>
      <c r="U8" s="175"/>
    </row>
    <row r="9" spans="1:21">
      <c r="A9" s="172"/>
      <c r="C9" s="175"/>
      <c r="D9" s="175"/>
      <c r="E9" s="175"/>
      <c r="F9" s="175"/>
      <c r="G9" s="179"/>
      <c r="H9" s="175"/>
      <c r="I9" s="175"/>
      <c r="J9" s="175"/>
      <c r="K9" s="175"/>
      <c r="L9" s="175"/>
      <c r="M9" s="175"/>
      <c r="N9" s="175"/>
      <c r="O9" s="175"/>
      <c r="P9" s="175"/>
      <c r="Q9" s="175"/>
      <c r="R9" s="175"/>
      <c r="S9" s="176"/>
      <c r="T9" s="176"/>
      <c r="U9" s="175"/>
    </row>
    <row r="10" spans="1:21">
      <c r="A10" s="40"/>
      <c r="B10" s="2"/>
      <c r="C10" s="41" t="s">
        <v>991</v>
      </c>
      <c r="D10" s="41"/>
      <c r="E10" s="41"/>
      <c r="F10" s="41"/>
      <c r="G10" s="41"/>
      <c r="H10" s="41"/>
      <c r="I10" s="41"/>
      <c r="J10" s="180"/>
      <c r="K10" s="180"/>
      <c r="L10" s="41"/>
      <c r="M10" s="175"/>
      <c r="N10" s="175"/>
      <c r="O10" s="175"/>
      <c r="P10" s="175"/>
      <c r="Q10" s="175"/>
      <c r="R10" s="175"/>
      <c r="S10" s="176"/>
      <c r="T10" s="176"/>
      <c r="U10" s="175"/>
    </row>
    <row r="11" spans="1:21">
      <c r="A11" s="40"/>
      <c r="B11" s="2"/>
      <c r="C11" s="41" t="s">
        <v>992</v>
      </c>
      <c r="D11" s="41"/>
      <c r="E11" s="41"/>
      <c r="F11" s="41"/>
      <c r="G11" s="41"/>
      <c r="H11" s="41"/>
      <c r="I11" s="41"/>
      <c r="J11" s="180"/>
      <c r="K11" s="180"/>
      <c r="L11" s="2"/>
      <c r="M11" s="175"/>
      <c r="N11" s="175"/>
      <c r="O11" s="175"/>
      <c r="P11" s="175"/>
      <c r="Q11" s="175"/>
      <c r="R11" s="175"/>
      <c r="S11" s="175"/>
      <c r="T11" s="175"/>
      <c r="U11" s="175"/>
    </row>
    <row r="12" spans="1:21">
      <c r="A12" s="40"/>
      <c r="B12" s="2"/>
      <c r="C12" s="41"/>
      <c r="D12" s="41"/>
      <c r="E12" s="41"/>
      <c r="F12" s="41"/>
      <c r="G12" s="41"/>
      <c r="H12" s="41"/>
      <c r="I12" s="41"/>
      <c r="J12" s="41"/>
      <c r="K12" s="41"/>
      <c r="L12" s="2"/>
      <c r="M12" s="177"/>
      <c r="N12" s="177"/>
      <c r="O12" s="177"/>
      <c r="P12" s="175"/>
      <c r="Q12" s="175"/>
      <c r="R12" s="175"/>
      <c r="S12" s="175"/>
      <c r="T12" s="175"/>
      <c r="U12" s="175"/>
    </row>
    <row r="13" spans="1:21">
      <c r="A13" s="2"/>
      <c r="B13" s="2"/>
      <c r="C13" s="181" t="s">
        <v>6</v>
      </c>
      <c r="D13" s="181"/>
      <c r="E13" s="181"/>
      <c r="F13" s="181"/>
      <c r="G13" s="181" t="s">
        <v>7</v>
      </c>
      <c r="I13" s="181"/>
      <c r="J13" s="181" t="s">
        <v>8</v>
      </c>
      <c r="K13" s="181"/>
      <c r="L13" s="182" t="s">
        <v>10</v>
      </c>
      <c r="M13" s="183"/>
      <c r="N13" s="183"/>
      <c r="O13" s="183"/>
      <c r="P13" s="177"/>
      <c r="Q13" s="183"/>
      <c r="R13" s="177"/>
      <c r="S13" s="183"/>
      <c r="T13" s="177"/>
      <c r="U13" s="175"/>
    </row>
    <row r="14" spans="1:21">
      <c r="A14" s="2"/>
      <c r="B14" s="2"/>
      <c r="C14" s="41"/>
      <c r="D14" s="41"/>
      <c r="E14" s="41"/>
      <c r="F14" s="41"/>
      <c r="G14" s="184" t="s">
        <v>15</v>
      </c>
      <c r="I14" s="184"/>
      <c r="J14" s="42"/>
      <c r="K14" s="42"/>
      <c r="L14" s="2"/>
      <c r="P14" s="177"/>
      <c r="R14" s="177"/>
      <c r="S14" s="185"/>
      <c r="T14" s="185"/>
      <c r="U14" s="175"/>
    </row>
    <row r="15" spans="1:21">
      <c r="A15" s="40" t="s">
        <v>12</v>
      </c>
      <c r="B15" s="2"/>
      <c r="C15" s="41"/>
      <c r="D15" s="41"/>
      <c r="E15" s="41"/>
      <c r="F15" s="41"/>
      <c r="G15" s="186" t="s">
        <v>448</v>
      </c>
      <c r="I15" s="186"/>
      <c r="J15" s="187" t="s">
        <v>77</v>
      </c>
      <c r="K15" s="187"/>
      <c r="L15" s="187" t="s">
        <v>22</v>
      </c>
      <c r="M15" s="188"/>
      <c r="N15" s="188"/>
      <c r="O15" s="188"/>
      <c r="P15" s="177"/>
      <c r="R15" s="175"/>
      <c r="S15" s="189"/>
      <c r="T15" s="185"/>
      <c r="U15" s="175"/>
    </row>
    <row r="16" spans="1:21">
      <c r="A16" s="40" t="s">
        <v>14</v>
      </c>
      <c r="B16" s="2"/>
      <c r="C16" s="190"/>
      <c r="D16" s="190"/>
      <c r="E16" s="190"/>
      <c r="F16" s="190"/>
      <c r="G16" s="42"/>
      <c r="I16" s="42"/>
      <c r="J16" s="42"/>
      <c r="K16" s="42"/>
      <c r="L16" s="42"/>
      <c r="M16" s="177"/>
      <c r="N16" s="177"/>
      <c r="O16" s="177"/>
      <c r="P16" s="177"/>
      <c r="Q16" s="177"/>
      <c r="R16" s="175"/>
      <c r="S16" s="177"/>
      <c r="T16" s="177"/>
      <c r="U16" s="175"/>
    </row>
    <row r="17" spans="1:21">
      <c r="A17" s="191"/>
      <c r="B17" s="2"/>
      <c r="C17" s="41"/>
      <c r="D17" s="41"/>
      <c r="E17" s="41"/>
      <c r="F17" s="41"/>
      <c r="G17" s="42"/>
      <c r="I17" s="42"/>
      <c r="J17" s="42"/>
      <c r="K17" s="42"/>
      <c r="L17" s="42"/>
      <c r="M17" s="177"/>
      <c r="N17" s="177"/>
      <c r="O17" s="177"/>
      <c r="P17" s="177"/>
      <c r="Q17" s="177"/>
      <c r="R17" s="175"/>
      <c r="S17" s="177"/>
      <c r="T17" s="177"/>
      <c r="U17" s="175"/>
    </row>
    <row r="18" spans="1:21">
      <c r="A18" s="192">
        <v>1</v>
      </c>
      <c r="C18" s="175" t="s">
        <v>449</v>
      </c>
      <c r="D18" s="175"/>
      <c r="E18" s="175"/>
      <c r="F18" s="175"/>
      <c r="G18" s="193" t="s">
        <v>993</v>
      </c>
      <c r="I18" s="192"/>
      <c r="J18" s="4">
        <f>+'Attachment O'!I66</f>
        <v>5183838.4102993384</v>
      </c>
      <c r="L18" s="2"/>
      <c r="P18" s="177"/>
      <c r="Q18" s="177"/>
      <c r="R18" s="175"/>
      <c r="S18" s="177"/>
      <c r="T18" s="177"/>
      <c r="U18" s="175"/>
    </row>
    <row r="19" spans="1:21">
      <c r="A19" s="192" t="s">
        <v>154</v>
      </c>
      <c r="C19" s="175" t="s">
        <v>451</v>
      </c>
      <c r="D19" s="175"/>
      <c r="E19" s="175"/>
      <c r="F19" s="175"/>
      <c r="G19" s="193" t="s">
        <v>994</v>
      </c>
      <c r="I19" s="192"/>
      <c r="J19" s="4">
        <f>+'Attachment O'!I74</f>
        <v>2518444.1810724135</v>
      </c>
      <c r="L19" s="2"/>
      <c r="P19" s="177"/>
      <c r="Q19" s="177"/>
      <c r="R19" s="175"/>
      <c r="S19" s="177"/>
      <c r="T19" s="177"/>
      <c r="U19" s="175"/>
    </row>
    <row r="20" spans="1:21">
      <c r="A20" s="192" t="s">
        <v>157</v>
      </c>
      <c r="C20" s="175" t="s">
        <v>453</v>
      </c>
      <c r="D20" s="175"/>
      <c r="E20" s="175"/>
      <c r="F20" s="175"/>
      <c r="G20" s="193" t="s">
        <v>995</v>
      </c>
      <c r="I20" s="192"/>
      <c r="J20" s="194">
        <f>+'Attachment O'!I88+'Attachment O'!I96+'Attachment O'!I97</f>
        <v>0</v>
      </c>
      <c r="L20" s="2"/>
      <c r="P20" s="177"/>
      <c r="Q20" s="177"/>
      <c r="R20" s="175"/>
      <c r="S20" s="177"/>
      <c r="T20" s="177"/>
      <c r="U20" s="175"/>
    </row>
    <row r="21" spans="1:21">
      <c r="A21" s="192">
        <v>2</v>
      </c>
      <c r="C21" s="175" t="s">
        <v>455</v>
      </c>
      <c r="D21" s="175"/>
      <c r="E21" s="175"/>
      <c r="F21" s="175"/>
      <c r="G21" s="195" t="s">
        <v>456</v>
      </c>
      <c r="I21" s="192"/>
      <c r="J21" s="4">
        <f>+J18-J19+J20</f>
        <v>2665394.2292269249</v>
      </c>
      <c r="L21" s="2"/>
      <c r="P21" s="177"/>
      <c r="Q21" s="177"/>
      <c r="R21" s="175"/>
      <c r="S21" s="177"/>
      <c r="T21" s="177"/>
      <c r="U21" s="175"/>
    </row>
    <row r="22" spans="1:21">
      <c r="A22" s="196"/>
      <c r="B22" s="2"/>
      <c r="C22" s="2"/>
      <c r="D22" s="2"/>
      <c r="E22" s="2"/>
      <c r="F22" s="2"/>
      <c r="G22" s="195"/>
      <c r="I22" s="196"/>
      <c r="J22" s="2"/>
      <c r="K22" s="2"/>
      <c r="L22" s="2"/>
      <c r="M22" s="177"/>
      <c r="N22" s="177"/>
      <c r="O22" s="177"/>
      <c r="P22" s="177"/>
      <c r="Q22" s="177"/>
      <c r="R22" s="177"/>
      <c r="S22" s="177"/>
      <c r="T22" s="177"/>
      <c r="U22" s="175"/>
    </row>
    <row r="23" spans="1:21">
      <c r="A23" s="196"/>
      <c r="B23" s="2"/>
      <c r="C23" s="41" t="s">
        <v>457</v>
      </c>
      <c r="D23" s="41"/>
      <c r="E23" s="41"/>
      <c r="F23" s="41"/>
      <c r="G23" s="195"/>
      <c r="I23" s="196"/>
      <c r="J23" s="42"/>
      <c r="K23" s="42"/>
      <c r="L23" s="42"/>
      <c r="P23" s="177"/>
      <c r="Q23" s="177"/>
      <c r="R23" s="177"/>
      <c r="S23" s="177"/>
      <c r="T23" s="177"/>
      <c r="U23" s="175"/>
    </row>
    <row r="24" spans="1:21">
      <c r="A24" s="196">
        <v>3</v>
      </c>
      <c r="B24" s="2"/>
      <c r="C24" s="41" t="s">
        <v>458</v>
      </c>
      <c r="D24" s="41"/>
      <c r="E24" s="41"/>
      <c r="F24" s="41"/>
      <c r="G24" s="195" t="s">
        <v>996</v>
      </c>
      <c r="I24" s="196"/>
      <c r="J24" s="4">
        <f>+'Attachment O'!I138</f>
        <v>1554560.4228612785</v>
      </c>
      <c r="K24" s="42"/>
      <c r="L24" s="2"/>
      <c r="M24" s="197"/>
      <c r="N24" s="197"/>
      <c r="O24" s="197"/>
      <c r="P24" s="177"/>
      <c r="Q24" s="198"/>
      <c r="R24" s="199"/>
      <c r="S24" s="200"/>
      <c r="T24" s="177"/>
      <c r="U24" s="175"/>
    </row>
    <row r="25" spans="1:21">
      <c r="A25" s="196" t="s">
        <v>460</v>
      </c>
      <c r="B25" s="2"/>
      <c r="C25" s="41" t="s">
        <v>461</v>
      </c>
      <c r="D25" s="41"/>
      <c r="E25" s="41"/>
      <c r="F25" s="41"/>
      <c r="G25" s="195" t="s">
        <v>997</v>
      </c>
      <c r="I25" s="196"/>
      <c r="J25" s="4">
        <f>+'Attachment O'!I122</f>
        <v>1078708.0078684578</v>
      </c>
      <c r="K25" s="42"/>
      <c r="L25" s="2"/>
      <c r="M25" s="197"/>
      <c r="N25" s="197"/>
      <c r="O25" s="197"/>
      <c r="P25" s="177"/>
      <c r="Q25" s="198"/>
      <c r="R25" s="199"/>
      <c r="S25" s="200"/>
      <c r="T25" s="177"/>
      <c r="U25" s="175"/>
    </row>
    <row r="26" spans="1:21">
      <c r="A26" s="196" t="s">
        <v>463</v>
      </c>
      <c r="B26" s="2"/>
      <c r="C26" s="41" t="s">
        <v>998</v>
      </c>
      <c r="D26" s="41"/>
      <c r="E26" s="41"/>
      <c r="F26" s="41"/>
      <c r="G26" s="195" t="s">
        <v>999</v>
      </c>
      <c r="I26" s="196"/>
      <c r="J26" s="4">
        <f>+'Attachment O'!I123</f>
        <v>260164.77393726356</v>
      </c>
      <c r="K26" s="42"/>
      <c r="L26" s="2"/>
      <c r="M26" s="177"/>
      <c r="N26" s="177"/>
      <c r="O26" s="177"/>
      <c r="P26" s="177"/>
      <c r="Q26" s="198"/>
      <c r="R26" s="199"/>
      <c r="S26" s="200"/>
      <c r="T26" s="177"/>
      <c r="U26" s="175"/>
    </row>
    <row r="27" spans="1:21">
      <c r="A27" s="196" t="s">
        <v>466</v>
      </c>
      <c r="B27" s="2"/>
      <c r="C27" s="41" t="s">
        <v>467</v>
      </c>
      <c r="D27" s="41"/>
      <c r="E27" s="41"/>
      <c r="F27" s="41"/>
      <c r="G27" s="195" t="s">
        <v>1000</v>
      </c>
      <c r="I27" s="196"/>
      <c r="J27" s="4">
        <f>+'Attachment O'!I125</f>
        <v>0</v>
      </c>
      <c r="K27" s="201"/>
      <c r="L27" s="2"/>
      <c r="P27" s="177"/>
      <c r="Q27" s="198"/>
      <c r="R27" s="199"/>
      <c r="S27" s="200"/>
      <c r="T27" s="177"/>
      <c r="U27" s="175"/>
    </row>
    <row r="28" spans="1:21">
      <c r="A28" s="196" t="s">
        <v>469</v>
      </c>
      <c r="B28" s="2"/>
      <c r="C28" s="175" t="s">
        <v>470</v>
      </c>
      <c r="D28" s="41"/>
      <c r="E28" s="41"/>
      <c r="F28" s="41"/>
      <c r="G28" s="195" t="s">
        <v>1001</v>
      </c>
      <c r="I28" s="196"/>
      <c r="J28" s="194">
        <f>+'Attachment O'!I135</f>
        <v>0</v>
      </c>
      <c r="K28" s="201"/>
      <c r="L28" s="2"/>
      <c r="P28" s="177"/>
      <c r="Q28" s="198"/>
      <c r="R28" s="199"/>
      <c r="S28" s="200"/>
      <c r="T28" s="177"/>
      <c r="U28" s="175"/>
    </row>
    <row r="29" spans="1:21">
      <c r="A29" s="196" t="s">
        <v>472</v>
      </c>
      <c r="B29" s="2"/>
      <c r="C29" s="41" t="s">
        <v>473</v>
      </c>
      <c r="D29" s="41"/>
      <c r="E29" s="41"/>
      <c r="F29" s="41"/>
      <c r="G29" s="195" t="s">
        <v>474</v>
      </c>
      <c r="I29" s="196"/>
      <c r="J29" s="4">
        <f>J25-(J26+J27)-J28</f>
        <v>818543.23393119429</v>
      </c>
      <c r="K29" s="42"/>
      <c r="L29" s="2"/>
      <c r="M29" s="197"/>
      <c r="N29" s="197"/>
      <c r="O29" s="197"/>
      <c r="P29" s="177"/>
      <c r="Q29" s="198"/>
      <c r="R29" s="199"/>
      <c r="S29" s="200"/>
      <c r="T29" s="177"/>
      <c r="U29" s="175"/>
    </row>
    <row r="30" spans="1:21">
      <c r="A30" s="196"/>
      <c r="B30" s="2"/>
      <c r="C30" s="41"/>
      <c r="D30" s="41"/>
      <c r="E30" s="41"/>
      <c r="F30" s="41"/>
      <c r="G30" s="195"/>
      <c r="I30" s="196"/>
      <c r="J30" s="42"/>
      <c r="K30" s="42"/>
      <c r="L30" s="2"/>
      <c r="M30" s="197"/>
      <c r="N30" s="197"/>
      <c r="O30" s="197"/>
      <c r="P30" s="177"/>
      <c r="Q30" s="198"/>
      <c r="R30" s="199"/>
      <c r="S30" s="200"/>
      <c r="T30" s="177"/>
      <c r="U30" s="175"/>
    </row>
    <row r="31" spans="1:21">
      <c r="A31" s="196">
        <v>4</v>
      </c>
      <c r="B31" s="2"/>
      <c r="C31" s="190" t="s">
        <v>475</v>
      </c>
      <c r="D31" s="190"/>
      <c r="E31" s="190"/>
      <c r="F31" s="190"/>
      <c r="G31" s="195" t="s">
        <v>476</v>
      </c>
      <c r="I31" s="196"/>
      <c r="J31" s="202">
        <f>IF(J18=0,0,J29/J18)</f>
        <v>0.15790292234127104</v>
      </c>
      <c r="K31" s="202"/>
      <c r="L31" s="202">
        <f>J31</f>
        <v>0.15790292234127104</v>
      </c>
      <c r="M31" s="177"/>
      <c r="N31" s="177"/>
      <c r="O31" s="177"/>
      <c r="P31" s="177"/>
      <c r="Q31" s="177"/>
      <c r="R31" s="177"/>
      <c r="S31" s="177"/>
      <c r="T31" s="177"/>
      <c r="U31" s="175"/>
    </row>
    <row r="32" spans="1:21">
      <c r="A32" s="196"/>
      <c r="B32" s="2"/>
      <c r="C32" s="41"/>
      <c r="D32" s="41"/>
      <c r="E32" s="41"/>
      <c r="F32" s="41"/>
      <c r="G32" s="195"/>
      <c r="I32" s="196"/>
      <c r="J32" s="22"/>
      <c r="K32" s="22"/>
      <c r="L32" s="22"/>
      <c r="P32" s="177"/>
      <c r="Q32" s="189"/>
      <c r="R32" s="177"/>
      <c r="S32" s="192"/>
      <c r="T32" s="185"/>
      <c r="U32" s="175"/>
    </row>
    <row r="33" spans="1:21">
      <c r="A33" s="196"/>
      <c r="B33" s="2"/>
      <c r="C33" s="41"/>
      <c r="D33" s="41"/>
      <c r="E33" s="41"/>
      <c r="F33" s="41"/>
      <c r="G33" s="195"/>
      <c r="I33" s="196"/>
      <c r="J33" s="22"/>
      <c r="K33" s="22"/>
      <c r="L33" s="22"/>
      <c r="M33" s="197"/>
      <c r="N33" s="197"/>
      <c r="O33" s="197"/>
      <c r="P33" s="177"/>
      <c r="Q33" s="198"/>
      <c r="R33" s="177"/>
      <c r="S33" s="200"/>
      <c r="T33" s="185"/>
      <c r="U33" s="175"/>
    </row>
    <row r="34" spans="1:21">
      <c r="A34" s="196"/>
      <c r="B34" s="2"/>
      <c r="C34" s="41" t="s">
        <v>477</v>
      </c>
      <c r="D34" s="41"/>
      <c r="E34" s="41"/>
      <c r="F34" s="41"/>
      <c r="G34" s="195"/>
      <c r="I34" s="196"/>
      <c r="J34" s="22"/>
      <c r="K34" s="22"/>
      <c r="L34" s="22"/>
      <c r="M34" s="177"/>
      <c r="N34" s="177"/>
      <c r="O34" s="177"/>
      <c r="P34" s="177"/>
      <c r="T34" s="177"/>
      <c r="U34" s="175"/>
    </row>
    <row r="35" spans="1:21">
      <c r="A35" s="196" t="s">
        <v>478</v>
      </c>
      <c r="B35" s="2"/>
      <c r="C35" s="41" t="s">
        <v>479</v>
      </c>
      <c r="D35" s="41"/>
      <c r="E35" s="41"/>
      <c r="F35" s="41"/>
      <c r="G35" s="195" t="s">
        <v>480</v>
      </c>
      <c r="I35" s="196"/>
      <c r="J35" s="4">
        <f>+J24-J29</f>
        <v>736017.18893008423</v>
      </c>
      <c r="K35" s="22"/>
      <c r="L35" s="22"/>
      <c r="M35" s="177"/>
      <c r="N35" s="177"/>
      <c r="O35" s="177"/>
      <c r="P35" s="177"/>
      <c r="T35" s="177"/>
      <c r="U35" s="175"/>
    </row>
    <row r="36" spans="1:21">
      <c r="A36" s="196" t="s">
        <v>481</v>
      </c>
      <c r="B36" s="2"/>
      <c r="C36" s="41" t="s">
        <v>482</v>
      </c>
      <c r="D36" s="41"/>
      <c r="E36" s="41"/>
      <c r="F36" s="41"/>
      <c r="G36" s="195" t="s">
        <v>483</v>
      </c>
      <c r="I36" s="196"/>
      <c r="J36" s="22">
        <f>IF(J18=0,0,J35/J18)</f>
        <v>0.14198305014055854</v>
      </c>
      <c r="K36" s="22"/>
      <c r="L36" s="22">
        <f>J36</f>
        <v>0.14198305014055854</v>
      </c>
      <c r="M36" s="177"/>
      <c r="N36" s="177"/>
      <c r="O36" s="177"/>
      <c r="P36" s="177"/>
      <c r="T36" s="177"/>
      <c r="U36" s="175"/>
    </row>
    <row r="37" spans="1:21">
      <c r="A37" s="196"/>
      <c r="B37" s="2"/>
      <c r="C37" s="41"/>
      <c r="D37" s="41"/>
      <c r="E37" s="41"/>
      <c r="F37" s="41"/>
      <c r="G37" s="195"/>
      <c r="I37" s="196"/>
      <c r="J37" s="22"/>
      <c r="K37" s="22"/>
      <c r="L37" s="22"/>
      <c r="M37" s="177"/>
      <c r="N37" s="177"/>
      <c r="O37" s="177"/>
      <c r="P37" s="177"/>
      <c r="T37" s="177"/>
      <c r="U37" s="175"/>
    </row>
    <row r="38" spans="1:21">
      <c r="A38" s="182"/>
      <c r="B38" s="2"/>
      <c r="C38" s="41" t="s">
        <v>484</v>
      </c>
      <c r="D38" s="41"/>
      <c r="E38" s="41"/>
      <c r="F38" s="41"/>
      <c r="G38" s="203"/>
      <c r="I38" s="15"/>
      <c r="J38" s="22"/>
      <c r="K38" s="22"/>
      <c r="L38" s="22"/>
      <c r="M38" s="204"/>
      <c r="N38" s="204"/>
      <c r="O38" s="204"/>
      <c r="P38" s="177"/>
      <c r="T38" s="177"/>
      <c r="U38" s="175"/>
    </row>
    <row r="39" spans="1:21">
      <c r="A39" s="182" t="s">
        <v>485</v>
      </c>
      <c r="B39" s="2"/>
      <c r="C39" s="41" t="s">
        <v>486</v>
      </c>
      <c r="D39" s="41"/>
      <c r="E39" s="41"/>
      <c r="F39" s="41"/>
      <c r="G39" s="195" t="s">
        <v>1002</v>
      </c>
      <c r="I39" s="196"/>
      <c r="J39" s="22">
        <f>+'Attachment O'!I142+'Attachment O'!I143</f>
        <v>0</v>
      </c>
      <c r="K39" s="22"/>
      <c r="L39" s="22"/>
      <c r="M39" s="177"/>
      <c r="N39" s="177"/>
      <c r="O39" s="177"/>
      <c r="P39" s="177"/>
      <c r="Q39" s="177"/>
      <c r="R39" s="177"/>
      <c r="S39" s="205"/>
      <c r="T39" s="177"/>
      <c r="U39" s="175"/>
    </row>
    <row r="40" spans="1:21">
      <c r="A40" s="182" t="s">
        <v>488</v>
      </c>
      <c r="B40" s="2"/>
      <c r="C40" s="41" t="s">
        <v>489</v>
      </c>
      <c r="D40" s="41"/>
      <c r="E40" s="41"/>
      <c r="F40" s="41"/>
      <c r="G40" s="195" t="s">
        <v>490</v>
      </c>
      <c r="I40" s="196"/>
      <c r="J40" s="22">
        <f>IF(J18=0,0,J39/J18)</f>
        <v>0</v>
      </c>
      <c r="K40" s="22"/>
      <c r="L40" s="22">
        <f>J40</f>
        <v>0</v>
      </c>
      <c r="M40" s="177"/>
      <c r="N40" s="177"/>
      <c r="O40" s="177"/>
      <c r="P40" s="206"/>
      <c r="Q40" s="207"/>
      <c r="T40" s="185"/>
      <c r="U40" s="177" t="s">
        <v>9</v>
      </c>
    </row>
    <row r="41" spans="1:21">
      <c r="A41" s="196"/>
      <c r="B41" s="2"/>
      <c r="C41" s="41"/>
      <c r="D41" s="41"/>
      <c r="E41" s="41"/>
      <c r="F41" s="41"/>
      <c r="G41" s="195"/>
      <c r="I41" s="196"/>
      <c r="J41" s="22"/>
      <c r="K41" s="22"/>
      <c r="L41" s="22"/>
      <c r="M41" s="177"/>
      <c r="N41" s="177"/>
      <c r="O41" s="177"/>
      <c r="P41" s="206"/>
      <c r="Q41" s="207"/>
      <c r="T41" s="185"/>
      <c r="U41" s="177"/>
    </row>
    <row r="42" spans="1:21">
      <c r="A42" s="182"/>
      <c r="B42" s="2"/>
      <c r="C42" s="41" t="s">
        <v>491</v>
      </c>
      <c r="D42" s="41"/>
      <c r="E42" s="41"/>
      <c r="F42" s="41"/>
      <c r="G42" s="203"/>
      <c r="I42" s="15"/>
      <c r="J42" s="22"/>
      <c r="K42" s="22"/>
      <c r="L42" s="22"/>
      <c r="M42" s="197"/>
      <c r="N42" s="197"/>
      <c r="O42" s="197"/>
      <c r="P42" s="206"/>
      <c r="Q42" s="207"/>
      <c r="R42" s="177"/>
      <c r="S42" s="177"/>
      <c r="T42" s="185"/>
      <c r="U42" s="177"/>
    </row>
    <row r="43" spans="1:21">
      <c r="A43" s="182" t="s">
        <v>492</v>
      </c>
      <c r="B43" s="2"/>
      <c r="C43" s="41" t="s">
        <v>493</v>
      </c>
      <c r="D43" s="41"/>
      <c r="E43" s="41"/>
      <c r="F43" s="41"/>
      <c r="G43" s="195" t="s">
        <v>1003</v>
      </c>
      <c r="I43" s="196"/>
      <c r="J43" s="4">
        <f>+'Attachment O'!I156</f>
        <v>682.8485754992704</v>
      </c>
      <c r="K43" s="22"/>
      <c r="L43" s="22"/>
      <c r="M43" s="177"/>
      <c r="N43" s="177"/>
      <c r="O43" s="177"/>
      <c r="P43" s="177"/>
      <c r="R43" s="175"/>
      <c r="S43" s="177"/>
      <c r="T43" s="175"/>
      <c r="U43" s="175"/>
    </row>
    <row r="44" spans="1:21">
      <c r="A44" s="182" t="s">
        <v>495</v>
      </c>
      <c r="B44" s="2"/>
      <c r="C44" s="41" t="s">
        <v>496</v>
      </c>
      <c r="D44" s="41"/>
      <c r="E44" s="41"/>
      <c r="F44" s="41"/>
      <c r="G44" s="195" t="s">
        <v>497</v>
      </c>
      <c r="I44" s="196"/>
      <c r="J44" s="22">
        <f>IF(J18=0,0,J43/J18)</f>
        <v>1.3172643926218365E-4</v>
      </c>
      <c r="K44" s="22"/>
      <c r="L44" s="22">
        <f>J44</f>
        <v>1.3172643926218365E-4</v>
      </c>
      <c r="P44" s="177"/>
      <c r="R44" s="177"/>
      <c r="S44" s="177"/>
      <c r="T44" s="177"/>
      <c r="U44" s="175"/>
    </row>
    <row r="45" spans="1:21">
      <c r="A45" s="182"/>
      <c r="B45" s="2"/>
      <c r="C45" s="41"/>
      <c r="D45" s="41"/>
      <c r="E45" s="41"/>
      <c r="F45" s="41"/>
      <c r="G45" s="195"/>
      <c r="I45" s="196"/>
      <c r="J45" s="22"/>
      <c r="K45" s="22"/>
      <c r="L45" s="22"/>
      <c r="M45" s="177"/>
      <c r="N45" s="177"/>
      <c r="O45" s="177"/>
      <c r="P45" s="177"/>
      <c r="R45" s="177"/>
      <c r="S45" s="177"/>
      <c r="T45" s="177"/>
      <c r="U45" s="175"/>
    </row>
    <row r="46" spans="1:21">
      <c r="A46" s="208" t="s">
        <v>498</v>
      </c>
      <c r="B46" s="95"/>
      <c r="C46" s="190" t="s">
        <v>499</v>
      </c>
      <c r="D46" s="190"/>
      <c r="E46" s="190"/>
      <c r="F46" s="190"/>
      <c r="G46" s="209" t="s">
        <v>500</v>
      </c>
      <c r="I46" s="184"/>
      <c r="J46" s="202">
        <f>J36+J40+J44</f>
        <v>0.14211477657982072</v>
      </c>
      <c r="K46" s="202"/>
      <c r="L46" s="202">
        <f>L36+L40+L44</f>
        <v>0.14211477657982072</v>
      </c>
      <c r="M46" s="197"/>
      <c r="N46" s="197"/>
      <c r="O46" s="197"/>
      <c r="P46" s="177"/>
      <c r="S46" s="210"/>
      <c r="T46" s="185"/>
      <c r="U46" s="177"/>
    </row>
    <row r="47" spans="1:21">
      <c r="A47" s="182"/>
      <c r="B47" s="2"/>
      <c r="C47" s="41"/>
      <c r="D47" s="41"/>
      <c r="E47" s="41"/>
      <c r="F47" s="41"/>
      <c r="G47" s="195"/>
      <c r="I47" s="196"/>
      <c r="J47" s="22"/>
      <c r="K47" s="22"/>
      <c r="L47" s="22"/>
      <c r="M47" s="177"/>
      <c r="N47" s="177"/>
      <c r="O47" s="177"/>
      <c r="P47" s="177"/>
      <c r="Q47" s="211"/>
      <c r="R47" s="177"/>
      <c r="S47" s="177"/>
      <c r="T47" s="177"/>
      <c r="U47" s="175"/>
    </row>
    <row r="48" spans="1:21">
      <c r="A48" s="182"/>
      <c r="B48" s="33"/>
      <c r="C48" s="42" t="s">
        <v>501</v>
      </c>
      <c r="D48" s="42"/>
      <c r="E48" s="42"/>
      <c r="F48" s="42"/>
      <c r="G48" s="195"/>
      <c r="I48" s="196"/>
      <c r="J48" s="22"/>
      <c r="K48" s="22"/>
      <c r="L48" s="22"/>
      <c r="M48" s="204"/>
      <c r="N48" s="204"/>
      <c r="O48" s="204"/>
      <c r="P48" s="177"/>
      <c r="Q48" s="211"/>
      <c r="R48" s="177"/>
      <c r="S48" s="177"/>
      <c r="T48" s="177"/>
      <c r="U48" s="175"/>
    </row>
    <row r="49" spans="1:23">
      <c r="A49" s="182" t="s">
        <v>502</v>
      </c>
      <c r="B49" s="33"/>
      <c r="C49" s="42" t="s">
        <v>503</v>
      </c>
      <c r="D49" s="42"/>
      <c r="E49" s="42"/>
      <c r="F49" s="42"/>
      <c r="G49" s="195" t="s">
        <v>1004</v>
      </c>
      <c r="I49" s="196"/>
      <c r="J49" s="4">
        <f>+'Attachment O'!I171</f>
        <v>45060.049697622635</v>
      </c>
      <c r="K49" s="22"/>
      <c r="L49" s="22"/>
      <c r="P49" s="212"/>
      <c r="Q49" s="212"/>
      <c r="R49" s="177"/>
      <c r="S49" s="177"/>
      <c r="T49" s="177"/>
      <c r="U49" s="175"/>
    </row>
    <row r="50" spans="1:23">
      <c r="A50" s="182" t="s">
        <v>505</v>
      </c>
      <c r="B50" s="33"/>
      <c r="C50" s="42" t="s">
        <v>506</v>
      </c>
      <c r="D50" s="42"/>
      <c r="E50" s="42"/>
      <c r="F50" s="42"/>
      <c r="G50" s="195" t="s">
        <v>507</v>
      </c>
      <c r="I50" s="196"/>
      <c r="J50" s="22">
        <f>IF(J21=0,0,J49/J21)</f>
        <v>1.6905585374022484E-2</v>
      </c>
      <c r="K50" s="22"/>
      <c r="L50" s="22">
        <f>J50</f>
        <v>1.6905585374022484E-2</v>
      </c>
      <c r="P50" s="212"/>
      <c r="Q50" s="212"/>
      <c r="R50" s="177"/>
      <c r="S50" s="177"/>
      <c r="T50" s="177"/>
      <c r="U50" s="175"/>
    </row>
    <row r="51" spans="1:23">
      <c r="A51" s="182"/>
      <c r="B51" s="2"/>
      <c r="C51" s="42"/>
      <c r="D51" s="42"/>
      <c r="E51" s="42"/>
      <c r="F51" s="42"/>
      <c r="G51" s="195"/>
      <c r="I51" s="196"/>
      <c r="J51" s="22"/>
      <c r="K51" s="22"/>
      <c r="L51" s="22"/>
      <c r="P51" s="212"/>
      <c r="Q51" s="212"/>
      <c r="R51" s="177"/>
      <c r="S51" s="177"/>
      <c r="T51" s="177"/>
      <c r="U51" s="175"/>
    </row>
    <row r="52" spans="1:23">
      <c r="A52" s="182"/>
      <c r="B52" s="2"/>
      <c r="C52" s="41" t="s">
        <v>249</v>
      </c>
      <c r="D52" s="41"/>
      <c r="E52" s="41"/>
      <c r="F52" s="41"/>
      <c r="G52" s="213"/>
      <c r="I52" s="214"/>
      <c r="J52" s="22"/>
      <c r="K52" s="22"/>
      <c r="L52" s="22"/>
      <c r="P52" s="212"/>
      <c r="Q52" s="212"/>
      <c r="R52" s="177"/>
      <c r="S52" s="177"/>
      <c r="T52" s="177"/>
      <c r="U52" s="175"/>
    </row>
    <row r="53" spans="1:23">
      <c r="A53" s="182" t="s">
        <v>508</v>
      </c>
      <c r="B53" s="2"/>
      <c r="C53" s="41" t="s">
        <v>509</v>
      </c>
      <c r="D53" s="41"/>
      <c r="E53" s="41"/>
      <c r="F53" s="41"/>
      <c r="G53" s="195" t="s">
        <v>1005</v>
      </c>
      <c r="I53" s="196"/>
      <c r="J53" s="4">
        <f>+'Attachment O'!I174</f>
        <v>224230.66410186328</v>
      </c>
      <c r="K53" s="22"/>
      <c r="L53" s="22"/>
      <c r="P53" s="212"/>
      <c r="Q53" s="212"/>
      <c r="R53" s="177"/>
      <c r="S53" s="177"/>
      <c r="T53" s="177"/>
      <c r="U53" s="175"/>
    </row>
    <row r="54" spans="1:23">
      <c r="A54" s="182" t="s">
        <v>511</v>
      </c>
      <c r="B54" s="33"/>
      <c r="C54" s="42" t="s">
        <v>512</v>
      </c>
      <c r="D54" s="42"/>
      <c r="E54" s="42"/>
      <c r="F54" s="42"/>
      <c r="G54" s="195" t="s">
        <v>513</v>
      </c>
      <c r="I54" s="196"/>
      <c r="J54" s="22">
        <f>IF(J21=0,0,J53/J21)</f>
        <v>8.4126641246199244E-2</v>
      </c>
      <c r="K54" s="22"/>
      <c r="L54" s="22">
        <f>J54</f>
        <v>8.4126641246199244E-2</v>
      </c>
      <c r="P54" s="212"/>
      <c r="Q54" s="212"/>
      <c r="R54" s="177"/>
      <c r="S54" s="177"/>
      <c r="T54" s="177"/>
      <c r="U54" s="175"/>
    </row>
    <row r="55" spans="1:23">
      <c r="A55" s="182"/>
      <c r="B55" s="2"/>
      <c r="C55" s="41"/>
      <c r="D55" s="41"/>
      <c r="E55" s="41"/>
      <c r="F55" s="41"/>
      <c r="G55" s="195"/>
      <c r="I55" s="196"/>
      <c r="J55" s="22"/>
      <c r="K55" s="22"/>
      <c r="L55" s="22"/>
      <c r="P55" s="212"/>
      <c r="Q55" s="212"/>
      <c r="R55" s="177"/>
      <c r="S55" s="177"/>
      <c r="T55" s="177"/>
      <c r="U55" s="175"/>
    </row>
    <row r="56" spans="1:23">
      <c r="A56" s="208" t="s">
        <v>514</v>
      </c>
      <c r="B56" s="95"/>
      <c r="C56" s="190" t="s">
        <v>515</v>
      </c>
      <c r="D56" s="190"/>
      <c r="E56" s="190"/>
      <c r="F56" s="190"/>
      <c r="G56" s="209" t="s">
        <v>516</v>
      </c>
      <c r="I56" s="184"/>
      <c r="J56" s="202"/>
      <c r="K56" s="202"/>
      <c r="L56" s="202">
        <f>L50+L54</f>
        <v>0.10103222662022172</v>
      </c>
      <c r="P56" s="212"/>
      <c r="Q56" s="212"/>
      <c r="R56" s="177"/>
      <c r="S56" s="177"/>
      <c r="T56" s="177"/>
      <c r="U56" s="175"/>
    </row>
    <row r="57" spans="1:23">
      <c r="J57" s="22"/>
      <c r="K57" s="22"/>
      <c r="L57" s="22"/>
      <c r="P57" s="212"/>
      <c r="Q57" s="212"/>
      <c r="R57" s="177"/>
      <c r="S57" s="177"/>
      <c r="T57" s="177"/>
      <c r="U57" s="175"/>
    </row>
    <row r="58" spans="1:23">
      <c r="J58" s="22"/>
      <c r="K58" s="22"/>
      <c r="L58" s="22"/>
      <c r="P58" s="212"/>
      <c r="Q58" s="212"/>
      <c r="R58" s="177"/>
      <c r="S58" s="177"/>
      <c r="T58" s="177"/>
      <c r="U58" s="175"/>
    </row>
    <row r="59" spans="1:23">
      <c r="A59" s="215"/>
      <c r="C59" s="183"/>
      <c r="D59" s="183"/>
      <c r="E59" s="216"/>
      <c r="F59" s="216"/>
      <c r="G59" s="177"/>
      <c r="J59" s="217"/>
      <c r="P59" s="177"/>
      <c r="Q59" s="198"/>
      <c r="R59" s="174"/>
      <c r="S59" s="177"/>
      <c r="T59" s="192"/>
      <c r="U59" s="177"/>
    </row>
    <row r="60" spans="1:23">
      <c r="A60" s="172"/>
      <c r="G60" s="177"/>
      <c r="P60" s="177"/>
      <c r="Q60" s="177"/>
      <c r="R60" s="177"/>
      <c r="S60" s="177"/>
      <c r="T60" s="185"/>
      <c r="U60" s="177" t="s">
        <v>9</v>
      </c>
    </row>
    <row r="61" spans="1:23">
      <c r="Q61" s="171"/>
    </row>
    <row r="62" spans="1:23">
      <c r="L62" s="170" t="s">
        <v>517</v>
      </c>
      <c r="Q62" s="171"/>
      <c r="W62" s="170" t="s">
        <v>518</v>
      </c>
    </row>
    <row r="63" spans="1:23">
      <c r="F63" s="216" t="str">
        <f>E4</f>
        <v>Attachment 1 (Note J)</v>
      </c>
      <c r="Q63" s="216" t="str">
        <f t="shared" ref="Q63:Q65" si="0">F63</f>
        <v>Attachment 1 (Note J)</v>
      </c>
    </row>
    <row r="64" spans="1:23">
      <c r="A64" s="172"/>
      <c r="F64" s="216" t="str">
        <f>E5</f>
        <v>Project Revenue Requirement Worksheet</v>
      </c>
      <c r="G64" s="177"/>
      <c r="H64" s="216"/>
      <c r="P64" s="177"/>
      <c r="Q64" s="216" t="str">
        <f t="shared" si="0"/>
        <v>Project Revenue Requirement Worksheet</v>
      </c>
      <c r="R64" s="177"/>
      <c r="S64" s="175"/>
      <c r="T64" s="177"/>
      <c r="U64" s="175"/>
    </row>
    <row r="65" spans="1:23">
      <c r="A65" s="172"/>
      <c r="D65" s="175"/>
      <c r="F65" s="185" t="str">
        <f>E6</f>
        <v>GridLiance Heartland LLC</v>
      </c>
      <c r="P65" s="177"/>
      <c r="Q65" s="216" t="str">
        <f t="shared" si="0"/>
        <v>GridLiance Heartland LLC</v>
      </c>
      <c r="R65" s="177"/>
      <c r="S65" s="175"/>
      <c r="T65" s="177"/>
      <c r="U65" s="175"/>
    </row>
    <row r="66" spans="1:23">
      <c r="A66" s="172"/>
      <c r="C66" s="175"/>
      <c r="D66" s="175"/>
      <c r="M66" s="177"/>
      <c r="N66" s="177"/>
      <c r="O66" s="177"/>
      <c r="P66" s="177"/>
      <c r="R66" s="177"/>
      <c r="S66" s="175"/>
      <c r="T66" s="177"/>
      <c r="U66" s="175"/>
    </row>
    <row r="67" spans="1:23" ht="14.25" customHeight="1">
      <c r="A67" s="172"/>
      <c r="P67" s="177"/>
      <c r="R67" s="177"/>
      <c r="S67" s="175"/>
      <c r="T67" s="177"/>
      <c r="U67" s="175"/>
    </row>
    <row r="68" spans="1:23">
      <c r="A68" s="172"/>
      <c r="H68" s="216"/>
      <c r="P68" s="177"/>
      <c r="Q68" s="177"/>
      <c r="R68" s="177"/>
      <c r="S68" s="175"/>
      <c r="T68" s="177"/>
      <c r="U68" s="175"/>
    </row>
    <row r="69" spans="1:23">
      <c r="A69" s="172"/>
      <c r="E69" s="175"/>
      <c r="F69" s="175"/>
      <c r="G69" s="175"/>
      <c r="H69" s="175"/>
      <c r="I69" s="175"/>
      <c r="J69" s="175"/>
      <c r="K69" s="175"/>
      <c r="L69" s="175"/>
      <c r="M69" s="175"/>
      <c r="N69" s="175"/>
      <c r="O69" s="175"/>
      <c r="P69" s="175"/>
      <c r="Q69" s="175"/>
      <c r="R69" s="177"/>
      <c r="S69" s="175"/>
      <c r="T69" s="177"/>
      <c r="U69" s="175"/>
    </row>
    <row r="70" spans="1:23">
      <c r="A70" s="172"/>
      <c r="E70" s="218"/>
      <c r="F70" s="218"/>
      <c r="H70" s="175"/>
      <c r="I70" s="175"/>
      <c r="J70" s="175"/>
      <c r="K70" s="175"/>
      <c r="L70" s="175"/>
      <c r="M70" s="175"/>
      <c r="N70" s="175"/>
      <c r="O70" s="175"/>
      <c r="P70" s="177"/>
      <c r="Q70" s="177"/>
      <c r="R70" s="177"/>
      <c r="S70" s="175"/>
      <c r="T70" s="177"/>
      <c r="U70" s="175"/>
    </row>
    <row r="71" spans="1:23" s="219" customFormat="1">
      <c r="A71" s="172"/>
      <c r="B71" s="170"/>
      <c r="C71" s="170"/>
      <c r="D71" s="170"/>
      <c r="E71" s="218"/>
      <c r="F71" s="218"/>
      <c r="G71" s="170"/>
      <c r="H71" s="175"/>
      <c r="I71" s="175"/>
      <c r="J71" s="175"/>
      <c r="K71" s="175"/>
      <c r="L71" s="175"/>
      <c r="M71" s="175"/>
      <c r="N71" s="175"/>
      <c r="O71" s="175"/>
      <c r="P71" s="177"/>
      <c r="Q71" s="177"/>
      <c r="R71" s="177"/>
      <c r="S71" s="175"/>
      <c r="T71" s="177"/>
      <c r="U71" s="175"/>
      <c r="V71" s="170"/>
      <c r="W71" s="170"/>
    </row>
    <row r="72" spans="1:23" s="219" customFormat="1">
      <c r="A72" s="172"/>
      <c r="B72" s="170"/>
      <c r="C72" s="220">
        <v>-1</v>
      </c>
      <c r="D72" s="220">
        <v>-2</v>
      </c>
      <c r="E72" s="220">
        <v>-3</v>
      </c>
      <c r="F72" s="220">
        <v>-4</v>
      </c>
      <c r="G72" s="220">
        <v>-5</v>
      </c>
      <c r="H72" s="220">
        <v>-6</v>
      </c>
      <c r="I72" s="220">
        <v>-7</v>
      </c>
      <c r="J72" s="220">
        <v>-8</v>
      </c>
      <c r="K72" s="220">
        <v>-9</v>
      </c>
      <c r="L72" s="220">
        <v>-10</v>
      </c>
      <c r="M72" s="220">
        <v>-11</v>
      </c>
      <c r="N72" s="220">
        <v>-12</v>
      </c>
      <c r="O72" s="220">
        <v>-13</v>
      </c>
      <c r="P72" s="221" t="s">
        <v>519</v>
      </c>
      <c r="Q72" s="221" t="s">
        <v>520</v>
      </c>
      <c r="R72" s="221" t="s">
        <v>521</v>
      </c>
      <c r="S72" s="221" t="s">
        <v>522</v>
      </c>
      <c r="T72" s="221" t="s">
        <v>523</v>
      </c>
      <c r="U72" s="221" t="s">
        <v>524</v>
      </c>
      <c r="V72" s="221" t="s">
        <v>525</v>
      </c>
      <c r="W72" s="221" t="s">
        <v>526</v>
      </c>
    </row>
    <row r="73" spans="1:23" s="219" customFormat="1" ht="67.5" customHeight="1">
      <c r="A73" s="222" t="s">
        <v>527</v>
      </c>
      <c r="B73" s="223"/>
      <c r="C73" s="223" t="s">
        <v>528</v>
      </c>
      <c r="D73" s="224" t="s">
        <v>529</v>
      </c>
      <c r="E73" s="225" t="s">
        <v>530</v>
      </c>
      <c r="F73" s="224" t="s">
        <v>531</v>
      </c>
      <c r="G73" s="226" t="s">
        <v>532</v>
      </c>
      <c r="H73" s="227" t="s">
        <v>533</v>
      </c>
      <c r="I73" s="227" t="s">
        <v>499</v>
      </c>
      <c r="J73" s="228" t="s">
        <v>534</v>
      </c>
      <c r="K73" s="229" t="s">
        <v>535</v>
      </c>
      <c r="L73" s="230" t="s">
        <v>536</v>
      </c>
      <c r="M73" s="230" t="s">
        <v>515</v>
      </c>
      <c r="N73" s="229" t="s">
        <v>537</v>
      </c>
      <c r="O73" s="230" t="s">
        <v>538</v>
      </c>
      <c r="P73" s="231" t="s">
        <v>539</v>
      </c>
      <c r="Q73" s="231" t="s">
        <v>540</v>
      </c>
      <c r="R73" s="231" t="s">
        <v>541</v>
      </c>
      <c r="S73" s="231" t="s">
        <v>542</v>
      </c>
      <c r="T73" s="231" t="s">
        <v>1006</v>
      </c>
      <c r="U73" s="231" t="s">
        <v>544</v>
      </c>
      <c r="V73" s="231" t="s">
        <v>545</v>
      </c>
      <c r="W73" s="231" t="s">
        <v>546</v>
      </c>
    </row>
    <row r="74" spans="1:23" s="219" customFormat="1" ht="38.25">
      <c r="A74" s="232">
        <v>15</v>
      </c>
      <c r="B74" s="233"/>
      <c r="C74" s="234"/>
      <c r="D74" s="234"/>
      <c r="E74" s="235" t="s">
        <v>49</v>
      </c>
      <c r="F74" s="236"/>
      <c r="G74" s="235" t="s">
        <v>547</v>
      </c>
      <c r="H74" s="236" t="s">
        <v>548</v>
      </c>
      <c r="I74" s="236" t="s">
        <v>549</v>
      </c>
      <c r="J74" s="237" t="s">
        <v>550</v>
      </c>
      <c r="K74" s="238" t="s">
        <v>551</v>
      </c>
      <c r="L74" s="235" t="s">
        <v>51</v>
      </c>
      <c r="M74" s="235" t="s">
        <v>552</v>
      </c>
      <c r="N74" s="238" t="s">
        <v>553</v>
      </c>
      <c r="O74" s="235" t="s">
        <v>554</v>
      </c>
      <c r="P74" s="238" t="s">
        <v>555</v>
      </c>
      <c r="Q74" s="235" t="s">
        <v>556</v>
      </c>
      <c r="R74" s="239" t="s">
        <v>557</v>
      </c>
      <c r="S74" s="240" t="s">
        <v>558</v>
      </c>
      <c r="T74" s="238" t="s">
        <v>559</v>
      </c>
      <c r="U74" s="240" t="s">
        <v>560</v>
      </c>
      <c r="V74" s="241" t="s">
        <v>561</v>
      </c>
      <c r="W74" s="240" t="s">
        <v>562</v>
      </c>
    </row>
    <row r="75" spans="1:23" s="219" customFormat="1">
      <c r="A75" s="242"/>
      <c r="B75" s="243"/>
      <c r="C75" s="243"/>
      <c r="D75" s="243"/>
      <c r="E75" s="243"/>
      <c r="F75" s="244"/>
      <c r="G75" s="243"/>
      <c r="H75" s="244"/>
      <c r="I75" s="244"/>
      <c r="J75" s="244"/>
      <c r="K75" s="245"/>
      <c r="L75" s="243"/>
      <c r="M75" s="243"/>
      <c r="N75" s="245"/>
      <c r="O75" s="243"/>
      <c r="P75" s="245"/>
      <c r="Q75" s="245"/>
      <c r="R75" s="243"/>
      <c r="S75" s="245"/>
      <c r="T75" s="245"/>
      <c r="U75" s="245"/>
      <c r="V75" s="246"/>
      <c r="W75" s="247"/>
    </row>
    <row r="76" spans="1:23" s="219" customFormat="1">
      <c r="A76" s="252" t="s">
        <v>563</v>
      </c>
      <c r="B76" s="248"/>
      <c r="C76" s="29">
        <v>0</v>
      </c>
      <c r="D76" s="29">
        <v>0</v>
      </c>
      <c r="E76" s="29">
        <v>0</v>
      </c>
      <c r="F76" s="679">
        <f>'Attachment O'!I78</f>
        <v>2518444.1810724135</v>
      </c>
      <c r="G76" s="22">
        <f>+L31</f>
        <v>0.15790292234127104</v>
      </c>
      <c r="H76" s="22">
        <f t="shared" ref="H76:H94" si="1">+G76*E76</f>
        <v>0</v>
      </c>
      <c r="I76" s="22">
        <f>+L46</f>
        <v>0.14211477657982072</v>
      </c>
      <c r="J76" s="22">
        <f>+E76*I76</f>
        <v>0</v>
      </c>
      <c r="K76" s="518">
        <f>+H76+J76</f>
        <v>0</v>
      </c>
      <c r="L76" s="92">
        <f>+E76-F76</f>
        <v>-2518444.1810724135</v>
      </c>
      <c r="M76" s="22">
        <f>IF(L76&gt;0,$L$56,0)</f>
        <v>0</v>
      </c>
      <c r="N76" s="249">
        <f>L76*M76</f>
        <v>0</v>
      </c>
      <c r="O76" s="92">
        <f>'Attachment O'!I145</f>
        <v>98209.894019386644</v>
      </c>
      <c r="P76" s="518">
        <f>K76+N76+O76</f>
        <v>98209.894019386644</v>
      </c>
      <c r="Q76" s="250">
        <v>0</v>
      </c>
      <c r="R76" s="22">
        <f>+'2-Incentive ROE'!K$40*'1-Project Rev Req'!Q76/100*'1-Project Rev Req'!L76</f>
        <v>0</v>
      </c>
      <c r="S76" s="249">
        <f>+P76+R76</f>
        <v>98209.894019386644</v>
      </c>
      <c r="T76" s="251">
        <v>0</v>
      </c>
      <c r="U76" s="519">
        <f>+S76+T76</f>
        <v>98209.894019386644</v>
      </c>
      <c r="V76" s="92">
        <v>0</v>
      </c>
      <c r="W76" s="249">
        <f>+U76+V76</f>
        <v>98209.894019386644</v>
      </c>
    </row>
    <row r="77" spans="1:23" s="219" customFormat="1">
      <c r="A77" s="252" t="s">
        <v>565</v>
      </c>
      <c r="B77" s="248"/>
      <c r="C77" s="29">
        <v>0</v>
      </c>
      <c r="D77" s="29">
        <v>0</v>
      </c>
      <c r="E77" s="29">
        <v>0</v>
      </c>
      <c r="F77" s="337">
        <v>0</v>
      </c>
      <c r="G77" s="22">
        <f>+G76</f>
        <v>0.15790292234127104</v>
      </c>
      <c r="H77" s="22">
        <f t="shared" si="1"/>
        <v>0</v>
      </c>
      <c r="I77" s="22">
        <f>+I76</f>
        <v>0.14211477657982072</v>
      </c>
      <c r="J77" s="22">
        <f>+I77*E77</f>
        <v>0</v>
      </c>
      <c r="K77" s="518">
        <f t="shared" ref="K77:K94" si="2">+H77+J77</f>
        <v>0</v>
      </c>
      <c r="L77" s="92">
        <f>+E77-F77</f>
        <v>0</v>
      </c>
      <c r="M77" s="22">
        <f>IF(L77&gt;0,$L$56,0)</f>
        <v>0</v>
      </c>
      <c r="N77" s="249">
        <f t="shared" ref="N77:N94" si="3">L77*M77</f>
        <v>0</v>
      </c>
      <c r="O77" s="92">
        <v>0</v>
      </c>
      <c r="P77" s="518">
        <f t="shared" ref="P77:P94" si="4">K77+N77+O77</f>
        <v>0</v>
      </c>
      <c r="Q77" s="250">
        <v>0</v>
      </c>
      <c r="R77" s="22">
        <f>+'2-Incentive ROE'!K$40*'1-Project Rev Req'!Q77/100*'1-Project Rev Req'!L77</f>
        <v>0</v>
      </c>
      <c r="S77" s="249">
        <f t="shared" ref="S77:S94" si="5">+P77+R77</f>
        <v>0</v>
      </c>
      <c r="T77" s="251">
        <v>0</v>
      </c>
      <c r="U77" s="519">
        <f>+S77+T77</f>
        <v>0</v>
      </c>
      <c r="V77" s="92">
        <v>0</v>
      </c>
      <c r="W77" s="249">
        <f>+U77+V77</f>
        <v>0</v>
      </c>
    </row>
    <row r="78" spans="1:23" s="219" customFormat="1">
      <c r="A78" s="252" t="s">
        <v>566</v>
      </c>
      <c r="B78" s="248"/>
      <c r="C78" s="29">
        <v>0</v>
      </c>
      <c r="D78" s="29">
        <v>0</v>
      </c>
      <c r="E78" s="29">
        <v>0</v>
      </c>
      <c r="F78" s="337">
        <v>0</v>
      </c>
      <c r="G78" s="22">
        <f>+G77</f>
        <v>0.15790292234127104</v>
      </c>
      <c r="H78" s="22">
        <f t="shared" si="1"/>
        <v>0</v>
      </c>
      <c r="I78" s="22">
        <f t="shared" ref="I78:I94" si="6">+I77</f>
        <v>0.14211477657982072</v>
      </c>
      <c r="J78" s="22">
        <f t="shared" ref="J78:J94" si="7">+I78*E78</f>
        <v>0</v>
      </c>
      <c r="K78" s="518">
        <f t="shared" si="2"/>
        <v>0</v>
      </c>
      <c r="L78" s="92">
        <f>+E78-F78</f>
        <v>0</v>
      </c>
      <c r="M78" s="22">
        <f t="shared" ref="M78:M94" si="8">IF(L78&gt;0,$L$56,0)</f>
        <v>0</v>
      </c>
      <c r="N78" s="249">
        <f t="shared" si="3"/>
        <v>0</v>
      </c>
      <c r="O78" s="92">
        <v>0</v>
      </c>
      <c r="P78" s="518">
        <f t="shared" si="4"/>
        <v>0</v>
      </c>
      <c r="Q78" s="250">
        <v>0</v>
      </c>
      <c r="R78" s="22">
        <f>+'2-Incentive ROE'!K42*'1-Project Rev Req'!Q78/100*'1-Project Rev Req'!L78</f>
        <v>0</v>
      </c>
      <c r="S78" s="249">
        <f t="shared" si="5"/>
        <v>0</v>
      </c>
      <c r="T78" s="251">
        <v>0</v>
      </c>
      <c r="U78" s="519">
        <f t="shared" ref="U78:U94" si="9">+S78+T78</f>
        <v>0</v>
      </c>
      <c r="V78" s="92">
        <v>0</v>
      </c>
      <c r="W78" s="249">
        <f>+U78+V78</f>
        <v>0</v>
      </c>
    </row>
    <row r="79" spans="1:23" s="219" customFormat="1">
      <c r="A79" s="252" t="s">
        <v>567</v>
      </c>
      <c r="B79" s="248"/>
      <c r="C79" s="29">
        <v>0</v>
      </c>
      <c r="D79" s="29">
        <v>0</v>
      </c>
      <c r="E79" s="29">
        <v>0</v>
      </c>
      <c r="F79" s="337">
        <v>0</v>
      </c>
      <c r="G79" s="22">
        <f>+G78</f>
        <v>0.15790292234127104</v>
      </c>
      <c r="H79" s="22">
        <f t="shared" si="1"/>
        <v>0</v>
      </c>
      <c r="I79" s="22">
        <f t="shared" si="6"/>
        <v>0.14211477657982072</v>
      </c>
      <c r="J79" s="22">
        <f t="shared" si="7"/>
        <v>0</v>
      </c>
      <c r="K79" s="518">
        <f t="shared" si="2"/>
        <v>0</v>
      </c>
      <c r="L79" s="92">
        <f>+E79-F79</f>
        <v>0</v>
      </c>
      <c r="M79" s="22">
        <f t="shared" si="8"/>
        <v>0</v>
      </c>
      <c r="N79" s="249">
        <f t="shared" si="3"/>
        <v>0</v>
      </c>
      <c r="O79" s="92">
        <v>0</v>
      </c>
      <c r="P79" s="518">
        <f t="shared" si="4"/>
        <v>0</v>
      </c>
      <c r="Q79" s="250">
        <v>0</v>
      </c>
      <c r="R79" s="22">
        <f>+'2-Incentive ROE'!K43*'1-Project Rev Req'!Q79/100*'1-Project Rev Req'!L79</f>
        <v>0</v>
      </c>
      <c r="S79" s="249">
        <f t="shared" si="5"/>
        <v>0</v>
      </c>
      <c r="T79" s="251">
        <v>0</v>
      </c>
      <c r="U79" s="519">
        <f t="shared" si="9"/>
        <v>0</v>
      </c>
      <c r="V79" s="92">
        <v>0</v>
      </c>
      <c r="W79" s="249">
        <f>+U79+V79</f>
        <v>0</v>
      </c>
    </row>
    <row r="80" spans="1:23" s="219" customFormat="1">
      <c r="A80" s="252" t="s">
        <v>568</v>
      </c>
      <c r="B80" s="248"/>
      <c r="C80" s="29">
        <v>0</v>
      </c>
      <c r="D80" s="29">
        <v>0</v>
      </c>
      <c r="E80" s="29">
        <v>0</v>
      </c>
      <c r="F80" s="337">
        <v>0</v>
      </c>
      <c r="G80" s="22">
        <f t="shared" ref="G80:G94" si="10">+G79</f>
        <v>0.15790292234127104</v>
      </c>
      <c r="H80" s="22">
        <f t="shared" si="1"/>
        <v>0</v>
      </c>
      <c r="I80" s="22">
        <f t="shared" si="6"/>
        <v>0.14211477657982072</v>
      </c>
      <c r="J80" s="22">
        <f t="shared" si="7"/>
        <v>0</v>
      </c>
      <c r="K80" s="518">
        <f t="shared" si="2"/>
        <v>0</v>
      </c>
      <c r="L80" s="29">
        <v>0</v>
      </c>
      <c r="M80" s="22">
        <f t="shared" si="8"/>
        <v>0</v>
      </c>
      <c r="N80" s="249">
        <f t="shared" si="3"/>
        <v>0</v>
      </c>
      <c r="O80" s="92">
        <v>0</v>
      </c>
      <c r="P80" s="518">
        <f t="shared" si="4"/>
        <v>0</v>
      </c>
      <c r="Q80" s="250">
        <v>0</v>
      </c>
      <c r="R80" s="22">
        <f>+'2-Incentive ROE'!K44*'1-Project Rev Req'!Q80/100*'1-Project Rev Req'!L80</f>
        <v>0</v>
      </c>
      <c r="S80" s="249">
        <f t="shared" si="5"/>
        <v>0</v>
      </c>
      <c r="T80" s="251">
        <v>0</v>
      </c>
      <c r="U80" s="519">
        <f t="shared" si="9"/>
        <v>0</v>
      </c>
      <c r="V80" s="92">
        <v>0</v>
      </c>
      <c r="W80" s="249">
        <f>+U80+V80</f>
        <v>0</v>
      </c>
    </row>
    <row r="81" spans="1:23" s="219" customFormat="1">
      <c r="A81" s="252" t="s">
        <v>569</v>
      </c>
      <c r="B81" s="248"/>
      <c r="C81" s="29">
        <v>0</v>
      </c>
      <c r="D81" s="29">
        <v>0</v>
      </c>
      <c r="E81" s="29">
        <v>0</v>
      </c>
      <c r="F81" s="337">
        <v>0</v>
      </c>
      <c r="G81" s="22">
        <f t="shared" si="10"/>
        <v>0.15790292234127104</v>
      </c>
      <c r="H81" s="22">
        <f t="shared" si="1"/>
        <v>0</v>
      </c>
      <c r="I81" s="22">
        <f t="shared" si="6"/>
        <v>0.14211477657982072</v>
      </c>
      <c r="J81" s="22">
        <f t="shared" si="7"/>
        <v>0</v>
      </c>
      <c r="K81" s="518">
        <f t="shared" si="2"/>
        <v>0</v>
      </c>
      <c r="L81" s="29">
        <v>0</v>
      </c>
      <c r="M81" s="22">
        <f t="shared" si="8"/>
        <v>0</v>
      </c>
      <c r="N81" s="249">
        <f t="shared" si="3"/>
        <v>0</v>
      </c>
      <c r="O81" s="92">
        <v>0</v>
      </c>
      <c r="P81" s="518">
        <f t="shared" si="4"/>
        <v>0</v>
      </c>
      <c r="Q81" s="250">
        <v>0</v>
      </c>
      <c r="R81" s="22">
        <f>+'2-Incentive ROE'!K45*'1-Project Rev Req'!Q81/100*'1-Project Rev Req'!L81</f>
        <v>0</v>
      </c>
      <c r="S81" s="249">
        <f t="shared" si="5"/>
        <v>0</v>
      </c>
      <c r="T81" s="251">
        <v>0</v>
      </c>
      <c r="U81" s="519">
        <f t="shared" si="9"/>
        <v>0</v>
      </c>
      <c r="V81" s="92">
        <v>0</v>
      </c>
      <c r="W81" s="249">
        <f t="shared" ref="W81:W95" si="11">P81+V81</f>
        <v>0</v>
      </c>
    </row>
    <row r="82" spans="1:23" s="219" customFormat="1">
      <c r="A82" s="252" t="s">
        <v>570</v>
      </c>
      <c r="B82" s="248"/>
      <c r="C82" s="29">
        <v>0</v>
      </c>
      <c r="D82" s="29">
        <v>0</v>
      </c>
      <c r="E82" s="29">
        <v>0</v>
      </c>
      <c r="F82" s="337">
        <v>0</v>
      </c>
      <c r="G82" s="22">
        <f t="shared" si="10"/>
        <v>0.15790292234127104</v>
      </c>
      <c r="H82" s="22">
        <f t="shared" si="1"/>
        <v>0</v>
      </c>
      <c r="I82" s="22">
        <f t="shared" si="6"/>
        <v>0.14211477657982072</v>
      </c>
      <c r="J82" s="22">
        <f t="shared" si="7"/>
        <v>0</v>
      </c>
      <c r="K82" s="518">
        <f t="shared" si="2"/>
        <v>0</v>
      </c>
      <c r="L82" s="29">
        <v>0</v>
      </c>
      <c r="M82" s="22">
        <f t="shared" si="8"/>
        <v>0</v>
      </c>
      <c r="N82" s="249">
        <f t="shared" si="3"/>
        <v>0</v>
      </c>
      <c r="O82" s="92">
        <v>0</v>
      </c>
      <c r="P82" s="518">
        <f t="shared" si="4"/>
        <v>0</v>
      </c>
      <c r="Q82" s="250">
        <v>0</v>
      </c>
      <c r="R82" s="22">
        <f>+'2-Incentive ROE'!K46*'1-Project Rev Req'!Q82/100*'1-Project Rev Req'!L82</f>
        <v>0</v>
      </c>
      <c r="S82" s="249">
        <f t="shared" si="5"/>
        <v>0</v>
      </c>
      <c r="T82" s="251">
        <v>0</v>
      </c>
      <c r="U82" s="519">
        <f t="shared" si="9"/>
        <v>0</v>
      </c>
      <c r="V82" s="92">
        <v>0</v>
      </c>
      <c r="W82" s="249">
        <f t="shared" si="11"/>
        <v>0</v>
      </c>
    </row>
    <row r="83" spans="1:23" s="219" customFormat="1">
      <c r="A83" s="252" t="s">
        <v>571</v>
      </c>
      <c r="B83" s="248"/>
      <c r="C83" s="29">
        <v>0</v>
      </c>
      <c r="D83" s="29">
        <v>0</v>
      </c>
      <c r="E83" s="29">
        <v>0</v>
      </c>
      <c r="F83" s="337">
        <v>0</v>
      </c>
      <c r="G83" s="22">
        <f t="shared" si="10"/>
        <v>0.15790292234127104</v>
      </c>
      <c r="H83" s="22">
        <f t="shared" si="1"/>
        <v>0</v>
      </c>
      <c r="I83" s="22">
        <f t="shared" si="6"/>
        <v>0.14211477657982072</v>
      </c>
      <c r="J83" s="22">
        <f t="shared" si="7"/>
        <v>0</v>
      </c>
      <c r="K83" s="518">
        <f t="shared" si="2"/>
        <v>0</v>
      </c>
      <c r="L83" s="29">
        <v>0</v>
      </c>
      <c r="M83" s="22">
        <f t="shared" si="8"/>
        <v>0</v>
      </c>
      <c r="N83" s="249">
        <f t="shared" si="3"/>
        <v>0</v>
      </c>
      <c r="O83" s="92">
        <v>0</v>
      </c>
      <c r="P83" s="518">
        <f t="shared" si="4"/>
        <v>0</v>
      </c>
      <c r="Q83" s="250">
        <v>0</v>
      </c>
      <c r="R83" s="22">
        <f>+'2-Incentive ROE'!K47*'1-Project Rev Req'!Q83/100*'1-Project Rev Req'!L83</f>
        <v>0</v>
      </c>
      <c r="S83" s="249">
        <f t="shared" si="5"/>
        <v>0</v>
      </c>
      <c r="T83" s="251">
        <v>0</v>
      </c>
      <c r="U83" s="519">
        <f t="shared" si="9"/>
        <v>0</v>
      </c>
      <c r="V83" s="92">
        <v>0</v>
      </c>
      <c r="W83" s="249">
        <f t="shared" si="11"/>
        <v>0</v>
      </c>
    </row>
    <row r="84" spans="1:23" s="219" customFormat="1">
      <c r="A84" s="252" t="s">
        <v>572</v>
      </c>
      <c r="B84" s="248"/>
      <c r="C84" s="29">
        <v>0</v>
      </c>
      <c r="D84" s="29">
        <v>0</v>
      </c>
      <c r="E84" s="29">
        <v>0</v>
      </c>
      <c r="F84" s="337">
        <v>0</v>
      </c>
      <c r="G84" s="22">
        <f t="shared" si="10"/>
        <v>0.15790292234127104</v>
      </c>
      <c r="H84" s="22">
        <f t="shared" si="1"/>
        <v>0</v>
      </c>
      <c r="I84" s="22">
        <f t="shared" si="6"/>
        <v>0.14211477657982072</v>
      </c>
      <c r="J84" s="22">
        <f t="shared" si="7"/>
        <v>0</v>
      </c>
      <c r="K84" s="518">
        <f t="shared" si="2"/>
        <v>0</v>
      </c>
      <c r="L84" s="29">
        <v>0</v>
      </c>
      <c r="M84" s="22">
        <f t="shared" si="8"/>
        <v>0</v>
      </c>
      <c r="N84" s="249">
        <f t="shared" si="3"/>
        <v>0</v>
      </c>
      <c r="O84" s="92">
        <v>0</v>
      </c>
      <c r="P84" s="518">
        <f t="shared" si="4"/>
        <v>0</v>
      </c>
      <c r="Q84" s="250">
        <v>0</v>
      </c>
      <c r="R84" s="22">
        <f>+'2-Incentive ROE'!K48*'1-Project Rev Req'!Q84/100*'1-Project Rev Req'!L84</f>
        <v>0</v>
      </c>
      <c r="S84" s="249">
        <f t="shared" si="5"/>
        <v>0</v>
      </c>
      <c r="T84" s="251">
        <v>0</v>
      </c>
      <c r="U84" s="519">
        <f t="shared" si="9"/>
        <v>0</v>
      </c>
      <c r="V84" s="92">
        <v>0</v>
      </c>
      <c r="W84" s="249">
        <f t="shared" si="11"/>
        <v>0</v>
      </c>
    </row>
    <row r="85" spans="1:23" s="219" customFormat="1">
      <c r="A85" s="252" t="s">
        <v>573</v>
      </c>
      <c r="B85" s="248"/>
      <c r="C85" s="29">
        <v>0</v>
      </c>
      <c r="D85" s="29">
        <v>0</v>
      </c>
      <c r="E85" s="29">
        <v>0</v>
      </c>
      <c r="F85" s="337">
        <v>0</v>
      </c>
      <c r="G85" s="22">
        <f t="shared" si="10"/>
        <v>0.15790292234127104</v>
      </c>
      <c r="H85" s="22">
        <f t="shared" si="1"/>
        <v>0</v>
      </c>
      <c r="I85" s="22">
        <f t="shared" si="6"/>
        <v>0.14211477657982072</v>
      </c>
      <c r="J85" s="22">
        <f t="shared" si="7"/>
        <v>0</v>
      </c>
      <c r="K85" s="518">
        <f t="shared" si="2"/>
        <v>0</v>
      </c>
      <c r="L85" s="29">
        <v>0</v>
      </c>
      <c r="M85" s="22">
        <f t="shared" si="8"/>
        <v>0</v>
      </c>
      <c r="N85" s="249">
        <f t="shared" si="3"/>
        <v>0</v>
      </c>
      <c r="O85" s="92">
        <v>0</v>
      </c>
      <c r="P85" s="518">
        <f t="shared" si="4"/>
        <v>0</v>
      </c>
      <c r="Q85" s="250">
        <v>0</v>
      </c>
      <c r="R85" s="22">
        <f>+'2-Incentive ROE'!K49*'1-Project Rev Req'!Q85/100*'1-Project Rev Req'!L85</f>
        <v>0</v>
      </c>
      <c r="S85" s="249">
        <f t="shared" si="5"/>
        <v>0</v>
      </c>
      <c r="T85" s="251">
        <v>0</v>
      </c>
      <c r="U85" s="519">
        <f t="shared" si="9"/>
        <v>0</v>
      </c>
      <c r="V85" s="92">
        <v>0</v>
      </c>
      <c r="W85" s="249">
        <f t="shared" si="11"/>
        <v>0</v>
      </c>
    </row>
    <row r="86" spans="1:23" s="219" customFormat="1">
      <c r="A86" s="252" t="s">
        <v>574</v>
      </c>
      <c r="B86" s="248"/>
      <c r="C86" s="29">
        <v>0</v>
      </c>
      <c r="D86" s="29">
        <v>0</v>
      </c>
      <c r="E86" s="29">
        <v>0</v>
      </c>
      <c r="F86" s="337">
        <v>0</v>
      </c>
      <c r="G86" s="22">
        <f t="shared" si="10"/>
        <v>0.15790292234127104</v>
      </c>
      <c r="H86" s="22">
        <f t="shared" si="1"/>
        <v>0</v>
      </c>
      <c r="I86" s="22">
        <f t="shared" si="6"/>
        <v>0.14211477657982072</v>
      </c>
      <c r="J86" s="22">
        <f t="shared" si="7"/>
        <v>0</v>
      </c>
      <c r="K86" s="518">
        <f t="shared" si="2"/>
        <v>0</v>
      </c>
      <c r="L86" s="29">
        <v>0</v>
      </c>
      <c r="M86" s="22">
        <f t="shared" si="8"/>
        <v>0</v>
      </c>
      <c r="N86" s="249">
        <f t="shared" si="3"/>
        <v>0</v>
      </c>
      <c r="O86" s="92">
        <v>0</v>
      </c>
      <c r="P86" s="518">
        <f t="shared" si="4"/>
        <v>0</v>
      </c>
      <c r="Q86" s="250">
        <v>0</v>
      </c>
      <c r="R86" s="22">
        <f>+'2-Incentive ROE'!K50*'1-Project Rev Req'!Q86/100*'1-Project Rev Req'!L86</f>
        <v>0</v>
      </c>
      <c r="S86" s="249">
        <f t="shared" si="5"/>
        <v>0</v>
      </c>
      <c r="T86" s="251">
        <v>0</v>
      </c>
      <c r="U86" s="519">
        <f t="shared" si="9"/>
        <v>0</v>
      </c>
      <c r="V86" s="92">
        <v>0</v>
      </c>
      <c r="W86" s="249">
        <f t="shared" si="11"/>
        <v>0</v>
      </c>
    </row>
    <row r="87" spans="1:23" s="219" customFormat="1">
      <c r="A87" s="252" t="s">
        <v>575</v>
      </c>
      <c r="B87" s="248"/>
      <c r="C87" s="29">
        <v>0</v>
      </c>
      <c r="D87" s="29">
        <v>0</v>
      </c>
      <c r="E87" s="29">
        <v>0</v>
      </c>
      <c r="F87" s="337">
        <v>0</v>
      </c>
      <c r="G87" s="22">
        <f t="shared" si="10"/>
        <v>0.15790292234127104</v>
      </c>
      <c r="H87" s="22">
        <f t="shared" si="1"/>
        <v>0</v>
      </c>
      <c r="I87" s="22">
        <f t="shared" si="6"/>
        <v>0.14211477657982072</v>
      </c>
      <c r="J87" s="22">
        <f t="shared" si="7"/>
        <v>0</v>
      </c>
      <c r="K87" s="518">
        <f t="shared" si="2"/>
        <v>0</v>
      </c>
      <c r="L87" s="29">
        <v>0</v>
      </c>
      <c r="M87" s="22">
        <f t="shared" si="8"/>
        <v>0</v>
      </c>
      <c r="N87" s="249">
        <f t="shared" si="3"/>
        <v>0</v>
      </c>
      <c r="O87" s="92">
        <v>0</v>
      </c>
      <c r="P87" s="518">
        <f t="shared" si="4"/>
        <v>0</v>
      </c>
      <c r="Q87" s="250">
        <v>0</v>
      </c>
      <c r="R87" s="22">
        <f>+'2-Incentive ROE'!K51*'1-Project Rev Req'!Q87/100*'1-Project Rev Req'!L87</f>
        <v>0</v>
      </c>
      <c r="S87" s="249">
        <f t="shared" si="5"/>
        <v>0</v>
      </c>
      <c r="T87" s="251">
        <v>0</v>
      </c>
      <c r="U87" s="519">
        <f t="shared" si="9"/>
        <v>0</v>
      </c>
      <c r="V87" s="92">
        <v>0</v>
      </c>
      <c r="W87" s="249">
        <f t="shared" si="11"/>
        <v>0</v>
      </c>
    </row>
    <row r="88" spans="1:23" s="219" customFormat="1">
      <c r="A88" s="252" t="s">
        <v>576</v>
      </c>
      <c r="B88" s="248"/>
      <c r="C88" s="29">
        <v>0</v>
      </c>
      <c r="D88" s="29">
        <v>0</v>
      </c>
      <c r="E88" s="29">
        <v>0</v>
      </c>
      <c r="F88" s="337">
        <v>0</v>
      </c>
      <c r="G88" s="22">
        <f t="shared" si="10"/>
        <v>0.15790292234127104</v>
      </c>
      <c r="H88" s="22">
        <f t="shared" si="1"/>
        <v>0</v>
      </c>
      <c r="I88" s="22">
        <f t="shared" si="6"/>
        <v>0.14211477657982072</v>
      </c>
      <c r="J88" s="22">
        <f t="shared" si="7"/>
        <v>0</v>
      </c>
      <c r="K88" s="518">
        <f t="shared" si="2"/>
        <v>0</v>
      </c>
      <c r="L88" s="29">
        <v>0</v>
      </c>
      <c r="M88" s="22">
        <f t="shared" si="8"/>
        <v>0</v>
      </c>
      <c r="N88" s="249">
        <f t="shared" si="3"/>
        <v>0</v>
      </c>
      <c r="O88" s="92">
        <v>0</v>
      </c>
      <c r="P88" s="518">
        <f t="shared" si="4"/>
        <v>0</v>
      </c>
      <c r="Q88" s="250">
        <v>0</v>
      </c>
      <c r="R88" s="22">
        <f>+'2-Incentive ROE'!K52*'1-Project Rev Req'!Q88/100*'1-Project Rev Req'!L88</f>
        <v>0</v>
      </c>
      <c r="S88" s="249">
        <f t="shared" si="5"/>
        <v>0</v>
      </c>
      <c r="T88" s="251">
        <v>0</v>
      </c>
      <c r="U88" s="519">
        <f t="shared" si="9"/>
        <v>0</v>
      </c>
      <c r="V88" s="92">
        <v>0</v>
      </c>
      <c r="W88" s="249">
        <f t="shared" si="11"/>
        <v>0</v>
      </c>
    </row>
    <row r="89" spans="1:23" s="219" customFormat="1">
      <c r="A89" s="252" t="s">
        <v>577</v>
      </c>
      <c r="B89" s="248"/>
      <c r="C89" s="29">
        <v>0</v>
      </c>
      <c r="D89" s="29">
        <v>0</v>
      </c>
      <c r="E89" s="29">
        <v>0</v>
      </c>
      <c r="F89" s="337">
        <v>0</v>
      </c>
      <c r="G89" s="22">
        <f t="shared" si="10"/>
        <v>0.15790292234127104</v>
      </c>
      <c r="H89" s="22">
        <f t="shared" si="1"/>
        <v>0</v>
      </c>
      <c r="I89" s="22">
        <f t="shared" si="6"/>
        <v>0.14211477657982072</v>
      </c>
      <c r="J89" s="22">
        <f t="shared" si="7"/>
        <v>0</v>
      </c>
      <c r="K89" s="518">
        <f t="shared" si="2"/>
        <v>0</v>
      </c>
      <c r="L89" s="29">
        <v>0</v>
      </c>
      <c r="M89" s="22">
        <f t="shared" si="8"/>
        <v>0</v>
      </c>
      <c r="N89" s="249">
        <f t="shared" si="3"/>
        <v>0</v>
      </c>
      <c r="O89" s="92">
        <v>0</v>
      </c>
      <c r="P89" s="518">
        <f t="shared" si="4"/>
        <v>0</v>
      </c>
      <c r="Q89" s="250">
        <v>0</v>
      </c>
      <c r="R89" s="22">
        <f>+'2-Incentive ROE'!K53*'1-Project Rev Req'!Q89/100*'1-Project Rev Req'!L89</f>
        <v>0</v>
      </c>
      <c r="S89" s="249">
        <f t="shared" si="5"/>
        <v>0</v>
      </c>
      <c r="T89" s="251">
        <v>0</v>
      </c>
      <c r="U89" s="519">
        <f t="shared" si="9"/>
        <v>0</v>
      </c>
      <c r="V89" s="92">
        <v>0</v>
      </c>
      <c r="W89" s="249">
        <f t="shared" si="11"/>
        <v>0</v>
      </c>
    </row>
    <row r="90" spans="1:23" s="219" customFormat="1">
      <c r="A90" s="252" t="s">
        <v>578</v>
      </c>
      <c r="B90" s="248"/>
      <c r="C90" s="29">
        <v>0</v>
      </c>
      <c r="D90" s="29">
        <v>0</v>
      </c>
      <c r="E90" s="29">
        <v>0</v>
      </c>
      <c r="F90" s="337">
        <v>0</v>
      </c>
      <c r="G90" s="22">
        <f t="shared" si="10"/>
        <v>0.15790292234127104</v>
      </c>
      <c r="H90" s="22">
        <f t="shared" si="1"/>
        <v>0</v>
      </c>
      <c r="I90" s="22">
        <f t="shared" si="6"/>
        <v>0.14211477657982072</v>
      </c>
      <c r="J90" s="22">
        <f t="shared" si="7"/>
        <v>0</v>
      </c>
      <c r="K90" s="518">
        <f t="shared" si="2"/>
        <v>0</v>
      </c>
      <c r="L90" s="29">
        <v>0</v>
      </c>
      <c r="M90" s="22">
        <f t="shared" si="8"/>
        <v>0</v>
      </c>
      <c r="N90" s="249">
        <f t="shared" si="3"/>
        <v>0</v>
      </c>
      <c r="O90" s="92">
        <v>0</v>
      </c>
      <c r="P90" s="518">
        <f t="shared" si="4"/>
        <v>0</v>
      </c>
      <c r="Q90" s="250">
        <v>0</v>
      </c>
      <c r="R90" s="22">
        <f>+'2-Incentive ROE'!K54*'1-Project Rev Req'!Q90/100*'1-Project Rev Req'!L90</f>
        <v>0</v>
      </c>
      <c r="S90" s="249">
        <f t="shared" si="5"/>
        <v>0</v>
      </c>
      <c r="T90" s="251">
        <v>0</v>
      </c>
      <c r="U90" s="519">
        <f t="shared" si="9"/>
        <v>0</v>
      </c>
      <c r="V90" s="92">
        <v>0</v>
      </c>
      <c r="W90" s="249">
        <f t="shared" si="11"/>
        <v>0</v>
      </c>
    </row>
    <row r="91" spans="1:23" s="219" customFormat="1">
      <c r="A91" s="253"/>
      <c r="B91" s="170"/>
      <c r="C91" s="29">
        <v>0</v>
      </c>
      <c r="D91" s="29">
        <v>0</v>
      </c>
      <c r="E91" s="29">
        <v>0</v>
      </c>
      <c r="F91" s="337">
        <v>0</v>
      </c>
      <c r="G91" s="22">
        <f t="shared" si="10"/>
        <v>0.15790292234127104</v>
      </c>
      <c r="H91" s="22">
        <f t="shared" si="1"/>
        <v>0</v>
      </c>
      <c r="I91" s="22">
        <f t="shared" si="6"/>
        <v>0.14211477657982072</v>
      </c>
      <c r="J91" s="22">
        <f t="shared" si="7"/>
        <v>0</v>
      </c>
      <c r="K91" s="518">
        <f t="shared" si="2"/>
        <v>0</v>
      </c>
      <c r="L91" s="29">
        <v>0</v>
      </c>
      <c r="M91" s="22">
        <f t="shared" si="8"/>
        <v>0</v>
      </c>
      <c r="N91" s="249">
        <f t="shared" si="3"/>
        <v>0</v>
      </c>
      <c r="O91" s="92">
        <v>0</v>
      </c>
      <c r="P91" s="518">
        <f t="shared" si="4"/>
        <v>0</v>
      </c>
      <c r="Q91" s="250">
        <v>0</v>
      </c>
      <c r="R91" s="22">
        <f>+'2-Incentive ROE'!K55*'1-Project Rev Req'!Q91/100*'1-Project Rev Req'!L91</f>
        <v>0</v>
      </c>
      <c r="S91" s="249">
        <f t="shared" si="5"/>
        <v>0</v>
      </c>
      <c r="T91" s="251">
        <v>0</v>
      </c>
      <c r="U91" s="519">
        <f t="shared" si="9"/>
        <v>0</v>
      </c>
      <c r="V91" s="92">
        <v>0</v>
      </c>
      <c r="W91" s="249">
        <f t="shared" si="11"/>
        <v>0</v>
      </c>
    </row>
    <row r="92" spans="1:23" s="219" customFormat="1">
      <c r="A92" s="253"/>
      <c r="B92" s="170"/>
      <c r="C92" s="29">
        <v>0</v>
      </c>
      <c r="D92" s="29">
        <v>0</v>
      </c>
      <c r="E92" s="29">
        <v>0</v>
      </c>
      <c r="F92" s="337">
        <v>0</v>
      </c>
      <c r="G92" s="22">
        <f t="shared" si="10"/>
        <v>0.15790292234127104</v>
      </c>
      <c r="H92" s="22">
        <f t="shared" si="1"/>
        <v>0</v>
      </c>
      <c r="I92" s="22">
        <f t="shared" si="6"/>
        <v>0.14211477657982072</v>
      </c>
      <c r="J92" s="22">
        <f t="shared" si="7"/>
        <v>0</v>
      </c>
      <c r="K92" s="518">
        <f t="shared" si="2"/>
        <v>0</v>
      </c>
      <c r="L92" s="29">
        <v>0</v>
      </c>
      <c r="M92" s="22">
        <f t="shared" si="8"/>
        <v>0</v>
      </c>
      <c r="N92" s="249">
        <f t="shared" si="3"/>
        <v>0</v>
      </c>
      <c r="O92" s="92">
        <v>0</v>
      </c>
      <c r="P92" s="518">
        <f t="shared" si="4"/>
        <v>0</v>
      </c>
      <c r="Q92" s="250">
        <v>0</v>
      </c>
      <c r="R92" s="22">
        <f>+'2-Incentive ROE'!K56*'1-Project Rev Req'!Q92/100*'1-Project Rev Req'!L92</f>
        <v>0</v>
      </c>
      <c r="S92" s="249">
        <f t="shared" si="5"/>
        <v>0</v>
      </c>
      <c r="T92" s="251">
        <v>0</v>
      </c>
      <c r="U92" s="519">
        <f t="shared" si="9"/>
        <v>0</v>
      </c>
      <c r="V92" s="92">
        <v>0</v>
      </c>
      <c r="W92" s="249">
        <f t="shared" si="11"/>
        <v>0</v>
      </c>
    </row>
    <row r="93" spans="1:23" s="219" customFormat="1">
      <c r="A93" s="253"/>
      <c r="B93" s="170"/>
      <c r="C93" s="29">
        <v>0</v>
      </c>
      <c r="D93" s="29">
        <v>0</v>
      </c>
      <c r="E93" s="29">
        <v>0</v>
      </c>
      <c r="F93" s="337">
        <v>0</v>
      </c>
      <c r="G93" s="22">
        <f t="shared" si="10"/>
        <v>0.15790292234127104</v>
      </c>
      <c r="H93" s="22">
        <f t="shared" si="1"/>
        <v>0</v>
      </c>
      <c r="I93" s="22">
        <f t="shared" si="6"/>
        <v>0.14211477657982072</v>
      </c>
      <c r="J93" s="22">
        <f t="shared" si="7"/>
        <v>0</v>
      </c>
      <c r="K93" s="518">
        <f t="shared" si="2"/>
        <v>0</v>
      </c>
      <c r="L93" s="29">
        <v>0</v>
      </c>
      <c r="M93" s="22">
        <f t="shared" si="8"/>
        <v>0</v>
      </c>
      <c r="N93" s="249">
        <f t="shared" si="3"/>
        <v>0</v>
      </c>
      <c r="O93" s="92">
        <v>0</v>
      </c>
      <c r="P93" s="518">
        <f t="shared" si="4"/>
        <v>0</v>
      </c>
      <c r="Q93" s="250">
        <v>0</v>
      </c>
      <c r="R93" s="22">
        <f>+'2-Incentive ROE'!K57*'1-Project Rev Req'!Q93/100*'1-Project Rev Req'!L93</f>
        <v>0</v>
      </c>
      <c r="S93" s="249">
        <f t="shared" si="5"/>
        <v>0</v>
      </c>
      <c r="T93" s="251">
        <v>0</v>
      </c>
      <c r="U93" s="519">
        <f t="shared" si="9"/>
        <v>0</v>
      </c>
      <c r="V93" s="92">
        <v>0</v>
      </c>
      <c r="W93" s="249">
        <f t="shared" si="11"/>
        <v>0</v>
      </c>
    </row>
    <row r="94" spans="1:23" s="219" customFormat="1">
      <c r="A94" s="253"/>
      <c r="B94" s="170"/>
      <c r="C94" s="29">
        <v>0</v>
      </c>
      <c r="D94" s="29">
        <v>0</v>
      </c>
      <c r="E94" s="29">
        <v>0</v>
      </c>
      <c r="F94" s="337">
        <v>0</v>
      </c>
      <c r="G94" s="22">
        <f t="shared" si="10"/>
        <v>0.15790292234127104</v>
      </c>
      <c r="H94" s="22">
        <f t="shared" si="1"/>
        <v>0</v>
      </c>
      <c r="I94" s="22">
        <f t="shared" si="6"/>
        <v>0.14211477657982072</v>
      </c>
      <c r="J94" s="22">
        <f t="shared" si="7"/>
        <v>0</v>
      </c>
      <c r="K94" s="518">
        <f t="shared" si="2"/>
        <v>0</v>
      </c>
      <c r="L94" s="29">
        <v>0</v>
      </c>
      <c r="M94" s="22">
        <f t="shared" si="8"/>
        <v>0</v>
      </c>
      <c r="N94" s="249">
        <f t="shared" si="3"/>
        <v>0</v>
      </c>
      <c r="O94" s="92">
        <v>0</v>
      </c>
      <c r="P94" s="518">
        <f t="shared" si="4"/>
        <v>0</v>
      </c>
      <c r="Q94" s="250">
        <v>0</v>
      </c>
      <c r="R94" s="22">
        <f>+'2-Incentive ROE'!K58*'1-Project Rev Req'!Q94/100*'1-Project Rev Req'!L94</f>
        <v>0</v>
      </c>
      <c r="S94" s="249">
        <f t="shared" si="5"/>
        <v>0</v>
      </c>
      <c r="T94" s="251">
        <v>0</v>
      </c>
      <c r="U94" s="519">
        <f t="shared" si="9"/>
        <v>0</v>
      </c>
      <c r="V94" s="92">
        <v>0</v>
      </c>
      <c r="W94" s="249">
        <f t="shared" si="11"/>
        <v>0</v>
      </c>
    </row>
    <row r="95" spans="1:23" s="219" customFormat="1">
      <c r="A95" s="254"/>
      <c r="B95" s="255"/>
      <c r="C95" s="255"/>
      <c r="D95" s="255"/>
      <c r="E95" s="255"/>
      <c r="F95" s="255"/>
      <c r="G95" s="257"/>
      <c r="H95" s="194"/>
      <c r="I95" s="258"/>
      <c r="J95" s="255"/>
      <c r="K95" s="259"/>
      <c r="L95" s="255"/>
      <c r="M95" s="255"/>
      <c r="N95" s="259"/>
      <c r="O95" s="255"/>
      <c r="P95" s="260"/>
      <c r="Q95" s="261"/>
      <c r="R95" s="262"/>
      <c r="S95" s="261"/>
      <c r="T95" s="261"/>
      <c r="U95" s="261"/>
      <c r="V95" s="255"/>
      <c r="W95" s="263">
        <f t="shared" si="11"/>
        <v>0</v>
      </c>
    </row>
    <row r="96" spans="1:23" s="219" customFormat="1">
      <c r="A96" s="183" t="s">
        <v>579</v>
      </c>
      <c r="B96" s="207"/>
      <c r="C96" s="175" t="s">
        <v>580</v>
      </c>
      <c r="D96" s="175"/>
      <c r="E96" s="169">
        <f>SUM(E76:E94)</f>
        <v>0</v>
      </c>
      <c r="F96" s="169">
        <f>SUM(F76:F94)</f>
        <v>2518444.1810724135</v>
      </c>
      <c r="G96" s="169"/>
      <c r="H96" s="169">
        <f>SUM(H76:H94)</f>
        <v>0</v>
      </c>
      <c r="I96" s="169"/>
      <c r="J96" s="169">
        <f>SUM(J76:J94)</f>
        <v>0</v>
      </c>
      <c r="K96" s="169">
        <f>SUM(K76:K94)</f>
        <v>0</v>
      </c>
      <c r="L96" s="169">
        <f>SUM(L76:L94)</f>
        <v>-2518444.1810724135</v>
      </c>
      <c r="M96" s="177"/>
      <c r="N96" s="177">
        <f>SUM(N76:N95)</f>
        <v>0</v>
      </c>
      <c r="O96" s="4">
        <f>SUM(O76:O95)</f>
        <v>98209.894019386644</v>
      </c>
      <c r="P96" s="4">
        <f>SUM(P76:P95)</f>
        <v>98209.894019386644</v>
      </c>
      <c r="Q96" s="210"/>
      <c r="R96" s="4">
        <f t="shared" ref="R96:W96" si="12">SUM(R76:R95)</f>
        <v>0</v>
      </c>
      <c r="S96" s="4">
        <f t="shared" si="12"/>
        <v>98209.894019386644</v>
      </c>
      <c r="T96" s="4">
        <f t="shared" si="12"/>
        <v>0</v>
      </c>
      <c r="U96" s="4">
        <f t="shared" si="12"/>
        <v>98209.894019386644</v>
      </c>
      <c r="V96" s="4">
        <f t="shared" si="12"/>
        <v>0</v>
      </c>
      <c r="W96" s="4">
        <f t="shared" si="12"/>
        <v>98209.894019386644</v>
      </c>
    </row>
    <row r="97" spans="1:23" s="219" customFormat="1">
      <c r="A97" s="170"/>
      <c r="B97" s="170"/>
      <c r="C97" s="170"/>
      <c r="D97" s="170"/>
      <c r="E97" s="4"/>
      <c r="F97" s="4"/>
      <c r="G97" s="170"/>
      <c r="H97" s="4"/>
      <c r="I97" s="170"/>
      <c r="J97" s="210"/>
      <c r="K97" s="4"/>
      <c r="L97" s="4"/>
      <c r="M97" s="170"/>
      <c r="N97" s="210">
        <f>+J49+J53</f>
        <v>269290.71379948594</v>
      </c>
      <c r="O97" s="4"/>
      <c r="P97" s="4"/>
      <c r="Q97" s="170"/>
      <c r="R97" s="170"/>
      <c r="S97" s="170"/>
      <c r="T97" s="170"/>
      <c r="U97" s="170"/>
      <c r="V97" s="170"/>
      <c r="W97" s="4"/>
    </row>
    <row r="98" spans="1:23" s="219" customFormat="1">
      <c r="A98" s="264">
        <v>17</v>
      </c>
      <c r="B98" s="170"/>
      <c r="C98" s="170" t="s">
        <v>1007</v>
      </c>
      <c r="D98" s="170"/>
      <c r="E98" s="170"/>
      <c r="F98" s="170"/>
      <c r="G98" s="170"/>
      <c r="H98" s="170"/>
      <c r="I98" s="170"/>
      <c r="J98" s="170"/>
      <c r="K98" s="170"/>
      <c r="L98" s="22"/>
      <c r="M98" s="210"/>
      <c r="N98" s="210"/>
      <c r="O98" s="210"/>
      <c r="P98" s="22">
        <f>+P96</f>
        <v>98209.894019386644</v>
      </c>
      <c r="Q98" s="170"/>
      <c r="R98" s="170"/>
      <c r="S98" s="170"/>
      <c r="T98" s="170"/>
      <c r="U98" s="170"/>
      <c r="V98" s="170"/>
      <c r="W98" s="170"/>
    </row>
    <row r="99" spans="1:23" s="219" customFormat="1">
      <c r="A99" s="264">
        <v>18</v>
      </c>
      <c r="B99" s="170"/>
      <c r="C99" s="170" t="s">
        <v>1008</v>
      </c>
      <c r="D99" s="170"/>
      <c r="E99" s="170"/>
      <c r="F99" s="170"/>
      <c r="G99" s="170"/>
      <c r="H99" s="170"/>
      <c r="I99" s="170"/>
      <c r="J99" s="170"/>
      <c r="K99" s="207"/>
      <c r="L99" s="207"/>
      <c r="M99" s="207"/>
      <c r="N99" s="207"/>
      <c r="O99" s="207"/>
      <c r="P99" s="170"/>
      <c r="Q99" s="170"/>
      <c r="R99" s="520">
        <v>0</v>
      </c>
      <c r="S99" s="170"/>
      <c r="T99" s="170"/>
      <c r="U99" s="170"/>
      <c r="V99" s="170"/>
      <c r="W99" s="170"/>
    </row>
    <row r="100" spans="1:23" s="219" customFormat="1">
      <c r="A100" s="170"/>
      <c r="B100" s="170"/>
      <c r="C100" s="170"/>
      <c r="D100" s="170"/>
      <c r="E100" s="170"/>
      <c r="F100" s="170"/>
      <c r="G100" s="170"/>
      <c r="H100" s="170"/>
      <c r="I100" s="170"/>
      <c r="J100" s="170"/>
      <c r="K100" s="207"/>
      <c r="L100" s="207"/>
      <c r="M100" s="207"/>
      <c r="N100" s="207"/>
      <c r="O100" s="207"/>
      <c r="P100" s="170"/>
      <c r="Q100" s="170"/>
      <c r="R100" s="170"/>
      <c r="S100" s="170"/>
      <c r="T100" s="170"/>
      <c r="U100" s="170"/>
      <c r="V100" s="170"/>
      <c r="W100" s="170"/>
    </row>
    <row r="101" spans="1:23" s="219" customFormat="1">
      <c r="A101" s="170" t="s">
        <v>352</v>
      </c>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row>
    <row r="102" spans="1:23" s="219" customFormat="1" ht="13.5" thickBot="1">
      <c r="A102" s="266" t="s">
        <v>353</v>
      </c>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row>
    <row r="103" spans="1:23" ht="12.75" customHeight="1">
      <c r="A103" s="267" t="s">
        <v>354</v>
      </c>
      <c r="B103" s="219"/>
      <c r="C103" s="708" t="s">
        <v>1009</v>
      </c>
      <c r="D103" s="708"/>
      <c r="E103" s="708"/>
      <c r="F103" s="708"/>
      <c r="G103" s="708"/>
      <c r="H103" s="708"/>
      <c r="I103" s="708"/>
      <c r="J103" s="708"/>
      <c r="K103" s="708"/>
      <c r="L103" s="708"/>
      <c r="M103" s="708"/>
      <c r="N103" s="708"/>
      <c r="O103" s="708"/>
      <c r="P103" s="708"/>
      <c r="Q103" s="708"/>
      <c r="R103" s="268"/>
      <c r="S103" s="268"/>
      <c r="T103" s="268"/>
      <c r="U103" s="268"/>
      <c r="V103" s="268"/>
      <c r="W103" s="268"/>
    </row>
    <row r="104" spans="1:23" ht="16.5" customHeight="1">
      <c r="A104" s="267" t="s">
        <v>356</v>
      </c>
      <c r="B104" s="219"/>
      <c r="C104" s="708" t="s">
        <v>584</v>
      </c>
      <c r="D104" s="708"/>
      <c r="E104" s="708"/>
      <c r="F104" s="708"/>
      <c r="G104" s="708"/>
      <c r="H104" s="708"/>
      <c r="I104" s="708"/>
      <c r="J104" s="708"/>
      <c r="K104" s="708"/>
      <c r="L104" s="708"/>
      <c r="M104" s="269"/>
      <c r="N104" s="269"/>
      <c r="O104" s="269"/>
      <c r="P104" s="269"/>
      <c r="Q104" s="269"/>
    </row>
    <row r="105" spans="1:23" ht="13.5" customHeight="1">
      <c r="A105" s="267" t="s">
        <v>358</v>
      </c>
      <c r="B105" s="219"/>
      <c r="C105" s="170" t="s">
        <v>585</v>
      </c>
    </row>
    <row r="106" spans="1:23" ht="13.5" customHeight="1">
      <c r="A106" s="267"/>
      <c r="B106" s="219"/>
      <c r="C106" s="270" t="s">
        <v>586</v>
      </c>
      <c r="D106" s="271"/>
      <c r="E106" s="271"/>
      <c r="F106" s="271"/>
      <c r="G106" s="271"/>
      <c r="H106" s="271"/>
      <c r="I106" s="271"/>
      <c r="J106" s="271"/>
      <c r="K106" s="271"/>
      <c r="L106" s="271"/>
      <c r="M106" s="271"/>
      <c r="N106" s="271"/>
      <c r="O106" s="271"/>
      <c r="P106" s="271"/>
      <c r="Q106" s="271"/>
    </row>
    <row r="107" spans="1:23" ht="12.75" customHeight="1">
      <c r="A107" s="267" t="s">
        <v>360</v>
      </c>
      <c r="B107" s="219"/>
      <c r="C107" s="709" t="s">
        <v>587</v>
      </c>
      <c r="D107" s="709"/>
      <c r="E107" s="709"/>
      <c r="F107" s="709"/>
      <c r="G107" s="709"/>
      <c r="H107" s="709"/>
      <c r="I107" s="709"/>
      <c r="J107" s="709"/>
      <c r="K107" s="709"/>
      <c r="L107" s="709"/>
      <c r="M107" s="709"/>
      <c r="N107" s="272"/>
      <c r="O107" s="272"/>
      <c r="P107" s="272"/>
      <c r="Q107" s="272"/>
    </row>
    <row r="108" spans="1:23">
      <c r="A108" s="267"/>
      <c r="B108" s="219"/>
      <c r="C108" s="273" t="s">
        <v>588</v>
      </c>
      <c r="D108" s="274"/>
      <c r="E108" s="274"/>
      <c r="F108" s="274"/>
      <c r="G108" s="274"/>
      <c r="H108" s="274"/>
      <c r="I108" s="274"/>
      <c r="J108" s="274"/>
      <c r="K108" s="274"/>
      <c r="L108" s="274"/>
      <c r="M108" s="274"/>
      <c r="N108" s="274"/>
      <c r="O108" s="274"/>
      <c r="P108" s="274"/>
      <c r="Q108" s="274"/>
    </row>
    <row r="109" spans="1:23" ht="31.5" customHeight="1">
      <c r="A109" s="267" t="s">
        <v>362</v>
      </c>
      <c r="B109" s="219"/>
      <c r="C109" s="708" t="s">
        <v>1010</v>
      </c>
      <c r="D109" s="708"/>
      <c r="E109" s="708"/>
      <c r="F109" s="708"/>
      <c r="G109" s="708"/>
      <c r="H109" s="708"/>
      <c r="I109" s="708"/>
      <c r="J109" s="708"/>
      <c r="K109" s="708"/>
      <c r="L109" s="708"/>
      <c r="M109" s="269"/>
      <c r="N109" s="269"/>
      <c r="O109" s="269"/>
      <c r="P109" s="269"/>
      <c r="Q109" s="269"/>
    </row>
    <row r="110" spans="1:23" ht="24.95" customHeight="1">
      <c r="A110" s="216" t="s">
        <v>364</v>
      </c>
      <c r="B110" s="219"/>
      <c r="C110" s="710" t="s">
        <v>1011</v>
      </c>
      <c r="D110" s="753"/>
      <c r="E110" s="753"/>
      <c r="F110" s="753"/>
      <c r="G110" s="753"/>
      <c r="H110" s="753"/>
      <c r="I110" s="753"/>
      <c r="J110" s="753"/>
      <c r="K110" s="753"/>
      <c r="L110" s="753"/>
      <c r="M110" s="271"/>
      <c r="N110" s="271"/>
      <c r="O110" s="271"/>
      <c r="P110" s="271"/>
      <c r="Q110" s="271"/>
    </row>
    <row r="111" spans="1:23" ht="16.5" customHeight="1">
      <c r="A111" s="216" t="s">
        <v>366</v>
      </c>
      <c r="B111" s="219"/>
      <c r="C111" s="270" t="s">
        <v>591</v>
      </c>
      <c r="D111" s="270"/>
      <c r="E111" s="270"/>
      <c r="F111" s="270"/>
      <c r="G111" s="270"/>
      <c r="H111" s="270"/>
      <c r="I111" s="270"/>
      <c r="J111" s="270"/>
      <c r="K111" s="270"/>
      <c r="L111" s="270"/>
      <c r="M111" s="270"/>
      <c r="N111" s="270"/>
      <c r="O111" s="270"/>
      <c r="P111" s="270"/>
      <c r="Q111" s="270"/>
    </row>
    <row r="112" spans="1:23" ht="54" customHeight="1">
      <c r="A112" s="267" t="s">
        <v>368</v>
      </c>
      <c r="B112" s="219"/>
      <c r="C112" s="712" t="s">
        <v>1012</v>
      </c>
      <c r="D112" s="712"/>
      <c r="E112" s="712"/>
      <c r="F112" s="712"/>
      <c r="G112" s="712"/>
      <c r="H112" s="712"/>
      <c r="I112" s="712"/>
      <c r="J112" s="712"/>
      <c r="K112" s="712"/>
      <c r="L112" s="712"/>
    </row>
    <row r="113" spans="1:12">
      <c r="A113" s="216" t="s">
        <v>370</v>
      </c>
      <c r="B113" s="219"/>
      <c r="C113" s="170" t="s">
        <v>593</v>
      </c>
    </row>
    <row r="114" spans="1:12" ht="45" customHeight="1">
      <c r="A114" s="216" t="s">
        <v>372</v>
      </c>
      <c r="C114" s="708" t="s">
        <v>1013</v>
      </c>
      <c r="D114" s="708"/>
      <c r="E114" s="708"/>
      <c r="F114" s="708"/>
      <c r="G114" s="708"/>
      <c r="H114" s="708"/>
      <c r="I114" s="708"/>
      <c r="J114" s="708"/>
      <c r="K114" s="708"/>
      <c r="L114" s="708"/>
    </row>
  </sheetData>
  <mergeCells count="7">
    <mergeCell ref="C114:L114"/>
    <mergeCell ref="C103:Q103"/>
    <mergeCell ref="C104:L104"/>
    <mergeCell ref="C107:M107"/>
    <mergeCell ref="C109:L109"/>
    <mergeCell ref="C110:L110"/>
    <mergeCell ref="C112:L112"/>
  </mergeCells>
  <pageMargins left="0.25" right="0.25" top="0.5" bottom="0.5" header="0.3" footer="0.3"/>
  <pageSetup scale="57" fitToWidth="2" fitToHeight="2" orientation="landscape" r:id="rId1"/>
  <rowBreaks count="1" manualBreakCount="1">
    <brk id="58" max="22" man="1"/>
  </rowBreaks>
  <colBreaks count="1" manualBreakCount="1">
    <brk id="12" min="58"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B0C5E-E216-405F-B8AA-0731FF2E7CA1}">
  <sheetPr>
    <pageSetUpPr fitToPage="1"/>
  </sheetPr>
  <dimension ref="A1:L48"/>
  <sheetViews>
    <sheetView view="pageBreakPreview" zoomScaleNormal="100" zoomScaleSheetLayoutView="100" workbookViewId="0">
      <selection activeCell="H12" sqref="H12"/>
    </sheetView>
  </sheetViews>
  <sheetFormatPr defaultColWidth="8.77734375" defaultRowHeight="15"/>
  <cols>
    <col min="1" max="1" width="5.5546875" style="4" customWidth="1"/>
    <col min="2" max="2" width="24.5546875" style="2" customWidth="1"/>
    <col min="3" max="3" width="35.77734375" style="2" customWidth="1"/>
    <col min="4" max="4" width="30.5546875" style="2" customWidth="1"/>
    <col min="5" max="5" width="11.44140625" style="2" customWidth="1"/>
    <col min="6" max="6" width="9" style="2" bestFit="1" customWidth="1"/>
    <col min="7" max="7" width="4.21875" style="2" customWidth="1"/>
    <col min="8" max="8" width="9" style="2" bestFit="1" customWidth="1"/>
    <col min="9" max="9" width="4" style="2" customWidth="1"/>
    <col min="10" max="10" width="12.33203125" style="2" customWidth="1"/>
    <col min="11" max="11" width="14" style="96" customWidth="1"/>
  </cols>
  <sheetData>
    <row r="1" spans="1:12">
      <c r="C1" s="173"/>
      <c r="D1" s="173"/>
      <c r="E1" s="173"/>
      <c r="F1" s="173"/>
      <c r="G1" s="172"/>
      <c r="H1" s="173"/>
      <c r="I1" s="173"/>
      <c r="J1" s="173"/>
      <c r="K1" s="174"/>
    </row>
    <row r="2" spans="1:12">
      <c r="B2" s="4"/>
      <c r="C2" s="173"/>
      <c r="D2" s="173"/>
      <c r="E2" s="173"/>
      <c r="F2" s="173"/>
      <c r="G2" s="172"/>
      <c r="H2" s="173"/>
      <c r="I2" s="173"/>
      <c r="J2" s="173"/>
      <c r="K2" s="174"/>
    </row>
    <row r="3" spans="1:12" ht="15.75" customHeight="1">
      <c r="A3" s="716" t="s">
        <v>1014</v>
      </c>
      <c r="B3" s="716"/>
      <c r="C3" s="716"/>
      <c r="D3" s="716"/>
      <c r="E3" s="716"/>
      <c r="F3" s="716"/>
      <c r="G3" s="716"/>
      <c r="H3" s="716"/>
      <c r="I3" s="716"/>
      <c r="J3" s="716"/>
      <c r="K3" s="716"/>
      <c r="L3" s="521"/>
    </row>
    <row r="4" spans="1:12" ht="15.75" customHeight="1">
      <c r="A4" s="717" t="s">
        <v>541</v>
      </c>
      <c r="B4" s="717"/>
      <c r="C4" s="717"/>
      <c r="D4" s="717"/>
      <c r="E4" s="717"/>
      <c r="F4" s="717"/>
      <c r="G4" s="717"/>
      <c r="H4" s="717"/>
      <c r="I4" s="717"/>
      <c r="J4" s="717"/>
      <c r="K4" s="717"/>
      <c r="L4" s="521"/>
    </row>
    <row r="5" spans="1:12">
      <c r="A5" s="718" t="str">
        <f>+'Attachment O'!D5</f>
        <v>GridLiance Heartland LLC</v>
      </c>
      <c r="B5" s="718"/>
      <c r="C5" s="718"/>
      <c r="D5" s="718"/>
      <c r="E5" s="718"/>
      <c r="F5" s="718"/>
      <c r="G5" s="718"/>
      <c r="H5" s="718"/>
      <c r="I5" s="718"/>
      <c r="J5" s="718"/>
      <c r="K5" s="718"/>
      <c r="L5" s="522"/>
    </row>
    <row r="6" spans="1:12" ht="15.75">
      <c r="B6" s="523" t="s">
        <v>354</v>
      </c>
      <c r="C6" s="523" t="s">
        <v>356</v>
      </c>
      <c r="D6" s="524" t="s">
        <v>358</v>
      </c>
      <c r="E6" s="523" t="s">
        <v>360</v>
      </c>
      <c r="F6" s="523" t="s">
        <v>362</v>
      </c>
      <c r="G6" s="523" t="s">
        <v>364</v>
      </c>
      <c r="H6" s="523" t="s">
        <v>366</v>
      </c>
      <c r="I6" s="525" t="s">
        <v>368</v>
      </c>
      <c r="J6" s="526" t="s">
        <v>370</v>
      </c>
      <c r="K6" s="526" t="s">
        <v>372</v>
      </c>
    </row>
    <row r="7" spans="1:12">
      <c r="A7" s="4">
        <v>1</v>
      </c>
      <c r="B7" s="2" t="s">
        <v>1015</v>
      </c>
      <c r="D7" s="2" t="s">
        <v>1016</v>
      </c>
      <c r="K7" s="4">
        <f>+'Attachment O'!I109</f>
        <v>3271437.2897148337</v>
      </c>
    </row>
    <row r="9" spans="1:12" ht="15.75" thickBot="1">
      <c r="A9" s="168">
        <f>+A7+1</f>
        <v>2</v>
      </c>
      <c r="B9" s="6" t="s">
        <v>1017</v>
      </c>
      <c r="C9" s="11"/>
      <c r="D9" s="11"/>
      <c r="E9" s="11"/>
      <c r="F9" s="11"/>
      <c r="G9" s="11"/>
      <c r="H9" s="11"/>
      <c r="I9" s="11"/>
      <c r="J9" s="106" t="s">
        <v>283</v>
      </c>
    </row>
    <row r="10" spans="1:12">
      <c r="A10" s="168"/>
      <c r="B10" s="13"/>
      <c r="C10" s="11"/>
      <c r="D10" s="11"/>
      <c r="E10" s="11"/>
      <c r="F10" s="11"/>
      <c r="G10" s="11"/>
      <c r="H10" s="12" t="s">
        <v>311</v>
      </c>
      <c r="I10" s="11"/>
      <c r="J10" s="11"/>
    </row>
    <row r="11" spans="1:12" ht="15.75" thickBot="1">
      <c r="A11" s="168"/>
      <c r="B11" s="13"/>
      <c r="C11" s="11"/>
      <c r="D11" s="11"/>
      <c r="E11" s="19" t="s">
        <v>283</v>
      </c>
      <c r="F11" s="19" t="s">
        <v>312</v>
      </c>
      <c r="G11" s="11"/>
      <c r="H11" s="19"/>
      <c r="I11" s="11"/>
      <c r="J11" s="19" t="s">
        <v>313</v>
      </c>
    </row>
    <row r="12" spans="1:12">
      <c r="A12" s="168">
        <f>+A9+1</f>
        <v>3</v>
      </c>
      <c r="B12" s="6" t="s">
        <v>314</v>
      </c>
      <c r="D12" s="5" t="s">
        <v>1018</v>
      </c>
      <c r="E12" s="527">
        <v>0</v>
      </c>
      <c r="F12" s="528">
        <f>+'Attachment O'!E228</f>
        <v>0.4</v>
      </c>
      <c r="G12" s="22"/>
      <c r="H12" s="685">
        <f>+'Attachment O'!G228</f>
        <v>2.435485433789954E-2</v>
      </c>
      <c r="I12" s="22"/>
      <c r="J12" s="529">
        <f>F12*H12</f>
        <v>9.7419417351598172E-3</v>
      </c>
    </row>
    <row r="13" spans="1:12">
      <c r="A13" s="168">
        <f>+A12+1</f>
        <v>4</v>
      </c>
      <c r="B13" s="6" t="s">
        <v>1019</v>
      </c>
      <c r="D13" s="5" t="s">
        <v>1018</v>
      </c>
      <c r="E13" s="527">
        <v>0</v>
      </c>
      <c r="F13" s="528">
        <f>+'Attachment O'!E229</f>
        <v>0</v>
      </c>
      <c r="G13" s="22"/>
      <c r="H13" s="22">
        <v>0</v>
      </c>
      <c r="I13" s="22"/>
      <c r="J13" s="22">
        <f>F13*H13</f>
        <v>0</v>
      </c>
    </row>
    <row r="14" spans="1:12" ht="15" customHeight="1" thickBot="1">
      <c r="A14" s="168">
        <f>+A13+1</f>
        <v>5</v>
      </c>
      <c r="B14" s="6" t="s">
        <v>1020</v>
      </c>
      <c r="C14" s="530" t="s">
        <v>1021</v>
      </c>
      <c r="D14" s="5" t="s">
        <v>1022</v>
      </c>
      <c r="E14" s="345">
        <v>0</v>
      </c>
      <c r="F14" s="528">
        <f>+'Attachment O'!E230</f>
        <v>0.6</v>
      </c>
      <c r="G14" s="22"/>
      <c r="H14" s="531">
        <f>+'Attachment O'!G230+0.01</f>
        <v>0.108</v>
      </c>
      <c r="I14" s="22"/>
      <c r="J14" s="532">
        <f>F14*H14</f>
        <v>6.4799999999999996E-2</v>
      </c>
    </row>
    <row r="15" spans="1:12">
      <c r="A15" s="168">
        <f>+A14+1</f>
        <v>6</v>
      </c>
      <c r="B15" s="13" t="s">
        <v>321</v>
      </c>
      <c r="D15" s="5" t="s">
        <v>1023</v>
      </c>
      <c r="E15" s="46">
        <f>SUM(E12:E14)</f>
        <v>0</v>
      </c>
      <c r="F15" s="22" t="s">
        <v>9</v>
      </c>
      <c r="G15" s="22"/>
      <c r="H15" s="22"/>
      <c r="I15" s="22"/>
      <c r="J15" s="529">
        <f>SUM(J12:J14)</f>
        <v>7.4541941735159808E-2</v>
      </c>
    </row>
    <row r="16" spans="1:12">
      <c r="A16" s="168">
        <f t="shared" ref="A16:A40" si="0">+A15+1</f>
        <v>7</v>
      </c>
      <c r="B16" s="13" t="s">
        <v>1024</v>
      </c>
      <c r="C16" s="5"/>
      <c r="D16" s="5" t="s">
        <v>1025</v>
      </c>
      <c r="E16" s="46"/>
      <c r="F16" s="11"/>
      <c r="G16" s="11"/>
      <c r="H16" s="11"/>
      <c r="I16" s="11"/>
      <c r="J16" s="53"/>
      <c r="K16" s="4">
        <f>+J15*K7</f>
        <v>243859.28784015225</v>
      </c>
    </row>
    <row r="17" spans="1:11">
      <c r="A17" s="168"/>
    </row>
    <row r="18" spans="1:11">
      <c r="A18" s="168">
        <f>+A16+1</f>
        <v>8</v>
      </c>
      <c r="B18" s="13" t="s">
        <v>221</v>
      </c>
      <c r="C18" s="11"/>
      <c r="D18" s="11"/>
      <c r="E18" s="11"/>
      <c r="F18" s="11"/>
      <c r="G18" s="5"/>
      <c r="H18" s="111"/>
      <c r="I18" s="11"/>
      <c r="J18" s="5"/>
    </row>
    <row r="19" spans="1:11">
      <c r="A19" s="168">
        <f t="shared" si="0"/>
        <v>9</v>
      </c>
      <c r="B19" s="79" t="s">
        <v>222</v>
      </c>
      <c r="C19" s="11"/>
      <c r="D19" s="533" t="s">
        <v>1026</v>
      </c>
      <c r="E19" s="80">
        <f>'Attachment O'!D159</f>
        <v>0.18849587296573275</v>
      </c>
      <c r="F19" s="534"/>
      <c r="G19" s="5"/>
      <c r="H19" s="111"/>
      <c r="I19" s="11"/>
      <c r="J19" s="5"/>
    </row>
    <row r="20" spans="1:11">
      <c r="A20" s="168">
        <f t="shared" si="0"/>
        <v>10</v>
      </c>
      <c r="B20" s="5" t="s">
        <v>224</v>
      </c>
      <c r="C20" s="11"/>
      <c r="D20" s="11"/>
      <c r="E20" s="80">
        <f>IF(J15&gt;0,(E19/(1-E19))*(1-J12/J15),0)</f>
        <v>0.20192282682758636</v>
      </c>
      <c r="F20" s="11"/>
      <c r="G20" s="5"/>
      <c r="H20" s="111"/>
      <c r="I20" s="11"/>
      <c r="J20" s="5"/>
    </row>
    <row r="21" spans="1:11">
      <c r="A21" s="168">
        <f t="shared" si="0"/>
        <v>11</v>
      </c>
      <c r="B21" s="11" t="s">
        <v>1027</v>
      </c>
      <c r="C21" s="11"/>
      <c r="D21" s="11"/>
      <c r="E21" s="11"/>
      <c r="F21" s="11"/>
      <c r="G21" s="5"/>
      <c r="H21" s="111"/>
      <c r="I21" s="11"/>
      <c r="J21" s="5"/>
    </row>
    <row r="22" spans="1:11">
      <c r="A22" s="168">
        <f t="shared" si="0"/>
        <v>12</v>
      </c>
      <c r="B22" s="13" t="s">
        <v>1028</v>
      </c>
      <c r="C22" s="11"/>
      <c r="D22" s="11"/>
      <c r="E22" s="11"/>
      <c r="F22" s="11"/>
      <c r="G22" s="5"/>
      <c r="H22" s="111"/>
      <c r="I22" s="11"/>
      <c r="J22" s="5"/>
    </row>
    <row r="23" spans="1:11">
      <c r="A23" s="168">
        <f>+A22+1</f>
        <v>13</v>
      </c>
      <c r="B23" s="79" t="str">
        <f>"      1 / (1 - T)  =  (from line "&amp;A19&amp;")"</f>
        <v xml:space="preserve">      1 / (1 - T)  =  (from line 9)</v>
      </c>
      <c r="C23" s="11"/>
      <c r="D23" s="11"/>
      <c r="E23" s="80">
        <f>IF(E19&gt;0,1/(1-E19),0)</f>
        <v>1.2322796233392084</v>
      </c>
      <c r="F23" s="11"/>
      <c r="G23" s="5"/>
      <c r="H23" s="111"/>
      <c r="I23" s="11"/>
      <c r="J23" s="5"/>
    </row>
    <row r="24" spans="1:11">
      <c r="A24" s="168">
        <f t="shared" si="0"/>
        <v>14</v>
      </c>
      <c r="B24" s="13" t="s">
        <v>1029</v>
      </c>
      <c r="C24" s="11"/>
      <c r="D24" s="535" t="str">
        <f>"Attachment O-GLH, Page 3, Line "&amp;+'Attachment O'!A164</f>
        <v>Attachment O-GLH, Page 3, Line 24</v>
      </c>
      <c r="E24" s="60">
        <f>+'Attachment O'!D164</f>
        <v>0</v>
      </c>
      <c r="F24" s="11"/>
      <c r="G24" s="5"/>
      <c r="H24" s="111"/>
      <c r="I24" s="11"/>
      <c r="J24" s="5"/>
    </row>
    <row r="25" spans="1:11">
      <c r="A25" s="168">
        <f t="shared" si="0"/>
        <v>15</v>
      </c>
      <c r="B25" s="13" t="s">
        <v>1030</v>
      </c>
      <c r="C25" s="11"/>
      <c r="D25" s="535" t="str">
        <f>"Attachment O-GLH, Page 3, Line "&amp;+'Attachment O'!A165</f>
        <v>Attachment O-GLH, Page 3, Line 24a</v>
      </c>
      <c r="E25" s="60">
        <f>+'Attachment O'!D165</f>
        <v>0</v>
      </c>
      <c r="F25" s="11"/>
      <c r="G25" s="5"/>
      <c r="H25" s="4"/>
      <c r="I25" s="11"/>
      <c r="J25" s="5"/>
    </row>
    <row r="26" spans="1:11">
      <c r="A26" s="168">
        <f t="shared" si="0"/>
        <v>16</v>
      </c>
      <c r="B26" s="13" t="s">
        <v>1031</v>
      </c>
      <c r="C26" s="11"/>
      <c r="D26" s="535" t="str">
        <f>"Attachment O-GLH, Page 3, Line "&amp;+'Attachment O'!A166</f>
        <v>Attachment O-GLH, Page 3, Line 24b</v>
      </c>
      <c r="E26" s="60">
        <f>+'Attachment O'!D166</f>
        <v>1302</v>
      </c>
      <c r="F26" s="11"/>
      <c r="G26" s="5"/>
      <c r="H26" s="111"/>
      <c r="I26" s="11"/>
      <c r="J26" s="5"/>
    </row>
    <row r="27" spans="1:11">
      <c r="A27" s="168">
        <f t="shared" si="0"/>
        <v>17</v>
      </c>
      <c r="B27" s="79" t="str">
        <f>"Income Tax Calculation"</f>
        <v>Income Tax Calculation</v>
      </c>
      <c r="C27" s="82"/>
      <c r="D27" s="82" t="s">
        <v>1032</v>
      </c>
      <c r="E27" s="72">
        <f>+E20*K16</f>
        <v>49240.756748845597</v>
      </c>
      <c r="F27" s="23"/>
      <c r="G27" s="23" t="s">
        <v>85</v>
      </c>
      <c r="H27" s="27"/>
      <c r="I27" s="23"/>
      <c r="J27" s="72">
        <f>+E20*K16</f>
        <v>49240.756748845597</v>
      </c>
    </row>
    <row r="28" spans="1:11">
      <c r="A28" s="168">
        <f t="shared" si="0"/>
        <v>18</v>
      </c>
      <c r="B28" s="5" t="str">
        <f>"ITC adjustment"</f>
        <v>ITC adjustment</v>
      </c>
      <c r="C28" s="82"/>
      <c r="D28" s="82" t="s">
        <v>1033</v>
      </c>
      <c r="E28" s="60">
        <f>+E23*E24</f>
        <v>0</v>
      </c>
      <c r="F28" s="23"/>
      <c r="G28" s="1" t="s">
        <v>120</v>
      </c>
      <c r="H28" s="22">
        <f>+'Attachment O'!I168</f>
        <v>0</v>
      </c>
      <c r="I28" s="23"/>
      <c r="J28" s="60">
        <f>+'Attachment O'!N168</f>
        <v>0</v>
      </c>
    </row>
    <row r="29" spans="1:11">
      <c r="A29" s="168">
        <f t="shared" si="0"/>
        <v>19</v>
      </c>
      <c r="B29" s="5" t="str">
        <f>"Excess Deferred Income Tax Adjustment"</f>
        <v>Excess Deferred Income Tax Adjustment</v>
      </c>
      <c r="C29" s="82"/>
      <c r="D29" s="82" t="s">
        <v>1034</v>
      </c>
      <c r="E29" s="60">
        <f>+E23*E25</f>
        <v>0</v>
      </c>
      <c r="F29" s="23"/>
      <c r="G29" s="1" t="s">
        <v>120</v>
      </c>
      <c r="H29" s="22">
        <f>H28</f>
        <v>0</v>
      </c>
      <c r="I29" s="23"/>
      <c r="J29" s="60">
        <f>+'Attachment O'!N169</f>
        <v>0</v>
      </c>
    </row>
    <row r="30" spans="1:11" ht="15.75" thickBot="1">
      <c r="A30" s="168">
        <f t="shared" si="0"/>
        <v>20</v>
      </c>
      <c r="B30" s="5" t="str">
        <f>"Permanent Differences Tax Adjustment"</f>
        <v>Permanent Differences Tax Adjustment</v>
      </c>
      <c r="C30" s="82"/>
      <c r="D30" s="82" t="s">
        <v>1035</v>
      </c>
      <c r="E30" s="536">
        <f>+E23*E26</f>
        <v>1604.4280695876494</v>
      </c>
      <c r="F30" s="23"/>
      <c r="G30" s="1" t="s">
        <v>120</v>
      </c>
      <c r="H30" s="22">
        <f>H29</f>
        <v>0</v>
      </c>
      <c r="I30" s="23"/>
      <c r="J30" s="536">
        <f>+'Attachment O'!N170</f>
        <v>0</v>
      </c>
    </row>
    <row r="31" spans="1:11">
      <c r="A31" s="168">
        <f t="shared" si="0"/>
        <v>21</v>
      </c>
      <c r="B31" s="87" t="str">
        <f>"Total Income Taxes"</f>
        <v>Total Income Taxes</v>
      </c>
      <c r="C31" s="5"/>
      <c r="D31" s="5" t="s">
        <v>1036</v>
      </c>
      <c r="E31" s="72">
        <f>SUM(E27:E30)</f>
        <v>50845.184818433248</v>
      </c>
      <c r="F31" s="23"/>
      <c r="G31" s="23" t="s">
        <v>9</v>
      </c>
      <c r="H31" s="27" t="s">
        <v>9</v>
      </c>
      <c r="I31" s="23"/>
      <c r="J31" s="72">
        <f>SUM(J27:J30)</f>
        <v>49240.756748845597</v>
      </c>
      <c r="K31" s="4">
        <f>+J31</f>
        <v>49240.756748845597</v>
      </c>
    </row>
    <row r="32" spans="1:11">
      <c r="A32" s="168"/>
      <c r="K32" s="537"/>
    </row>
    <row r="33" spans="1:11">
      <c r="A33" s="168">
        <f>+A31+1</f>
        <v>22</v>
      </c>
      <c r="B33" s="5" t="s">
        <v>1037</v>
      </c>
      <c r="K33" s="4">
        <f>+K31+K16</f>
        <v>293100.04458899784</v>
      </c>
    </row>
    <row r="34" spans="1:11">
      <c r="A34" s="168"/>
      <c r="K34" s="537"/>
    </row>
    <row r="35" spans="1:11">
      <c r="A35" s="168">
        <f>+A33+1</f>
        <v>23</v>
      </c>
      <c r="B35" s="2" t="s">
        <v>1038</v>
      </c>
      <c r="D35" s="2" t="s">
        <v>1039</v>
      </c>
      <c r="K35" s="4">
        <f>+'Attachment O'!I174</f>
        <v>224230.66410186328</v>
      </c>
    </row>
    <row r="36" spans="1:11">
      <c r="A36" s="168">
        <f t="shared" si="0"/>
        <v>24</v>
      </c>
      <c r="B36" s="2" t="s">
        <v>1040</v>
      </c>
      <c r="D36" s="2" t="s">
        <v>1041</v>
      </c>
      <c r="K36" s="4">
        <f>+'Attachment O'!I171</f>
        <v>45060.049697622635</v>
      </c>
    </row>
    <row r="37" spans="1:11">
      <c r="A37" s="168">
        <f t="shared" si="0"/>
        <v>25</v>
      </c>
      <c r="B37" s="5" t="s">
        <v>1042</v>
      </c>
      <c r="D37" s="2" t="s">
        <v>1043</v>
      </c>
      <c r="K37" s="194">
        <f>SUM(K35:K36)</f>
        <v>269290.71379948594</v>
      </c>
    </row>
    <row r="38" spans="1:11">
      <c r="A38" s="168">
        <f t="shared" si="0"/>
        <v>26</v>
      </c>
      <c r="B38" s="5" t="s">
        <v>1044</v>
      </c>
      <c r="D38" s="2" t="s">
        <v>1045</v>
      </c>
      <c r="K38" s="4">
        <f>+K33-K37</f>
        <v>23809.330789511907</v>
      </c>
    </row>
    <row r="39" spans="1:11">
      <c r="A39" s="168">
        <f t="shared" si="0"/>
        <v>27</v>
      </c>
      <c r="B39" s="2" t="s">
        <v>1015</v>
      </c>
      <c r="D39" s="2" t="s">
        <v>1046</v>
      </c>
      <c r="K39" s="538">
        <f>+K7</f>
        <v>3271437.2897148337</v>
      </c>
    </row>
    <row r="40" spans="1:11">
      <c r="A40" s="168">
        <f t="shared" si="0"/>
        <v>28</v>
      </c>
      <c r="B40" s="2" t="s">
        <v>1047</v>
      </c>
      <c r="D40" s="2" t="s">
        <v>1048</v>
      </c>
      <c r="K40" s="85">
        <f>IF(K39=0,0,K38/K39)</f>
        <v>7.2779419811490045E-3</v>
      </c>
    </row>
    <row r="42" spans="1:11">
      <c r="A42" s="4" t="s">
        <v>1049</v>
      </c>
    </row>
    <row r="43" spans="1:11">
      <c r="A43" s="169" t="s">
        <v>354</v>
      </c>
      <c r="B43" s="539" t="s">
        <v>1050</v>
      </c>
    </row>
    <row r="44" spans="1:11">
      <c r="A44" s="169"/>
      <c r="B44" s="2" t="s">
        <v>1051</v>
      </c>
    </row>
    <row r="45" spans="1:11">
      <c r="A45" s="169"/>
      <c r="B45" s="2" t="s">
        <v>1052</v>
      </c>
    </row>
    <row r="46" spans="1:11">
      <c r="A46" s="169"/>
      <c r="B46" s="2" t="s">
        <v>1053</v>
      </c>
    </row>
    <row r="47" spans="1:11">
      <c r="A47" s="169" t="s">
        <v>356</v>
      </c>
      <c r="B47" s="2" t="s">
        <v>1054</v>
      </c>
    </row>
    <row r="48" spans="1:11">
      <c r="B48" s="2" t="s">
        <v>1055</v>
      </c>
    </row>
  </sheetData>
  <mergeCells count="3">
    <mergeCell ref="A3:K3"/>
    <mergeCell ref="A4:K4"/>
    <mergeCell ref="A5:K5"/>
  </mergeCells>
  <pageMargins left="0.25" right="0.25"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88BAE-8251-4B34-80F8-779F0C590CEA}">
  <sheetPr>
    <pageSetUpPr fitToPage="1"/>
  </sheetPr>
  <dimension ref="A1:N49"/>
  <sheetViews>
    <sheetView view="pageBreakPreview" zoomScaleNormal="100" zoomScaleSheetLayoutView="100" workbookViewId="0">
      <selection activeCell="U42" sqref="U42"/>
    </sheetView>
  </sheetViews>
  <sheetFormatPr defaultColWidth="8.88671875" defaultRowHeight="12.75"/>
  <cols>
    <col min="1" max="1" width="6" style="170" customWidth="1"/>
    <col min="2" max="2" width="27.109375" style="170" customWidth="1"/>
    <col min="3" max="3" width="17.5546875" style="170" customWidth="1"/>
    <col min="4" max="4" width="15" style="170" customWidth="1"/>
    <col min="5" max="6" width="23.109375" style="170" customWidth="1"/>
    <col min="7" max="7" width="21" style="170" customWidth="1"/>
    <col min="8" max="8" width="18.33203125" style="170" customWidth="1"/>
    <col min="9" max="9" width="18.5546875" style="170" customWidth="1"/>
    <col min="10" max="10" width="13.77734375" style="170" customWidth="1"/>
    <col min="11" max="11" width="7.109375" style="170" customWidth="1"/>
    <col min="12" max="12" width="13.5546875" style="170" customWidth="1"/>
    <col min="13" max="16384" width="8.88671875" style="170"/>
  </cols>
  <sheetData>
    <row r="1" spans="1:14">
      <c r="E1" s="216"/>
    </row>
    <row r="2" spans="1:14">
      <c r="D2" s="173"/>
      <c r="E2" s="172" t="s">
        <v>1056</v>
      </c>
      <c r="F2" s="173"/>
      <c r="G2" s="173"/>
      <c r="I2" s="173"/>
      <c r="K2" s="173" t="s">
        <v>908</v>
      </c>
      <c r="L2" s="173"/>
    </row>
    <row r="3" spans="1:14">
      <c r="D3" s="173"/>
      <c r="E3" s="456" t="s">
        <v>1057</v>
      </c>
      <c r="F3" s="177"/>
      <c r="G3" s="177"/>
      <c r="I3" s="177"/>
      <c r="J3" s="177"/>
      <c r="K3" s="177"/>
      <c r="L3" s="173"/>
    </row>
    <row r="4" spans="1:14">
      <c r="C4" s="175"/>
      <c r="D4" s="175"/>
      <c r="E4" s="18" t="str">
        <f>+'Attachment O'!D5</f>
        <v>GridLiance Heartland LLC</v>
      </c>
      <c r="F4" s="175"/>
      <c r="G4" s="175"/>
      <c r="I4" s="175"/>
      <c r="J4" s="175"/>
      <c r="K4" s="175"/>
      <c r="L4" s="175"/>
    </row>
    <row r="5" spans="1:14">
      <c r="A5" s="172"/>
      <c r="C5" s="175"/>
      <c r="D5" s="175"/>
      <c r="E5" s="185"/>
      <c r="F5" s="175"/>
      <c r="G5" s="175"/>
      <c r="I5" s="175"/>
      <c r="J5" s="175"/>
      <c r="K5" s="175"/>
      <c r="L5" s="175"/>
    </row>
    <row r="6" spans="1:14">
      <c r="A6" s="172"/>
      <c r="C6" s="175"/>
      <c r="D6" s="175"/>
      <c r="E6" s="175"/>
      <c r="F6" s="175"/>
      <c r="G6" s="175"/>
      <c r="H6" s="179"/>
      <c r="I6" s="175"/>
      <c r="J6" s="175"/>
      <c r="K6" s="175"/>
      <c r="L6" s="175"/>
    </row>
    <row r="7" spans="1:14">
      <c r="A7" s="172"/>
      <c r="E7" s="218"/>
      <c r="I7" s="175"/>
      <c r="J7" s="175"/>
      <c r="K7" s="175"/>
      <c r="L7" s="175"/>
    </row>
    <row r="8" spans="1:14" s="219" customFormat="1" ht="15" customHeight="1">
      <c r="B8" s="457"/>
      <c r="C8" s="457"/>
      <c r="D8" s="457"/>
      <c r="E8" s="458"/>
      <c r="F8" s="459"/>
      <c r="G8" s="460"/>
      <c r="H8" s="461"/>
    </row>
    <row r="9" spans="1:14" s="219" customFormat="1">
      <c r="A9" s="458"/>
      <c r="B9" s="457" t="s">
        <v>792</v>
      </c>
      <c r="C9" s="457"/>
      <c r="D9" s="457"/>
      <c r="F9" s="462" t="s">
        <v>910</v>
      </c>
      <c r="G9" s="463"/>
      <c r="H9" s="464"/>
    </row>
    <row r="10" spans="1:14" s="219" customFormat="1">
      <c r="A10" s="465">
        <v>1</v>
      </c>
      <c r="B10" s="466"/>
      <c r="C10" s="457"/>
      <c r="D10" s="467"/>
      <c r="E10" s="467"/>
      <c r="F10" s="467"/>
      <c r="G10" s="467"/>
      <c r="H10" s="467"/>
    </row>
    <row r="11" spans="1:14" s="219" customFormat="1">
      <c r="A11" s="465"/>
      <c r="B11" s="468" t="s">
        <v>354</v>
      </c>
      <c r="C11" s="469" t="s">
        <v>356</v>
      </c>
      <c r="D11" s="470" t="s">
        <v>358</v>
      </c>
      <c r="E11" s="470" t="s">
        <v>360</v>
      </c>
      <c r="F11" s="470" t="s">
        <v>362</v>
      </c>
      <c r="G11" s="470" t="s">
        <v>364</v>
      </c>
      <c r="H11" s="470" t="s">
        <v>366</v>
      </c>
      <c r="M11" s="471"/>
      <c r="N11" s="471"/>
    </row>
    <row r="12" spans="1:14" s="219" customFormat="1">
      <c r="A12" s="465"/>
      <c r="B12" s="467"/>
      <c r="C12" s="472"/>
      <c r="D12" s="473"/>
      <c r="E12" s="473"/>
      <c r="F12" s="473" t="s">
        <v>911</v>
      </c>
      <c r="G12" s="474"/>
      <c r="H12" s="474"/>
    </row>
    <row r="13" spans="1:14" s="219" customFormat="1">
      <c r="A13" s="465"/>
      <c r="B13" s="473" t="s">
        <v>912</v>
      </c>
      <c r="C13" s="473"/>
      <c r="D13" s="473" t="s">
        <v>913</v>
      </c>
      <c r="E13" s="473"/>
      <c r="F13" s="473" t="s">
        <v>914</v>
      </c>
      <c r="G13" s="473" t="s">
        <v>915</v>
      </c>
      <c r="H13" s="475" t="s">
        <v>916</v>
      </c>
    </row>
    <row r="14" spans="1:14" s="219" customFormat="1">
      <c r="A14" s="465"/>
      <c r="B14" s="473" t="s">
        <v>917</v>
      </c>
      <c r="C14" s="473"/>
      <c r="D14" s="473" t="s">
        <v>918</v>
      </c>
      <c r="E14" s="473"/>
      <c r="F14" s="473" t="s">
        <v>919</v>
      </c>
      <c r="G14" s="473" t="s">
        <v>920</v>
      </c>
      <c r="H14" s="475" t="s">
        <v>921</v>
      </c>
    </row>
    <row r="15" spans="1:14" s="219" customFormat="1" ht="15.75">
      <c r="A15" s="465"/>
      <c r="B15" s="470" t="s">
        <v>922</v>
      </c>
      <c r="C15" s="470" t="s">
        <v>923</v>
      </c>
      <c r="D15" s="470" t="s">
        <v>924</v>
      </c>
      <c r="E15" s="471" t="s">
        <v>925</v>
      </c>
      <c r="F15" s="473" t="s">
        <v>926</v>
      </c>
      <c r="G15" s="470" t="s">
        <v>927</v>
      </c>
      <c r="H15" s="470" t="s">
        <v>928</v>
      </c>
    </row>
    <row r="16" spans="1:14" s="219" customFormat="1">
      <c r="A16" s="465">
        <v>2</v>
      </c>
      <c r="B16" s="476"/>
      <c r="C16" s="476"/>
      <c r="D16" s="477">
        <v>0</v>
      </c>
      <c r="E16" s="478">
        <v>0</v>
      </c>
      <c r="F16" s="479">
        <f t="shared" ref="F16:F21" si="0">D16-E16</f>
        <v>0</v>
      </c>
      <c r="G16" s="480">
        <v>0</v>
      </c>
      <c r="H16" s="481">
        <f t="shared" ref="H16:H21" si="1">+F16+G16</f>
        <v>0</v>
      </c>
    </row>
    <row r="17" spans="1:14" s="219" customFormat="1">
      <c r="A17" s="465" t="s">
        <v>25</v>
      </c>
      <c r="B17" s="482"/>
      <c r="C17" s="482"/>
      <c r="D17" s="483">
        <v>0</v>
      </c>
      <c r="E17" s="484">
        <v>0</v>
      </c>
      <c r="F17" s="485">
        <f t="shared" si="0"/>
        <v>0</v>
      </c>
      <c r="G17" s="486">
        <v>0</v>
      </c>
      <c r="H17" s="485">
        <f t="shared" si="1"/>
        <v>0</v>
      </c>
    </row>
    <row r="18" spans="1:14" s="219" customFormat="1">
      <c r="A18" s="465" t="s">
        <v>929</v>
      </c>
      <c r="B18" s="482"/>
      <c r="C18" s="482"/>
      <c r="D18" s="483">
        <v>0</v>
      </c>
      <c r="E18" s="484">
        <v>0</v>
      </c>
      <c r="F18" s="485">
        <f t="shared" si="0"/>
        <v>0</v>
      </c>
      <c r="G18" s="486">
        <v>0</v>
      </c>
      <c r="H18" s="485">
        <f t="shared" si="1"/>
        <v>0</v>
      </c>
    </row>
    <row r="19" spans="1:14" s="219" customFormat="1">
      <c r="A19" s="465" t="s">
        <v>930</v>
      </c>
      <c r="B19" s="482"/>
      <c r="C19" s="482"/>
      <c r="D19" s="483">
        <v>0</v>
      </c>
      <c r="E19" s="484">
        <v>0</v>
      </c>
      <c r="F19" s="485">
        <f t="shared" si="0"/>
        <v>0</v>
      </c>
      <c r="G19" s="486">
        <v>0</v>
      </c>
      <c r="H19" s="485">
        <f t="shared" si="1"/>
        <v>0</v>
      </c>
    </row>
    <row r="20" spans="1:14" s="219" customFormat="1">
      <c r="A20" s="465" t="s">
        <v>931</v>
      </c>
      <c r="B20" s="482"/>
      <c r="C20" s="482"/>
      <c r="D20" s="483">
        <v>0</v>
      </c>
      <c r="E20" s="484">
        <v>0</v>
      </c>
      <c r="F20" s="485">
        <f t="shared" si="0"/>
        <v>0</v>
      </c>
      <c r="G20" s="486">
        <v>0</v>
      </c>
      <c r="H20" s="485">
        <f t="shared" si="1"/>
        <v>0</v>
      </c>
    </row>
    <row r="21" spans="1:14" s="219" customFormat="1">
      <c r="A21" s="465"/>
      <c r="B21" s="487"/>
      <c r="C21" s="487"/>
      <c r="D21" s="488">
        <v>0</v>
      </c>
      <c r="E21" s="489">
        <v>0</v>
      </c>
      <c r="F21" s="490">
        <f t="shared" si="0"/>
        <v>0</v>
      </c>
      <c r="G21" s="491">
        <v>0</v>
      </c>
      <c r="H21" s="490">
        <f t="shared" si="1"/>
        <v>0</v>
      </c>
    </row>
    <row r="22" spans="1:14" s="219" customFormat="1">
      <c r="A22" s="465"/>
      <c r="B22" s="457"/>
      <c r="C22" s="492"/>
      <c r="D22" s="492"/>
      <c r="E22" s="492"/>
      <c r="F22" s="492"/>
      <c r="G22" s="492"/>
      <c r="H22" s="493"/>
      <c r="J22" s="492"/>
      <c r="K22" s="492"/>
    </row>
    <row r="23" spans="1:14" s="219" customFormat="1">
      <c r="A23" s="465">
        <v>3</v>
      </c>
      <c r="B23" s="494" t="s">
        <v>21</v>
      </c>
      <c r="C23" s="492"/>
      <c r="D23" s="492">
        <f>SUM(D16:D21)</f>
        <v>0</v>
      </c>
      <c r="E23" s="492">
        <f t="shared" ref="E23" si="2">SUM(E16:E21)</f>
        <v>0</v>
      </c>
      <c r="F23" s="492">
        <f>SUM(F16:F21)</f>
        <v>0</v>
      </c>
      <c r="G23" s="492">
        <f>SUM(G16:G21)</f>
        <v>0</v>
      </c>
      <c r="H23" s="492">
        <f>SUM(H16:H21)</f>
        <v>0</v>
      </c>
      <c r="J23" s="492"/>
      <c r="K23" s="492"/>
    </row>
    <row r="24" spans="1:14" s="219" customFormat="1">
      <c r="A24" s="465"/>
      <c r="B24" s="457"/>
      <c r="C24" s="492"/>
      <c r="D24" s="492"/>
      <c r="E24" s="492"/>
      <c r="F24" s="492"/>
      <c r="G24" s="492"/>
      <c r="H24" s="492"/>
      <c r="I24" s="493"/>
      <c r="J24" s="492"/>
      <c r="K24" s="492"/>
    </row>
    <row r="25" spans="1:14" s="219" customFormat="1">
      <c r="A25" s="494"/>
      <c r="B25" s="457"/>
      <c r="C25" s="492"/>
      <c r="D25" s="492"/>
      <c r="E25" s="492"/>
      <c r="F25" s="492"/>
      <c r="G25" s="492"/>
      <c r="H25" s="492"/>
      <c r="I25" s="493"/>
      <c r="J25" s="492"/>
      <c r="K25" s="492"/>
    </row>
    <row r="26" spans="1:14" s="219" customFormat="1" ht="15">
      <c r="A26" s="494"/>
      <c r="B26" s="495"/>
      <c r="C26" s="2"/>
      <c r="D26" s="2"/>
      <c r="E26" s="2"/>
      <c r="F26" s="4"/>
      <c r="G26" s="4"/>
      <c r="H26" s="2"/>
      <c r="I26" s="496"/>
      <c r="J26" s="22"/>
      <c r="K26" s="497"/>
      <c r="L26" s="497"/>
    </row>
    <row r="27" spans="1:14" s="219" customFormat="1">
      <c r="A27" s="494"/>
      <c r="B27" s="2" t="s">
        <v>1058</v>
      </c>
      <c r="C27" s="2"/>
      <c r="D27" s="2"/>
      <c r="E27" s="2"/>
      <c r="F27" s="2"/>
      <c r="G27" s="2"/>
      <c r="H27" s="2"/>
      <c r="I27" s="457"/>
      <c r="J27" s="457"/>
      <c r="K27" s="457"/>
      <c r="L27" s="457"/>
      <c r="M27" s="457"/>
      <c r="N27" s="457"/>
    </row>
    <row r="28" spans="1:14" s="219" customFormat="1">
      <c r="A28" s="494"/>
      <c r="B28" s="2" t="s">
        <v>1059</v>
      </c>
      <c r="C28" s="2"/>
      <c r="D28" s="2"/>
      <c r="E28" s="2"/>
      <c r="F28" s="2"/>
      <c r="G28" s="2"/>
      <c r="H28" s="2"/>
      <c r="I28" s="457"/>
      <c r="J28" s="457"/>
      <c r="K28" s="457"/>
      <c r="L28" s="457"/>
      <c r="M28" s="457"/>
      <c r="N28" s="457"/>
    </row>
    <row r="29" spans="1:14" s="219" customFormat="1">
      <c r="A29" s="494"/>
      <c r="B29" s="2" t="s">
        <v>1060</v>
      </c>
      <c r="C29" s="2"/>
      <c r="D29" s="2"/>
      <c r="E29" s="2"/>
      <c r="F29" s="2"/>
      <c r="G29" s="2"/>
      <c r="H29" s="2"/>
      <c r="I29" s="457"/>
      <c r="J29" s="457"/>
      <c r="K29" s="457"/>
      <c r="L29" s="457"/>
      <c r="M29" s="457"/>
      <c r="N29" s="457"/>
    </row>
    <row r="30" spans="1:14" s="219" customFormat="1">
      <c r="A30" s="494"/>
      <c r="B30" s="2"/>
      <c r="C30" s="2"/>
      <c r="D30" s="2"/>
      <c r="E30" s="2"/>
      <c r="F30" s="2"/>
      <c r="G30" s="2"/>
      <c r="H30" s="2"/>
      <c r="I30" s="457"/>
      <c r="J30" s="457"/>
      <c r="K30" s="457"/>
      <c r="L30" s="457"/>
      <c r="M30" s="457"/>
      <c r="N30" s="457"/>
    </row>
    <row r="31" spans="1:14" s="219" customFormat="1" ht="57.75" customHeight="1">
      <c r="A31" s="162"/>
      <c r="B31" s="703" t="s">
        <v>1061</v>
      </c>
      <c r="C31" s="703"/>
      <c r="D31" s="703"/>
      <c r="E31" s="703"/>
      <c r="F31" s="703"/>
      <c r="G31" s="703"/>
      <c r="H31" s="703"/>
      <c r="I31" s="703"/>
      <c r="J31" s="703"/>
      <c r="K31" s="162"/>
      <c r="L31" s="162"/>
      <c r="M31" s="162"/>
      <c r="N31" s="162"/>
    </row>
    <row r="32" spans="1:14">
      <c r="A32" s="172"/>
      <c r="E32" s="218"/>
      <c r="F32" s="218"/>
      <c r="G32" s="218"/>
      <c r="I32" s="175"/>
      <c r="J32" s="175"/>
      <c r="K32" s="498"/>
      <c r="L32" s="498"/>
      <c r="M32" s="219"/>
      <c r="N32" s="219"/>
    </row>
    <row r="33" spans="1:12">
      <c r="A33" s="499"/>
      <c r="B33" s="15"/>
      <c r="C33" s="15"/>
      <c r="D33" s="15"/>
      <c r="E33" s="15"/>
      <c r="F33" s="15"/>
      <c r="G33" s="15"/>
      <c r="H33" s="15"/>
      <c r="I33" s="15"/>
      <c r="J33" s="15"/>
      <c r="L33" s="219"/>
    </row>
    <row r="34" spans="1:12">
      <c r="A34" s="499" t="s">
        <v>936</v>
      </c>
      <c r="K34" s="219"/>
      <c r="L34" s="219"/>
    </row>
    <row r="35" spans="1:12">
      <c r="K35" s="219"/>
      <c r="L35" s="219"/>
    </row>
    <row r="36" spans="1:12">
      <c r="B36" s="15" t="s">
        <v>612</v>
      </c>
      <c r="C36" s="15" t="s">
        <v>613</v>
      </c>
      <c r="D36" s="15" t="s">
        <v>614</v>
      </c>
      <c r="E36" s="15" t="s">
        <v>615</v>
      </c>
      <c r="K36" s="219"/>
      <c r="L36" s="219"/>
    </row>
    <row r="37" spans="1:12" ht="25.5">
      <c r="A37" s="500">
        <v>4</v>
      </c>
      <c r="B37" s="501" t="s">
        <v>937</v>
      </c>
      <c r="C37" s="216" t="s">
        <v>938</v>
      </c>
      <c r="D37" s="216" t="s">
        <v>792</v>
      </c>
      <c r="E37" s="502" t="s">
        <v>939</v>
      </c>
      <c r="K37" s="219"/>
      <c r="L37" s="219"/>
    </row>
    <row r="38" spans="1:12">
      <c r="A38" s="500">
        <v>5</v>
      </c>
      <c r="C38" s="501" t="s">
        <v>940</v>
      </c>
      <c r="D38" s="337">
        <v>0</v>
      </c>
      <c r="E38" s="337">
        <v>0</v>
      </c>
      <c r="F38" s="22"/>
      <c r="G38" s="22"/>
      <c r="H38" s="22"/>
      <c r="K38" s="219"/>
      <c r="L38" s="219"/>
    </row>
    <row r="39" spans="1:12">
      <c r="A39" s="500">
        <v>6</v>
      </c>
      <c r="C39" s="501" t="s">
        <v>941</v>
      </c>
      <c r="D39" s="337">
        <v>0</v>
      </c>
      <c r="E39" s="337">
        <v>0</v>
      </c>
      <c r="F39" s="22"/>
      <c r="G39" s="22"/>
      <c r="H39" s="22"/>
      <c r="K39" s="219"/>
      <c r="L39" s="219"/>
    </row>
    <row r="40" spans="1:12">
      <c r="A40" s="500">
        <v>7</v>
      </c>
      <c r="C40" s="501" t="s">
        <v>942</v>
      </c>
      <c r="D40" s="337">
        <v>0</v>
      </c>
      <c r="E40" s="337">
        <v>0</v>
      </c>
      <c r="F40" s="22"/>
      <c r="G40" s="22"/>
      <c r="H40" s="22"/>
      <c r="K40" s="219"/>
      <c r="L40" s="219"/>
    </row>
    <row r="41" spans="1:12">
      <c r="A41" s="500">
        <v>8</v>
      </c>
      <c r="C41" s="501" t="s">
        <v>943</v>
      </c>
      <c r="D41" s="337">
        <v>0</v>
      </c>
      <c r="E41" s="337">
        <v>0</v>
      </c>
      <c r="F41" s="22"/>
      <c r="G41" s="22"/>
      <c r="H41" s="22"/>
      <c r="K41" s="219"/>
      <c r="L41" s="219"/>
    </row>
    <row r="42" spans="1:12">
      <c r="A42" s="500">
        <v>9</v>
      </c>
      <c r="C42" s="501" t="s">
        <v>944</v>
      </c>
      <c r="D42" s="337">
        <v>0</v>
      </c>
      <c r="E42" s="337">
        <v>0</v>
      </c>
      <c r="F42" s="22"/>
      <c r="G42" s="22"/>
      <c r="H42" s="22"/>
      <c r="K42" s="219"/>
      <c r="L42" s="219"/>
    </row>
    <row r="43" spans="1:12">
      <c r="A43" s="500">
        <v>10</v>
      </c>
      <c r="C43" s="501" t="s">
        <v>941</v>
      </c>
      <c r="D43" s="337">
        <v>0</v>
      </c>
      <c r="E43" s="337">
        <v>0</v>
      </c>
      <c r="F43" s="22"/>
      <c r="G43" s="22"/>
      <c r="H43" s="22"/>
      <c r="K43" s="219"/>
      <c r="L43" s="219"/>
    </row>
    <row r="44" spans="1:12">
      <c r="A44" s="500">
        <v>11</v>
      </c>
      <c r="C44" s="501" t="s">
        <v>942</v>
      </c>
      <c r="D44" s="337">
        <f>+D43</f>
        <v>0</v>
      </c>
      <c r="E44" s="337">
        <v>0</v>
      </c>
      <c r="F44" s="22"/>
      <c r="G44" s="22"/>
      <c r="H44" s="22"/>
      <c r="K44" s="219"/>
      <c r="L44" s="219"/>
    </row>
    <row r="45" spans="1:12">
      <c r="A45" s="500">
        <v>12</v>
      </c>
      <c r="C45" s="170" t="s">
        <v>945</v>
      </c>
      <c r="D45" s="22"/>
      <c r="E45" s="503">
        <f>SUM(E38:E44)</f>
        <v>0</v>
      </c>
      <c r="F45" s="22"/>
      <c r="G45" s="22"/>
      <c r="H45" s="22"/>
      <c r="K45" s="219"/>
      <c r="L45" s="219"/>
    </row>
    <row r="46" spans="1:12">
      <c r="A46" s="500"/>
      <c r="C46" s="501"/>
      <c r="D46" s="22"/>
      <c r="E46" s="22"/>
      <c r="F46" s="22"/>
      <c r="G46" s="22"/>
      <c r="H46" s="22"/>
      <c r="K46" s="219"/>
      <c r="L46" s="219"/>
    </row>
    <row r="47" spans="1:12">
      <c r="A47" s="500">
        <v>13</v>
      </c>
      <c r="B47" s="270" t="s">
        <v>946</v>
      </c>
      <c r="C47" s="170" t="s">
        <v>947</v>
      </c>
      <c r="D47" s="22"/>
      <c r="E47" s="22">
        <f>E45/7</f>
        <v>0</v>
      </c>
      <c r="F47" s="22"/>
      <c r="G47" s="22"/>
      <c r="H47" s="22"/>
      <c r="K47" s="219"/>
      <c r="L47" s="219"/>
    </row>
    <row r="48" spans="1:12">
      <c r="A48" s="169"/>
      <c r="D48" s="22"/>
      <c r="E48" s="22"/>
      <c r="F48" s="22"/>
      <c r="G48" s="22"/>
      <c r="H48" s="22"/>
      <c r="K48" s="219"/>
      <c r="L48" s="219"/>
    </row>
    <row r="49" spans="1:12">
      <c r="A49" s="504"/>
      <c r="C49" s="2"/>
      <c r="D49" s="505"/>
      <c r="E49" s="505"/>
      <c r="F49" s="505"/>
      <c r="G49" s="505"/>
      <c r="H49" s="505"/>
      <c r="I49" s="505"/>
      <c r="K49" s="219"/>
      <c r="L49" s="219"/>
    </row>
  </sheetData>
  <mergeCells count="1">
    <mergeCell ref="B31:J31"/>
  </mergeCells>
  <pageMargins left="0.25" right="0.25" top="0.75" bottom="0.75" header="0.3" footer="0.3"/>
  <pageSetup scale="57"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1888-FD8A-4C49-A36A-5520BC388F41}">
  <sheetPr>
    <pageSetUpPr fitToPage="1"/>
  </sheetPr>
  <dimension ref="A1:Q74"/>
  <sheetViews>
    <sheetView view="pageBreakPreview" topLeftCell="D1" zoomScaleNormal="100" zoomScaleSheetLayoutView="100" workbookViewId="0">
      <selection activeCell="E42" sqref="E42"/>
    </sheetView>
  </sheetViews>
  <sheetFormatPr defaultColWidth="8.88671875" defaultRowHeight="15"/>
  <cols>
    <col min="1" max="1" width="5.88671875" style="275" customWidth="1"/>
    <col min="2" max="2" width="29" style="2" bestFit="1" customWidth="1"/>
    <col min="3" max="3" width="13.109375" style="2" customWidth="1"/>
    <col min="4" max="4" width="14.6640625" style="2" customWidth="1"/>
    <col min="5" max="5" width="16.6640625" style="2" customWidth="1"/>
    <col min="6" max="6" width="16.77734375" style="2" customWidth="1"/>
    <col min="7" max="7" width="17.44140625" style="2" customWidth="1"/>
    <col min="8" max="8" width="17.6640625" style="2" customWidth="1"/>
    <col min="9" max="9" width="13.6640625" style="2" customWidth="1"/>
    <col min="10" max="10" width="11.77734375" style="2" customWidth="1"/>
    <col min="11" max="11" width="14.33203125" style="2" customWidth="1"/>
    <col min="12" max="12" width="12.33203125" style="2" customWidth="1"/>
    <col min="13" max="13" width="15.5546875" style="2" customWidth="1"/>
    <col min="14" max="14" width="13.77734375" style="2" customWidth="1"/>
    <col min="15" max="15" width="10.33203125" style="2" customWidth="1"/>
    <col min="16" max="16" width="10.88671875" style="2" customWidth="1"/>
    <col min="17" max="17" width="8.88671875" style="277"/>
    <col min="18" max="16384" width="8.88671875" style="2"/>
  </cols>
  <sheetData>
    <row r="1" spans="1:17">
      <c r="C1" s="276"/>
      <c r="E1" s="276"/>
      <c r="F1" s="276"/>
      <c r="G1" s="172" t="s">
        <v>595</v>
      </c>
      <c r="H1" s="276"/>
      <c r="I1" s="276"/>
      <c r="J1" s="276"/>
    </row>
    <row r="2" spans="1:17">
      <c r="A2" s="181"/>
      <c r="C2" s="276"/>
      <c r="D2" s="276"/>
      <c r="E2" s="276"/>
      <c r="F2" s="276"/>
      <c r="G2" s="278" t="s">
        <v>596</v>
      </c>
      <c r="H2" s="276"/>
      <c r="I2" s="276"/>
      <c r="J2" s="276"/>
      <c r="L2" s="279"/>
      <c r="O2" s="173" t="s">
        <v>597</v>
      </c>
    </row>
    <row r="3" spans="1:17">
      <c r="A3" s="181"/>
      <c r="C3" s="276"/>
      <c r="D3" s="276"/>
      <c r="E3" s="276"/>
      <c r="F3" s="276"/>
      <c r="G3" s="18" t="str">
        <f>+'Attachment O'!D5</f>
        <v>GridLiance Heartland LLC</v>
      </c>
      <c r="H3" s="276"/>
      <c r="I3" s="276"/>
      <c r="J3" s="276"/>
    </row>
    <row r="4" spans="1:17">
      <c r="A4" s="181"/>
      <c r="C4" s="276"/>
      <c r="D4" s="276"/>
      <c r="E4" s="276"/>
      <c r="F4" s="276"/>
      <c r="G4" s="276"/>
      <c r="H4" s="276"/>
      <c r="I4" s="276"/>
      <c r="J4" s="276"/>
    </row>
    <row r="5" spans="1:17" ht="15" customHeight="1">
      <c r="A5" s="181"/>
      <c r="B5" s="280"/>
      <c r="C5" s="721" t="s">
        <v>598</v>
      </c>
      <c r="D5" s="722"/>
      <c r="E5" s="722"/>
      <c r="F5" s="722"/>
      <c r="G5" s="723"/>
      <c r="H5" s="281" t="s">
        <v>599</v>
      </c>
      <c r="I5" s="281" t="s">
        <v>600</v>
      </c>
      <c r="J5" s="721" t="s">
        <v>601</v>
      </c>
      <c r="K5" s="722"/>
      <c r="L5" s="724" t="s">
        <v>602</v>
      </c>
      <c r="M5" s="725"/>
      <c r="N5" s="725"/>
      <c r="O5" s="725"/>
      <c r="P5" s="726"/>
    </row>
    <row r="6" spans="1:17">
      <c r="A6" s="181"/>
      <c r="B6" s="280"/>
    </row>
    <row r="7" spans="1:17" s="286" customFormat="1" ht="42" customHeight="1">
      <c r="A7" s="282" t="s">
        <v>603</v>
      </c>
      <c r="B7" s="283" t="s">
        <v>604</v>
      </c>
      <c r="C7" s="283" t="s">
        <v>605</v>
      </c>
      <c r="D7" s="283" t="s">
        <v>77</v>
      </c>
      <c r="E7" s="283" t="s">
        <v>606</v>
      </c>
      <c r="F7" s="283" t="s">
        <v>607</v>
      </c>
      <c r="G7" s="284" t="s">
        <v>608</v>
      </c>
      <c r="H7" s="283" t="s">
        <v>609</v>
      </c>
      <c r="I7" s="683" t="s">
        <v>610</v>
      </c>
      <c r="J7" s="283" t="s">
        <v>140</v>
      </c>
      <c r="K7" s="283" t="s">
        <v>611</v>
      </c>
      <c r="L7" s="283" t="s">
        <v>605</v>
      </c>
      <c r="M7" s="283" t="s">
        <v>77</v>
      </c>
      <c r="N7" s="283" t="s">
        <v>606</v>
      </c>
      <c r="O7" s="283" t="s">
        <v>607</v>
      </c>
      <c r="P7" s="283" t="s">
        <v>608</v>
      </c>
      <c r="Q7" s="285"/>
    </row>
    <row r="8" spans="1:17" s="71" customFormat="1">
      <c r="A8" s="181"/>
      <c r="B8" s="287" t="s">
        <v>612</v>
      </c>
      <c r="C8" s="287" t="s">
        <v>613</v>
      </c>
      <c r="D8" s="287" t="s">
        <v>614</v>
      </c>
      <c r="E8" s="283" t="s">
        <v>615</v>
      </c>
      <c r="F8" s="283" t="s">
        <v>616</v>
      </c>
      <c r="G8" s="283" t="s">
        <v>617</v>
      </c>
      <c r="H8" s="283" t="s">
        <v>618</v>
      </c>
      <c r="I8" s="288" t="s">
        <v>619</v>
      </c>
      <c r="J8" s="288" t="s">
        <v>620</v>
      </c>
      <c r="K8" s="288" t="s">
        <v>621</v>
      </c>
      <c r="L8" s="288" t="s">
        <v>622</v>
      </c>
      <c r="M8" s="288" t="s">
        <v>623</v>
      </c>
      <c r="N8" s="288" t="s">
        <v>624</v>
      </c>
      <c r="O8" s="288" t="s">
        <v>625</v>
      </c>
      <c r="P8" s="288" t="s">
        <v>626</v>
      </c>
      <c r="Q8" s="289"/>
    </row>
    <row r="9" spans="1:17" s="71" customFormat="1" ht="29.25" customHeight="1">
      <c r="A9" s="181"/>
      <c r="B9" s="290" t="s">
        <v>627</v>
      </c>
      <c r="C9" s="287" t="s">
        <v>628</v>
      </c>
      <c r="D9" s="287" t="s">
        <v>629</v>
      </c>
      <c r="E9" s="287" t="s">
        <v>630</v>
      </c>
      <c r="F9" s="283" t="s">
        <v>631</v>
      </c>
      <c r="G9" s="287">
        <v>356.1</v>
      </c>
      <c r="H9" s="287" t="s">
        <v>632</v>
      </c>
      <c r="I9" s="287" t="s">
        <v>633</v>
      </c>
      <c r="J9" s="283" t="s">
        <v>634</v>
      </c>
      <c r="K9" s="287" t="s">
        <v>635</v>
      </c>
      <c r="L9" s="287" t="s">
        <v>636</v>
      </c>
      <c r="M9" s="287" t="s">
        <v>637</v>
      </c>
      <c r="N9" s="287" t="s">
        <v>638</v>
      </c>
      <c r="O9" s="283" t="s">
        <v>639</v>
      </c>
      <c r="P9" s="287">
        <v>356.1</v>
      </c>
      <c r="Q9" s="289"/>
    </row>
    <row r="10" spans="1:17">
      <c r="A10" s="181">
        <v>1</v>
      </c>
      <c r="B10" s="291" t="s">
        <v>640</v>
      </c>
      <c r="C10" s="292">
        <v>0</v>
      </c>
      <c r="D10" s="75">
        <v>0</v>
      </c>
      <c r="E10" s="92">
        <v>0</v>
      </c>
      <c r="F10" s="92">
        <v>0</v>
      </c>
      <c r="G10" s="92">
        <v>0</v>
      </c>
      <c r="H10" s="92">
        <v>0</v>
      </c>
      <c r="I10" s="92">
        <v>0</v>
      </c>
      <c r="J10" s="75">
        <v>0</v>
      </c>
      <c r="K10" s="75">
        <v>0</v>
      </c>
      <c r="L10" s="92">
        <v>0</v>
      </c>
      <c r="M10" s="75">
        <v>0</v>
      </c>
      <c r="N10" s="92">
        <v>0</v>
      </c>
      <c r="O10" s="92">
        <v>0</v>
      </c>
      <c r="P10" s="92">
        <v>0</v>
      </c>
    </row>
    <row r="11" spans="1:17">
      <c r="A11" s="181">
        <v>2</v>
      </c>
      <c r="B11" s="291" t="s">
        <v>641</v>
      </c>
      <c r="C11" s="292">
        <v>0</v>
      </c>
      <c r="D11" s="75">
        <v>0</v>
      </c>
      <c r="E11" s="92">
        <v>0</v>
      </c>
      <c r="F11" s="92">
        <v>0</v>
      </c>
      <c r="G11" s="92">
        <v>0</v>
      </c>
      <c r="H11" s="92">
        <v>0</v>
      </c>
      <c r="I11" s="92">
        <v>0</v>
      </c>
      <c r="J11" s="75">
        <v>0</v>
      </c>
      <c r="K11" s="75">
        <v>0</v>
      </c>
      <c r="L11" s="92">
        <v>0</v>
      </c>
      <c r="M11" s="75">
        <v>0</v>
      </c>
      <c r="N11" s="92">
        <v>0</v>
      </c>
      <c r="O11" s="92">
        <v>0</v>
      </c>
      <c r="P11" s="92">
        <v>0</v>
      </c>
    </row>
    <row r="12" spans="1:17">
      <c r="A12" s="181">
        <v>3</v>
      </c>
      <c r="B12" s="276" t="s">
        <v>642</v>
      </c>
      <c r="C12" s="292">
        <v>0</v>
      </c>
      <c r="D12" s="679">
        <v>25678695.34</v>
      </c>
      <c r="E12" s="92">
        <v>0</v>
      </c>
      <c r="F12" s="92">
        <v>0</v>
      </c>
      <c r="G12" s="92">
        <v>0</v>
      </c>
      <c r="H12" s="92">
        <v>0</v>
      </c>
      <c r="I12" s="682">
        <v>0</v>
      </c>
      <c r="J12" s="679">
        <v>305894.11</v>
      </c>
      <c r="K12" s="75">
        <v>2000000</v>
      </c>
      <c r="L12" s="92">
        <v>0</v>
      </c>
      <c r="M12" s="75">
        <v>12566930.83</v>
      </c>
      <c r="N12" s="92">
        <v>0</v>
      </c>
      <c r="O12" s="92">
        <v>0</v>
      </c>
      <c r="P12" s="92">
        <v>0</v>
      </c>
    </row>
    <row r="13" spans="1:17">
      <c r="A13" s="181">
        <v>4</v>
      </c>
      <c r="B13" s="276" t="s">
        <v>643</v>
      </c>
      <c r="C13" s="292">
        <v>0</v>
      </c>
      <c r="D13" s="679">
        <v>25727687.25</v>
      </c>
      <c r="E13" s="92">
        <v>0</v>
      </c>
      <c r="F13" s="92">
        <v>0</v>
      </c>
      <c r="G13" s="92">
        <v>0</v>
      </c>
      <c r="H13" s="92">
        <v>0</v>
      </c>
      <c r="I13" s="682">
        <v>0</v>
      </c>
      <c r="J13" s="679">
        <v>325676.11</v>
      </c>
      <c r="K13" s="75">
        <v>1916666.67</v>
      </c>
      <c r="L13" s="92">
        <v>0</v>
      </c>
      <c r="M13" s="75">
        <v>12607697.539999999</v>
      </c>
      <c r="N13" s="92">
        <v>0</v>
      </c>
      <c r="O13" s="92">
        <v>0</v>
      </c>
      <c r="P13" s="92">
        <v>0</v>
      </c>
    </row>
    <row r="14" spans="1:17">
      <c r="A14" s="181">
        <v>5</v>
      </c>
      <c r="B14" s="276" t="s">
        <v>644</v>
      </c>
      <c r="C14" s="292">
        <v>0</v>
      </c>
      <c r="D14" s="679">
        <v>25743574.84</v>
      </c>
      <c r="E14" s="92">
        <v>0</v>
      </c>
      <c r="F14" s="92">
        <v>0</v>
      </c>
      <c r="G14" s="92">
        <v>0</v>
      </c>
      <c r="H14" s="92">
        <v>0</v>
      </c>
      <c r="I14" s="682">
        <v>0</v>
      </c>
      <c r="J14" s="679">
        <v>325676.11</v>
      </c>
      <c r="K14" s="75">
        <v>1833333.3399999999</v>
      </c>
      <c r="L14" s="92">
        <v>0</v>
      </c>
      <c r="M14" s="75">
        <v>12643870.52</v>
      </c>
      <c r="N14" s="92">
        <v>0</v>
      </c>
      <c r="O14" s="92">
        <v>0</v>
      </c>
      <c r="P14" s="92">
        <v>0</v>
      </c>
    </row>
    <row r="15" spans="1:17">
      <c r="A15" s="181">
        <v>6</v>
      </c>
      <c r="B15" s="276" t="s">
        <v>645</v>
      </c>
      <c r="C15" s="292">
        <v>0</v>
      </c>
      <c r="D15" s="679">
        <v>25713354.02</v>
      </c>
      <c r="E15" s="92">
        <v>0</v>
      </c>
      <c r="F15" s="92">
        <v>0</v>
      </c>
      <c r="G15" s="92">
        <v>0</v>
      </c>
      <c r="H15" s="92">
        <v>0</v>
      </c>
      <c r="I15" s="682">
        <v>0</v>
      </c>
      <c r="J15" s="679">
        <v>325676.11</v>
      </c>
      <c r="K15" s="75">
        <v>1750000.01</v>
      </c>
      <c r="L15" s="92">
        <v>0</v>
      </c>
      <c r="M15" s="75">
        <v>12679978.32</v>
      </c>
      <c r="N15" s="92">
        <v>0</v>
      </c>
      <c r="O15" s="92">
        <v>0</v>
      </c>
      <c r="P15" s="92">
        <v>0</v>
      </c>
    </row>
    <row r="16" spans="1:17">
      <c r="A16" s="181">
        <v>7</v>
      </c>
      <c r="B16" s="276" t="s">
        <v>646</v>
      </c>
      <c r="C16" s="292">
        <v>0</v>
      </c>
      <c r="D16" s="679">
        <v>25775318.050000001</v>
      </c>
      <c r="E16" s="92">
        <v>0</v>
      </c>
      <c r="F16" s="92">
        <v>0</v>
      </c>
      <c r="G16" s="92">
        <v>0</v>
      </c>
      <c r="H16" s="92">
        <v>0</v>
      </c>
      <c r="I16" s="682">
        <v>0</v>
      </c>
      <c r="J16" s="679">
        <v>325676.11</v>
      </c>
      <c r="K16" s="75">
        <v>1684896.6800000002</v>
      </c>
      <c r="L16" s="92">
        <v>0</v>
      </c>
      <c r="M16" s="75">
        <v>12708978.619999999</v>
      </c>
      <c r="N16" s="92">
        <v>0</v>
      </c>
      <c r="O16" s="92">
        <v>0</v>
      </c>
      <c r="P16" s="92">
        <v>0</v>
      </c>
    </row>
    <row r="17" spans="1:17">
      <c r="A17" s="181">
        <v>8</v>
      </c>
      <c r="B17" s="276" t="s">
        <v>647</v>
      </c>
      <c r="C17" s="292">
        <v>0</v>
      </c>
      <c r="D17" s="679">
        <v>25927881.259999998</v>
      </c>
      <c r="E17" s="92">
        <v>0</v>
      </c>
      <c r="F17" s="92">
        <v>0</v>
      </c>
      <c r="G17" s="92">
        <v>0</v>
      </c>
      <c r="H17" s="92">
        <v>0</v>
      </c>
      <c r="I17" s="682">
        <v>0</v>
      </c>
      <c r="J17" s="679">
        <v>328467.11</v>
      </c>
      <c r="K17" s="75">
        <v>1619900.23</v>
      </c>
      <c r="L17" s="92">
        <v>0</v>
      </c>
      <c r="M17" s="75">
        <v>12735563.939999999</v>
      </c>
      <c r="N17" s="92">
        <v>0</v>
      </c>
      <c r="O17" s="92">
        <v>0</v>
      </c>
      <c r="P17" s="92">
        <v>0</v>
      </c>
    </row>
    <row r="18" spans="1:17">
      <c r="A18" s="181">
        <v>9</v>
      </c>
      <c r="B18" s="276" t="s">
        <v>648</v>
      </c>
      <c r="C18" s="292">
        <v>0</v>
      </c>
      <c r="D18" s="679">
        <v>25997406.960000001</v>
      </c>
      <c r="E18" s="92">
        <v>0</v>
      </c>
      <c r="F18" s="92">
        <v>0</v>
      </c>
      <c r="G18" s="92">
        <v>0</v>
      </c>
      <c r="H18" s="92">
        <v>0</v>
      </c>
      <c r="I18" s="682">
        <v>0</v>
      </c>
      <c r="J18" s="679">
        <v>328467.11</v>
      </c>
      <c r="K18" s="75">
        <v>1524891.58</v>
      </c>
      <c r="L18" s="92">
        <v>0</v>
      </c>
      <c r="M18" s="75">
        <v>12754831.449999999</v>
      </c>
      <c r="N18" s="92">
        <v>0</v>
      </c>
      <c r="O18" s="92">
        <v>0</v>
      </c>
      <c r="P18" s="92">
        <v>0</v>
      </c>
    </row>
    <row r="19" spans="1:17">
      <c r="A19" s="181">
        <v>10</v>
      </c>
      <c r="B19" s="276" t="s">
        <v>649</v>
      </c>
      <c r="C19" s="292"/>
      <c r="D19" s="679">
        <v>25999914.210000001</v>
      </c>
      <c r="E19" s="92">
        <v>0</v>
      </c>
      <c r="F19" s="92">
        <v>0</v>
      </c>
      <c r="G19" s="92">
        <v>0</v>
      </c>
      <c r="H19" s="92">
        <v>0</v>
      </c>
      <c r="I19" s="682">
        <v>0</v>
      </c>
      <c r="J19" s="679">
        <v>328467.11</v>
      </c>
      <c r="K19" s="75">
        <v>1430339.17</v>
      </c>
      <c r="L19" s="92">
        <v>0</v>
      </c>
      <c r="M19" s="75">
        <v>12753070.630000001</v>
      </c>
      <c r="N19" s="92">
        <v>0</v>
      </c>
      <c r="O19" s="92">
        <v>0</v>
      </c>
      <c r="P19" s="92">
        <v>0</v>
      </c>
    </row>
    <row r="20" spans="1:17">
      <c r="A20" s="181">
        <v>11</v>
      </c>
      <c r="B20" s="276" t="s">
        <v>650</v>
      </c>
      <c r="C20" s="292">
        <v>0</v>
      </c>
      <c r="D20" s="679">
        <v>25993787.75</v>
      </c>
      <c r="E20" s="92">
        <v>0</v>
      </c>
      <c r="F20" s="92">
        <v>0</v>
      </c>
      <c r="G20" s="92">
        <v>0</v>
      </c>
      <c r="H20" s="92">
        <v>0</v>
      </c>
      <c r="I20" s="682">
        <v>0</v>
      </c>
      <c r="J20" s="679">
        <v>328467.11</v>
      </c>
      <c r="K20" s="75">
        <v>1417086.82</v>
      </c>
      <c r="L20" s="92">
        <v>0</v>
      </c>
      <c r="M20" s="75">
        <v>12551281.439999999</v>
      </c>
      <c r="N20" s="92">
        <v>0</v>
      </c>
      <c r="O20" s="92">
        <v>0</v>
      </c>
      <c r="P20" s="92">
        <v>0</v>
      </c>
    </row>
    <row r="21" spans="1:17">
      <c r="A21" s="181">
        <v>12</v>
      </c>
      <c r="B21" s="276" t="s">
        <v>651</v>
      </c>
      <c r="C21" s="292">
        <v>0</v>
      </c>
      <c r="D21" s="679">
        <v>26498485.649999999</v>
      </c>
      <c r="E21" s="92">
        <v>0</v>
      </c>
      <c r="F21" s="92">
        <v>0</v>
      </c>
      <c r="G21" s="92">
        <v>0</v>
      </c>
      <c r="H21" s="92">
        <v>0</v>
      </c>
      <c r="I21" s="682">
        <v>0</v>
      </c>
      <c r="J21" s="679">
        <v>355879.61</v>
      </c>
      <c r="K21" s="75">
        <v>1359386.47</v>
      </c>
      <c r="L21" s="92">
        <v>0</v>
      </c>
      <c r="M21" s="75">
        <v>12466796.689999999</v>
      </c>
      <c r="N21" s="92">
        <v>0</v>
      </c>
      <c r="O21" s="92">
        <v>0</v>
      </c>
      <c r="P21" s="92">
        <v>0</v>
      </c>
    </row>
    <row r="22" spans="1:17">
      <c r="A22" s="181">
        <v>13</v>
      </c>
      <c r="B22" s="276" t="s">
        <v>652</v>
      </c>
      <c r="C22" s="292">
        <v>0</v>
      </c>
      <c r="D22" s="680">
        <v>26511471.009999998</v>
      </c>
      <c r="E22" s="92">
        <v>0</v>
      </c>
      <c r="F22" s="92">
        <v>0</v>
      </c>
      <c r="G22" s="92">
        <v>0</v>
      </c>
      <c r="H22" s="92">
        <v>0</v>
      </c>
      <c r="I22" s="680">
        <v>139226</v>
      </c>
      <c r="J22" s="679">
        <v>310879.75</v>
      </c>
      <c r="K22" s="679">
        <v>1265247.1200000001</v>
      </c>
      <c r="L22" s="679">
        <v>0</v>
      </c>
      <c r="M22" s="679">
        <v>12267192.01</v>
      </c>
      <c r="N22" s="92">
        <v>0</v>
      </c>
      <c r="O22" s="92">
        <v>0</v>
      </c>
      <c r="P22" s="92">
        <v>0</v>
      </c>
    </row>
    <row r="23" spans="1:17" ht="15.75" thickBot="1">
      <c r="A23" s="181">
        <v>14</v>
      </c>
      <c r="B23" s="293" t="s">
        <v>653</v>
      </c>
      <c r="C23" s="294">
        <f>SUM(C10:C22)/13</f>
        <v>0</v>
      </c>
      <c r="D23" s="90">
        <f t="shared" ref="D23" si="0">SUM(D10:D22)/13</f>
        <v>21966736.641538464</v>
      </c>
      <c r="E23" s="90">
        <f t="shared" ref="E23:P23" si="1">SUM(E10:E22)/13</f>
        <v>0</v>
      </c>
      <c r="F23" s="90">
        <f t="shared" si="1"/>
        <v>0</v>
      </c>
      <c r="G23" s="90">
        <f t="shared" si="1"/>
        <v>0</v>
      </c>
      <c r="H23" s="90">
        <f t="shared" si="1"/>
        <v>0</v>
      </c>
      <c r="I23" s="90">
        <f t="shared" si="1"/>
        <v>10709.692307692309</v>
      </c>
      <c r="J23" s="90">
        <f t="shared" si="1"/>
        <v>276094.33461538458</v>
      </c>
      <c r="K23" s="90">
        <f t="shared" si="1"/>
        <v>1369365.2376923077</v>
      </c>
      <c r="L23" s="90">
        <f t="shared" si="1"/>
        <v>0</v>
      </c>
      <c r="M23" s="90">
        <f t="shared" si="1"/>
        <v>10672014.768461537</v>
      </c>
      <c r="N23" s="90">
        <f t="shared" si="1"/>
        <v>0</v>
      </c>
      <c r="O23" s="90">
        <f t="shared" si="1"/>
        <v>0</v>
      </c>
      <c r="P23" s="90">
        <f t="shared" si="1"/>
        <v>0</v>
      </c>
    </row>
    <row r="24" spans="1:17" ht="15.75" thickTop="1">
      <c r="A24" s="181"/>
      <c r="B24" s="276"/>
      <c r="C24" s="295"/>
      <c r="D24" s="296"/>
      <c r="E24" s="296"/>
      <c r="F24" s="296"/>
      <c r="G24" s="295"/>
      <c r="H24" s="295"/>
      <c r="I24" s="295"/>
    </row>
    <row r="25" spans="1:17">
      <c r="A25" s="181"/>
      <c r="B25" s="297"/>
      <c r="C25" s="724" t="s">
        <v>654</v>
      </c>
      <c r="D25" s="725"/>
      <c r="E25" s="725"/>
      <c r="F25" s="725"/>
      <c r="G25" s="725"/>
      <c r="H25" s="725"/>
      <c r="I25" s="726"/>
    </row>
    <row r="26" spans="1:17" ht="87" customHeight="1">
      <c r="A26" s="181" t="s">
        <v>603</v>
      </c>
      <c r="B26" s="287" t="s">
        <v>604</v>
      </c>
      <c r="C26" s="288" t="s">
        <v>655</v>
      </c>
      <c r="D26" s="288" t="s">
        <v>656</v>
      </c>
      <c r="E26" s="298" t="s">
        <v>429</v>
      </c>
      <c r="F26" s="298" t="s">
        <v>429</v>
      </c>
      <c r="G26" s="298" t="s">
        <v>429</v>
      </c>
      <c r="H26" s="298" t="s">
        <v>429</v>
      </c>
      <c r="I26" s="288" t="s">
        <v>657</v>
      </c>
    </row>
    <row r="27" spans="1:17" s="71" customFormat="1">
      <c r="A27" s="181"/>
      <c r="B27" s="287" t="s">
        <v>612</v>
      </c>
      <c r="C27" s="288" t="s">
        <v>613</v>
      </c>
      <c r="D27" s="288" t="s">
        <v>614</v>
      </c>
      <c r="E27" s="298" t="s">
        <v>615</v>
      </c>
      <c r="F27" s="298" t="s">
        <v>616</v>
      </c>
      <c r="G27" s="298" t="s">
        <v>617</v>
      </c>
      <c r="H27" s="298" t="s">
        <v>618</v>
      </c>
      <c r="I27" s="288" t="s">
        <v>619</v>
      </c>
      <c r="Q27" s="289"/>
    </row>
    <row r="28" spans="1:17" s="71" customFormat="1" ht="63.75" customHeight="1">
      <c r="A28" s="181"/>
      <c r="B28" s="290" t="s">
        <v>627</v>
      </c>
      <c r="C28" s="283" t="s">
        <v>658</v>
      </c>
      <c r="D28" s="288" t="s">
        <v>659</v>
      </c>
      <c r="E28" s="288"/>
      <c r="F28" s="288"/>
      <c r="G28" s="288"/>
      <c r="H28" s="288"/>
      <c r="I28" s="288" t="s">
        <v>660</v>
      </c>
      <c r="Q28" s="289"/>
    </row>
    <row r="29" spans="1:17">
      <c r="A29" s="181">
        <v>15</v>
      </c>
      <c r="B29" s="291" t="s">
        <v>640</v>
      </c>
      <c r="C29" s="292">
        <v>0</v>
      </c>
      <c r="D29" s="292">
        <v>0</v>
      </c>
      <c r="E29" s="299">
        <v>0</v>
      </c>
      <c r="F29" s="299">
        <v>0</v>
      </c>
      <c r="G29" s="299">
        <v>0</v>
      </c>
      <c r="H29" s="299">
        <v>0</v>
      </c>
      <c r="I29" s="292">
        <v>0</v>
      </c>
    </row>
    <row r="30" spans="1:17">
      <c r="A30" s="181">
        <v>16</v>
      </c>
      <c r="B30" s="291" t="s">
        <v>641</v>
      </c>
      <c r="C30" s="292">
        <v>0</v>
      </c>
      <c r="D30" s="292">
        <f t="shared" ref="D30:D41" si="2">+D29</f>
        <v>0</v>
      </c>
      <c r="E30" s="299">
        <v>0</v>
      </c>
      <c r="F30" s="299">
        <v>0</v>
      </c>
      <c r="G30" s="299">
        <v>0</v>
      </c>
      <c r="H30" s="299">
        <v>0</v>
      </c>
      <c r="I30" s="292">
        <v>0</v>
      </c>
    </row>
    <row r="31" spans="1:17">
      <c r="A31" s="181">
        <v>17</v>
      </c>
      <c r="B31" s="276" t="s">
        <v>642</v>
      </c>
      <c r="C31" s="292">
        <v>0</v>
      </c>
      <c r="D31" s="292">
        <f t="shared" si="2"/>
        <v>0</v>
      </c>
      <c r="E31" s="299">
        <v>0</v>
      </c>
      <c r="F31" s="299">
        <v>0</v>
      </c>
      <c r="G31" s="299">
        <v>0</v>
      </c>
      <c r="H31" s="299">
        <v>0</v>
      </c>
      <c r="I31" s="292">
        <v>0</v>
      </c>
    </row>
    <row r="32" spans="1:17">
      <c r="A32" s="181">
        <v>18</v>
      </c>
      <c r="B32" s="276" t="s">
        <v>643</v>
      </c>
      <c r="C32" s="292">
        <v>0</v>
      </c>
      <c r="D32" s="292">
        <f t="shared" si="2"/>
        <v>0</v>
      </c>
      <c r="E32" s="299">
        <v>0</v>
      </c>
      <c r="F32" s="299">
        <v>0</v>
      </c>
      <c r="G32" s="299">
        <v>0</v>
      </c>
      <c r="H32" s="299">
        <v>0</v>
      </c>
      <c r="I32" s="292">
        <v>0</v>
      </c>
    </row>
    <row r="33" spans="1:17">
      <c r="A33" s="181">
        <v>19</v>
      </c>
      <c r="B33" s="276" t="s">
        <v>644</v>
      </c>
      <c r="C33" s="292">
        <v>0</v>
      </c>
      <c r="D33" s="292">
        <f t="shared" si="2"/>
        <v>0</v>
      </c>
      <c r="E33" s="299">
        <v>0</v>
      </c>
      <c r="F33" s="299">
        <v>0</v>
      </c>
      <c r="G33" s="299">
        <v>0</v>
      </c>
      <c r="H33" s="299">
        <v>0</v>
      </c>
      <c r="I33" s="292">
        <v>0</v>
      </c>
    </row>
    <row r="34" spans="1:17">
      <c r="A34" s="181">
        <v>20</v>
      </c>
      <c r="B34" s="276" t="s">
        <v>645</v>
      </c>
      <c r="C34" s="292">
        <v>0</v>
      </c>
      <c r="D34" s="292">
        <f t="shared" si="2"/>
        <v>0</v>
      </c>
      <c r="E34" s="299">
        <v>0</v>
      </c>
      <c r="F34" s="299">
        <v>0</v>
      </c>
      <c r="G34" s="299">
        <v>0</v>
      </c>
      <c r="H34" s="299">
        <v>0</v>
      </c>
      <c r="I34" s="292">
        <v>0</v>
      </c>
    </row>
    <row r="35" spans="1:17">
      <c r="A35" s="181">
        <v>21</v>
      </c>
      <c r="B35" s="276" t="s">
        <v>646</v>
      </c>
      <c r="C35" s="292">
        <v>0</v>
      </c>
      <c r="D35" s="292">
        <f t="shared" si="2"/>
        <v>0</v>
      </c>
      <c r="E35" s="299">
        <v>0</v>
      </c>
      <c r="F35" s="299">
        <v>0</v>
      </c>
      <c r="G35" s="299">
        <v>0</v>
      </c>
      <c r="H35" s="299">
        <v>0</v>
      </c>
      <c r="I35" s="292">
        <v>0</v>
      </c>
    </row>
    <row r="36" spans="1:17">
      <c r="A36" s="181">
        <v>22</v>
      </c>
      <c r="B36" s="276" t="s">
        <v>647</v>
      </c>
      <c r="C36" s="292">
        <v>0</v>
      </c>
      <c r="D36" s="292">
        <f t="shared" si="2"/>
        <v>0</v>
      </c>
      <c r="E36" s="299">
        <v>0</v>
      </c>
      <c r="F36" s="299">
        <v>0</v>
      </c>
      <c r="G36" s="299">
        <v>0</v>
      </c>
      <c r="H36" s="299">
        <v>0</v>
      </c>
      <c r="I36" s="292">
        <v>0</v>
      </c>
    </row>
    <row r="37" spans="1:17">
      <c r="A37" s="181">
        <v>23</v>
      </c>
      <c r="B37" s="276" t="s">
        <v>648</v>
      </c>
      <c r="C37" s="292">
        <v>0</v>
      </c>
      <c r="D37" s="292">
        <f t="shared" si="2"/>
        <v>0</v>
      </c>
      <c r="E37" s="299">
        <v>0</v>
      </c>
      <c r="F37" s="299">
        <v>0</v>
      </c>
      <c r="G37" s="299">
        <v>0</v>
      </c>
      <c r="H37" s="299">
        <v>0</v>
      </c>
      <c r="I37" s="292">
        <v>0</v>
      </c>
    </row>
    <row r="38" spans="1:17">
      <c r="A38" s="181">
        <v>24</v>
      </c>
      <c r="B38" s="276" t="s">
        <v>649</v>
      </c>
      <c r="C38" s="292">
        <v>0</v>
      </c>
      <c r="D38" s="292">
        <f t="shared" si="2"/>
        <v>0</v>
      </c>
      <c r="E38" s="299">
        <v>0</v>
      </c>
      <c r="F38" s="299">
        <v>0</v>
      </c>
      <c r="G38" s="299">
        <v>0</v>
      </c>
      <c r="H38" s="299">
        <v>0</v>
      </c>
      <c r="I38" s="292">
        <v>0</v>
      </c>
    </row>
    <row r="39" spans="1:17">
      <c r="A39" s="181">
        <v>25</v>
      </c>
      <c r="B39" s="276" t="s">
        <v>650</v>
      </c>
      <c r="C39" s="292">
        <v>0</v>
      </c>
      <c r="D39" s="292">
        <f t="shared" si="2"/>
        <v>0</v>
      </c>
      <c r="E39" s="299">
        <v>0</v>
      </c>
      <c r="F39" s="299">
        <v>0</v>
      </c>
      <c r="G39" s="299">
        <v>0</v>
      </c>
      <c r="H39" s="299">
        <v>0</v>
      </c>
      <c r="I39" s="292">
        <v>0</v>
      </c>
    </row>
    <row r="40" spans="1:17">
      <c r="A40" s="181">
        <v>26</v>
      </c>
      <c r="B40" s="276" t="s">
        <v>651</v>
      </c>
      <c r="C40" s="292">
        <v>0</v>
      </c>
      <c r="D40" s="292">
        <f t="shared" si="2"/>
        <v>0</v>
      </c>
      <c r="E40" s="299">
        <v>0</v>
      </c>
      <c r="F40" s="299">
        <v>0</v>
      </c>
      <c r="G40" s="299">
        <v>0</v>
      </c>
      <c r="H40" s="299">
        <v>0</v>
      </c>
      <c r="I40" s="292">
        <v>0</v>
      </c>
    </row>
    <row r="41" spans="1:17">
      <c r="A41" s="181">
        <v>27</v>
      </c>
      <c r="B41" s="276" t="s">
        <v>652</v>
      </c>
      <c r="C41" s="292">
        <v>0</v>
      </c>
      <c r="D41" s="292">
        <f t="shared" si="2"/>
        <v>0</v>
      </c>
      <c r="E41" s="299">
        <v>0</v>
      </c>
      <c r="F41" s="299">
        <v>0</v>
      </c>
      <c r="G41" s="299">
        <v>0</v>
      </c>
      <c r="H41" s="299">
        <v>0</v>
      </c>
      <c r="I41" s="292">
        <v>0</v>
      </c>
    </row>
    <row r="42" spans="1:17" ht="15.75" thickBot="1">
      <c r="A42" s="181">
        <v>28</v>
      </c>
      <c r="B42" s="290" t="s">
        <v>661</v>
      </c>
      <c r="C42" s="90">
        <f t="shared" ref="C42:I42" si="3">SUM(C29:C41)/13</f>
        <v>0</v>
      </c>
      <c r="D42" s="90">
        <f t="shared" si="3"/>
        <v>0</v>
      </c>
      <c r="E42" s="300"/>
      <c r="F42" s="300"/>
      <c r="G42" s="300"/>
      <c r="H42" s="300"/>
      <c r="I42" s="294">
        <f t="shared" si="3"/>
        <v>0</v>
      </c>
    </row>
    <row r="43" spans="1:17" ht="15.75" thickTop="1">
      <c r="A43" s="181"/>
      <c r="B43" s="301"/>
      <c r="E43" s="302"/>
      <c r="F43" s="302"/>
      <c r="G43" s="302"/>
      <c r="H43" s="302"/>
      <c r="I43" s="296"/>
    </row>
    <row r="44" spans="1:17" s="71" customFormat="1">
      <c r="A44" s="181"/>
      <c r="B44" s="15"/>
      <c r="C44" s="303"/>
      <c r="D44" s="303"/>
      <c r="E44" s="303"/>
      <c r="F44" s="303"/>
      <c r="G44" s="303"/>
      <c r="H44" s="2"/>
      <c r="I44" s="2"/>
      <c r="J44" s="2"/>
      <c r="Q44" s="289"/>
    </row>
    <row r="45" spans="1:17" s="71" customFormat="1">
      <c r="A45" s="181"/>
      <c r="B45" s="15"/>
      <c r="C45" s="303"/>
      <c r="D45" s="303"/>
      <c r="E45" s="303"/>
      <c r="F45" s="303"/>
      <c r="G45" s="303"/>
      <c r="H45" s="2"/>
      <c r="I45" s="2"/>
      <c r="J45" s="2"/>
      <c r="Q45" s="289"/>
    </row>
    <row r="46" spans="1:17" s="71" customFormat="1">
      <c r="A46" s="181"/>
      <c r="B46" s="15"/>
      <c r="C46" s="303"/>
      <c r="D46" s="303"/>
      <c r="E46" s="303"/>
      <c r="F46" s="303"/>
      <c r="G46" s="172" t="s">
        <v>595</v>
      </c>
      <c r="H46" s="2"/>
      <c r="I46" s="2"/>
      <c r="J46" s="2"/>
      <c r="K46" s="2"/>
      <c r="L46" s="2"/>
      <c r="O46" s="173" t="s">
        <v>662</v>
      </c>
      <c r="Q46" s="289"/>
    </row>
    <row r="47" spans="1:17" s="71" customFormat="1">
      <c r="A47" s="181"/>
      <c r="B47" s="15"/>
      <c r="C47" s="303"/>
      <c r="D47" s="303"/>
      <c r="E47" s="303"/>
      <c r="F47" s="303"/>
      <c r="G47" s="278" t="s">
        <v>596</v>
      </c>
      <c r="H47" s="2"/>
      <c r="I47" s="2"/>
      <c r="J47" s="2"/>
      <c r="K47" s="2"/>
      <c r="L47" s="2"/>
      <c r="Q47" s="289"/>
    </row>
    <row r="48" spans="1:17" s="71" customFormat="1">
      <c r="A48" s="181"/>
      <c r="B48" s="15"/>
      <c r="C48" s="303"/>
      <c r="D48" s="303"/>
      <c r="E48" s="303"/>
      <c r="F48" s="303"/>
      <c r="G48" s="18" t="str">
        <f>+G3</f>
        <v>GridLiance Heartland LLC</v>
      </c>
      <c r="H48" s="2"/>
      <c r="I48" s="2"/>
      <c r="J48" s="2"/>
      <c r="K48" s="2"/>
      <c r="L48" s="2"/>
      <c r="Q48" s="289"/>
    </row>
    <row r="49" spans="1:17" s="71" customFormat="1">
      <c r="A49" s="181"/>
      <c r="B49" s="15"/>
      <c r="C49" s="303"/>
      <c r="D49" s="303"/>
      <c r="E49" s="303"/>
      <c r="F49" s="303"/>
      <c r="G49" s="303"/>
      <c r="H49" s="2"/>
      <c r="I49" s="2"/>
      <c r="J49" s="2"/>
      <c r="K49" s="2"/>
      <c r="L49" s="2"/>
      <c r="Q49" s="289"/>
    </row>
    <row r="50" spans="1:17" s="71" customFormat="1">
      <c r="A50" s="181"/>
      <c r="B50" s="15" t="s">
        <v>663</v>
      </c>
      <c r="C50" s="303"/>
      <c r="D50" s="303"/>
      <c r="E50" s="303"/>
      <c r="F50" s="303"/>
      <c r="G50" s="303"/>
      <c r="H50" s="2"/>
      <c r="I50" s="2"/>
      <c r="J50" s="2"/>
      <c r="L50" s="2"/>
      <c r="Q50" s="289"/>
    </row>
    <row r="51" spans="1:17" s="71" customFormat="1">
      <c r="A51" s="181" t="s">
        <v>603</v>
      </c>
      <c r="B51" s="15" t="s">
        <v>612</v>
      </c>
      <c r="C51" s="15" t="s">
        <v>613</v>
      </c>
      <c r="D51" s="15" t="s">
        <v>614</v>
      </c>
      <c r="E51" s="15" t="s">
        <v>615</v>
      </c>
      <c r="F51" s="15" t="s">
        <v>616</v>
      </c>
      <c r="G51" s="15" t="s">
        <v>617</v>
      </c>
      <c r="H51" s="15" t="s">
        <v>618</v>
      </c>
      <c r="I51" s="15" t="s">
        <v>619</v>
      </c>
      <c r="J51" s="2"/>
      <c r="K51" s="2"/>
      <c r="L51" s="2"/>
      <c r="Q51" s="289"/>
    </row>
    <row r="52" spans="1:17" s="71" customFormat="1" ht="107.25" customHeight="1">
      <c r="A52" s="181">
        <f>+A42+1</f>
        <v>29</v>
      </c>
      <c r="B52" s="304" t="s">
        <v>664</v>
      </c>
      <c r="C52" s="305"/>
      <c r="D52" s="306" t="s">
        <v>665</v>
      </c>
      <c r="E52" s="306" t="s">
        <v>666</v>
      </c>
      <c r="F52" s="306" t="s">
        <v>667</v>
      </c>
      <c r="G52" s="306" t="s">
        <v>668</v>
      </c>
      <c r="H52" s="307" t="s">
        <v>669</v>
      </c>
      <c r="I52" s="307" t="s">
        <v>670</v>
      </c>
      <c r="J52" s="304"/>
      <c r="K52" s="304"/>
      <c r="L52" s="304"/>
      <c r="Q52" s="289"/>
    </row>
    <row r="53" spans="1:17" s="71" customFormat="1">
      <c r="A53" s="181" t="s">
        <v>257</v>
      </c>
      <c r="B53" s="2"/>
      <c r="C53" s="308" t="s">
        <v>671</v>
      </c>
      <c r="D53" s="309">
        <v>0</v>
      </c>
      <c r="E53" s="309">
        <v>0</v>
      </c>
      <c r="F53" s="309">
        <v>0</v>
      </c>
      <c r="G53" s="309">
        <v>0</v>
      </c>
      <c r="H53" s="309">
        <v>0</v>
      </c>
      <c r="I53" s="310">
        <f t="shared" ref="I53:I58" si="4">+H53*E53*D53*F53*G53</f>
        <v>0</v>
      </c>
      <c r="J53" s="2"/>
      <c r="K53" s="2"/>
      <c r="L53" s="2"/>
      <c r="Q53" s="289"/>
    </row>
    <row r="54" spans="1:17" s="71" customFormat="1">
      <c r="A54" s="181" t="s">
        <v>260</v>
      </c>
      <c r="B54" s="2"/>
      <c r="C54" s="308" t="s">
        <v>672</v>
      </c>
      <c r="D54" s="75">
        <v>0</v>
      </c>
      <c r="E54" s="309">
        <v>0</v>
      </c>
      <c r="F54" s="309">
        <v>0</v>
      </c>
      <c r="G54" s="309">
        <v>0</v>
      </c>
      <c r="H54" s="309">
        <v>0</v>
      </c>
      <c r="I54" s="310">
        <f t="shared" si="4"/>
        <v>0</v>
      </c>
      <c r="J54" s="2"/>
      <c r="K54" s="2"/>
      <c r="L54" s="2"/>
      <c r="Q54" s="289"/>
    </row>
    <row r="55" spans="1:17" s="71" customFormat="1">
      <c r="A55" s="181" t="s">
        <v>673</v>
      </c>
      <c r="B55" s="2"/>
      <c r="C55" s="308" t="s">
        <v>674</v>
      </c>
      <c r="D55" s="75"/>
      <c r="E55" s="309"/>
      <c r="F55" s="311"/>
      <c r="G55" s="311"/>
      <c r="H55" s="309"/>
      <c r="I55" s="310">
        <f t="shared" si="4"/>
        <v>0</v>
      </c>
      <c r="J55" s="2"/>
      <c r="K55" s="2"/>
      <c r="L55" s="2"/>
      <c r="Q55" s="289"/>
    </row>
    <row r="56" spans="1:17" s="71" customFormat="1">
      <c r="A56" s="181" t="s">
        <v>675</v>
      </c>
      <c r="B56" s="2"/>
      <c r="C56" s="308" t="s">
        <v>676</v>
      </c>
      <c r="D56" s="75"/>
      <c r="E56" s="309"/>
      <c r="F56" s="311"/>
      <c r="G56" s="311"/>
      <c r="H56" s="309"/>
      <c r="I56" s="310">
        <f t="shared" si="4"/>
        <v>0</v>
      </c>
      <c r="J56" s="2"/>
      <c r="K56" s="2"/>
      <c r="L56" s="2"/>
      <c r="Q56" s="289"/>
    </row>
    <row r="57" spans="1:17" s="71" customFormat="1">
      <c r="A57" s="181" t="s">
        <v>677</v>
      </c>
      <c r="B57" s="2"/>
      <c r="C57" s="308" t="s">
        <v>678</v>
      </c>
      <c r="D57" s="75"/>
      <c r="E57" s="309"/>
      <c r="F57" s="311"/>
      <c r="G57" s="311"/>
      <c r="H57" s="309"/>
      <c r="I57" s="310">
        <f t="shared" si="4"/>
        <v>0</v>
      </c>
      <c r="J57" s="2"/>
      <c r="K57" s="2"/>
      <c r="L57" s="2"/>
      <c r="Q57" s="289"/>
    </row>
    <row r="58" spans="1:17" s="71" customFormat="1">
      <c r="A58" s="181" t="s">
        <v>679</v>
      </c>
      <c r="B58" s="2"/>
      <c r="C58" s="312" t="s">
        <v>678</v>
      </c>
      <c r="D58" s="313">
        <v>0</v>
      </c>
      <c r="E58" s="314">
        <v>0</v>
      </c>
      <c r="F58" s="315"/>
      <c r="G58" s="315"/>
      <c r="H58" s="314"/>
      <c r="I58" s="316">
        <f t="shared" si="4"/>
        <v>0</v>
      </c>
      <c r="J58" s="2"/>
      <c r="K58" s="2"/>
      <c r="L58" s="2"/>
      <c r="Q58" s="289"/>
    </row>
    <row r="59" spans="1:17" s="71" customFormat="1">
      <c r="A59" s="181">
        <v>31</v>
      </c>
      <c r="B59" s="2"/>
      <c r="C59" s="304" t="s">
        <v>21</v>
      </c>
      <c r="D59" s="4">
        <f>SUM(D53:D58)</f>
        <v>0</v>
      </c>
      <c r="E59" s="169"/>
      <c r="H59" s="169"/>
      <c r="I59" s="310">
        <f>SUM(I53:I58)</f>
        <v>0</v>
      </c>
      <c r="J59" s="2"/>
      <c r="K59" s="2"/>
      <c r="L59" s="2"/>
      <c r="Q59" s="289"/>
    </row>
    <row r="60" spans="1:17" s="71" customFormat="1">
      <c r="A60" s="317"/>
      <c r="B60" s="318"/>
      <c r="C60" s="319"/>
      <c r="D60" s="319"/>
      <c r="E60" s="319"/>
      <c r="F60" s="319"/>
      <c r="G60" s="319"/>
      <c r="H60" s="2"/>
      <c r="I60" s="2"/>
      <c r="J60" s="2"/>
      <c r="K60" s="2"/>
      <c r="Q60" s="289"/>
    </row>
    <row r="61" spans="1:17" s="71" customFormat="1">
      <c r="A61" s="317"/>
      <c r="B61" s="318"/>
      <c r="C61" s="319"/>
      <c r="D61" s="319"/>
      <c r="E61" s="319"/>
      <c r="F61" s="319"/>
      <c r="G61" s="319"/>
      <c r="H61" s="2"/>
      <c r="I61" s="2"/>
      <c r="J61" s="2"/>
      <c r="K61" s="2"/>
      <c r="Q61" s="289"/>
    </row>
    <row r="62" spans="1:17" s="71" customFormat="1">
      <c r="A62" s="317"/>
      <c r="B62" s="318"/>
      <c r="C62" s="319"/>
      <c r="D62" s="319"/>
      <c r="E62" s="319"/>
      <c r="F62" s="319"/>
      <c r="G62" s="319"/>
      <c r="H62" s="2"/>
      <c r="I62" s="2"/>
      <c r="J62" s="2"/>
      <c r="K62" s="2"/>
      <c r="Q62" s="289"/>
    </row>
    <row r="63" spans="1:17">
      <c r="A63" s="181" t="s">
        <v>680</v>
      </c>
    </row>
    <row r="64" spans="1:17" ht="15" customHeight="1">
      <c r="A64" s="181" t="s">
        <v>354</v>
      </c>
      <c r="B64" s="727" t="s">
        <v>681</v>
      </c>
      <c r="C64" s="727"/>
      <c r="D64" s="727"/>
      <c r="E64" s="727"/>
      <c r="F64" s="727"/>
      <c r="G64" s="727"/>
      <c r="H64" s="727"/>
      <c r="I64" s="727"/>
      <c r="J64" s="727"/>
      <c r="K64" s="727"/>
    </row>
    <row r="65" spans="1:14" ht="15" customHeight="1">
      <c r="A65" s="181" t="s">
        <v>356</v>
      </c>
      <c r="B65" s="727" t="s">
        <v>682</v>
      </c>
      <c r="C65" s="727"/>
      <c r="D65" s="727"/>
      <c r="E65" s="727"/>
      <c r="F65" s="727"/>
      <c r="G65" s="727"/>
      <c r="H65" s="727"/>
      <c r="I65" s="727"/>
      <c r="J65" s="727"/>
      <c r="K65" s="727"/>
      <c r="L65" s="279"/>
    </row>
    <row r="66" spans="1:14" ht="15" customHeight="1">
      <c r="A66" s="181" t="s">
        <v>358</v>
      </c>
      <c r="B66" s="719" t="s">
        <v>683</v>
      </c>
      <c r="C66" s="719"/>
      <c r="D66" s="719"/>
      <c r="E66" s="719"/>
      <c r="F66" s="719"/>
      <c r="G66" s="719"/>
      <c r="H66" s="719"/>
      <c r="I66" s="719"/>
      <c r="J66" s="719"/>
      <c r="K66" s="719"/>
      <c r="L66" s="719"/>
      <c r="M66" s="719"/>
      <c r="N66" s="719"/>
    </row>
    <row r="67" spans="1:14">
      <c r="A67" s="181"/>
      <c r="B67" s="719"/>
      <c r="C67" s="719"/>
      <c r="D67" s="719"/>
      <c r="E67" s="719"/>
      <c r="F67" s="719"/>
      <c r="G67" s="719"/>
      <c r="H67" s="719"/>
      <c r="I67" s="719"/>
      <c r="J67" s="719"/>
      <c r="K67" s="719"/>
      <c r="L67" s="719"/>
      <c r="M67" s="719"/>
      <c r="N67" s="719"/>
    </row>
    <row r="68" spans="1:14">
      <c r="A68" s="181" t="s">
        <v>360</v>
      </c>
      <c r="B68" s="2" t="s">
        <v>684</v>
      </c>
    </row>
    <row r="69" spans="1:14" ht="30.75" customHeight="1">
      <c r="A69" s="320" t="s">
        <v>362</v>
      </c>
      <c r="B69" s="706" t="s">
        <v>685</v>
      </c>
      <c r="C69" s="706"/>
      <c r="D69" s="706"/>
      <c r="E69" s="706"/>
      <c r="F69" s="706"/>
      <c r="G69" s="706"/>
      <c r="H69" s="706"/>
      <c r="I69" s="706"/>
      <c r="J69" s="706"/>
      <c r="K69" s="706"/>
      <c r="L69" s="706"/>
      <c r="M69" s="706"/>
      <c r="N69" s="706"/>
    </row>
    <row r="70" spans="1:14" ht="15" customHeight="1">
      <c r="A70" s="181" t="s">
        <v>364</v>
      </c>
      <c r="B70" s="720" t="s">
        <v>686</v>
      </c>
      <c r="C70" s="706"/>
      <c r="D70" s="706"/>
      <c r="E70" s="706"/>
      <c r="F70" s="706"/>
      <c r="G70" s="706"/>
      <c r="H70" s="706"/>
      <c r="I70" s="706"/>
      <c r="J70" s="706"/>
      <c r="K70" s="706"/>
    </row>
    <row r="71" spans="1:14" ht="61.9" customHeight="1">
      <c r="A71" s="320" t="s">
        <v>366</v>
      </c>
      <c r="B71" s="706" t="s">
        <v>687</v>
      </c>
      <c r="C71" s="706"/>
      <c r="D71" s="706"/>
      <c r="E71" s="706"/>
      <c r="F71" s="706"/>
      <c r="G71" s="706"/>
      <c r="H71" s="706"/>
      <c r="I71" s="706"/>
      <c r="J71" s="706"/>
      <c r="K71" s="706"/>
      <c r="L71" s="706"/>
      <c r="M71" s="706"/>
      <c r="N71" s="706"/>
    </row>
    <row r="72" spans="1:14" ht="15" customHeight="1">
      <c r="A72" s="181"/>
      <c r="B72" s="163"/>
      <c r="C72" s="163"/>
      <c r="D72" s="163"/>
      <c r="E72" s="163"/>
      <c r="F72" s="163"/>
      <c r="G72" s="163"/>
      <c r="H72" s="163"/>
      <c r="I72" s="163"/>
      <c r="J72" s="163"/>
      <c r="K72" s="163"/>
    </row>
    <row r="73" spans="1:14">
      <c r="C73" s="163"/>
      <c r="D73" s="163"/>
      <c r="E73" s="163"/>
      <c r="F73" s="163"/>
      <c r="G73" s="163"/>
      <c r="H73" s="163"/>
      <c r="I73" s="163"/>
      <c r="J73" s="163"/>
      <c r="K73" s="163"/>
    </row>
    <row r="74" spans="1:14">
      <c r="C74" s="163"/>
      <c r="D74" s="163"/>
      <c r="E74" s="163"/>
      <c r="F74" s="163"/>
      <c r="G74" s="163"/>
      <c r="H74" s="163"/>
      <c r="I74" s="163"/>
      <c r="J74" s="163"/>
      <c r="K74" s="163"/>
    </row>
  </sheetData>
  <mergeCells count="10">
    <mergeCell ref="B66:N67"/>
    <mergeCell ref="B69:N69"/>
    <mergeCell ref="B70:K70"/>
    <mergeCell ref="B71:N71"/>
    <mergeCell ref="C5:G5"/>
    <mergeCell ref="J5:K5"/>
    <mergeCell ref="L5:P5"/>
    <mergeCell ref="C25:I25"/>
    <mergeCell ref="B64:K64"/>
    <mergeCell ref="B65:K65"/>
  </mergeCells>
  <pageMargins left="0.25" right="0.25" top="0.75" bottom="0.75" header="0.3" footer="0.3"/>
  <pageSetup scale="46" fitToHeight="0" orientation="landscape" r:id="rId1"/>
  <rowBreaks count="1" manualBreakCount="1">
    <brk id="4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D16AB-B469-4C32-801B-78D2CBB6F698}">
  <sheetPr>
    <pageSetUpPr fitToPage="1"/>
  </sheetPr>
  <dimension ref="A1:Q87"/>
  <sheetViews>
    <sheetView view="pageBreakPreview" zoomScale="90" zoomScaleNormal="100" zoomScaleSheetLayoutView="90" workbookViewId="0">
      <pane xSplit="2" ySplit="9" topLeftCell="C52" activePane="bottomRight" state="frozen"/>
      <selection activeCell="U42" sqref="U42"/>
      <selection pane="topRight" activeCell="U42" sqref="U42"/>
      <selection pane="bottomLeft" activeCell="U42" sqref="U42"/>
      <selection pane="bottomRight" activeCell="L33" sqref="L33"/>
    </sheetView>
  </sheetViews>
  <sheetFormatPr defaultColWidth="14" defaultRowHeight="12.75"/>
  <cols>
    <col min="1" max="1" width="7.88671875" style="182" customWidth="1"/>
    <col min="2" max="2" width="21" style="2" customWidth="1"/>
    <col min="3" max="6" width="17.88671875" style="2" customWidth="1"/>
    <col min="7" max="7" width="17.109375" style="2" customWidth="1"/>
    <col min="8" max="12" width="17.88671875" style="2" customWidth="1"/>
    <col min="13" max="13" width="20.6640625" style="2" customWidth="1"/>
    <col min="14" max="14" width="17.88671875" style="2" customWidth="1"/>
    <col min="15" max="15" width="14.21875" style="2" customWidth="1"/>
    <col min="16" max="16384" width="14" style="2"/>
  </cols>
  <sheetData>
    <row r="1" spans="1:15">
      <c r="A1" s="728" t="s">
        <v>688</v>
      </c>
      <c r="B1" s="728"/>
      <c r="C1" s="728"/>
      <c r="D1" s="728"/>
      <c r="E1" s="728"/>
      <c r="F1" s="728"/>
      <c r="G1" s="728"/>
      <c r="H1" s="728"/>
      <c r="I1" s="728"/>
      <c r="J1" s="728"/>
      <c r="K1" s="728"/>
      <c r="L1" s="728"/>
      <c r="M1" s="728"/>
      <c r="N1" s="728"/>
    </row>
    <row r="2" spans="1:15" ht="15" customHeight="1">
      <c r="A2" s="714" t="s">
        <v>689</v>
      </c>
      <c r="B2" s="714"/>
      <c r="C2" s="714"/>
      <c r="D2" s="714"/>
      <c r="E2" s="714"/>
      <c r="F2" s="714"/>
      <c r="G2" s="714"/>
      <c r="H2" s="714"/>
      <c r="I2" s="714"/>
      <c r="J2" s="714"/>
      <c r="K2" s="714"/>
      <c r="L2" s="714"/>
      <c r="M2" s="714"/>
      <c r="N2" s="714"/>
    </row>
    <row r="3" spans="1:15">
      <c r="A3" s="718" t="str">
        <f>+'Attachment O'!D5</f>
        <v>GridLiance Heartland LLC</v>
      </c>
      <c r="B3" s="718"/>
      <c r="C3" s="718"/>
      <c r="D3" s="718"/>
      <c r="E3" s="718"/>
      <c r="F3" s="718"/>
      <c r="G3" s="718"/>
      <c r="H3" s="718"/>
      <c r="I3" s="718"/>
      <c r="J3" s="718"/>
      <c r="K3" s="718"/>
      <c r="L3" s="718"/>
      <c r="M3" s="718"/>
      <c r="N3" s="718"/>
    </row>
    <row r="4" spans="1:15">
      <c r="B4" s="11"/>
    </row>
    <row r="6" spans="1:15" s="323" customFormat="1" ht="85.5" customHeight="1">
      <c r="A6" s="321" t="s">
        <v>527</v>
      </c>
      <c r="B6" s="322" t="s">
        <v>604</v>
      </c>
      <c r="C6" s="322" t="s">
        <v>690</v>
      </c>
      <c r="D6" s="322" t="s">
        <v>691</v>
      </c>
      <c r="E6" s="322" t="s">
        <v>692</v>
      </c>
      <c r="F6" s="322" t="s">
        <v>693</v>
      </c>
      <c r="G6" s="322" t="s">
        <v>694</v>
      </c>
      <c r="H6" s="322" t="s">
        <v>695</v>
      </c>
      <c r="I6" s="322" t="s">
        <v>696</v>
      </c>
      <c r="J6" s="322" t="s">
        <v>697</v>
      </c>
      <c r="K6" s="322" t="s">
        <v>698</v>
      </c>
      <c r="L6" s="322" t="s">
        <v>699</v>
      </c>
      <c r="M6" s="322" t="s">
        <v>700</v>
      </c>
      <c r="N6" s="684" t="s">
        <v>701</v>
      </c>
    </row>
    <row r="7" spans="1:15" ht="42" customHeight="1">
      <c r="B7" s="324" t="s">
        <v>702</v>
      </c>
      <c r="C7" s="325">
        <v>1</v>
      </c>
      <c r="D7" s="325" t="s">
        <v>157</v>
      </c>
      <c r="E7" s="325">
        <v>2</v>
      </c>
      <c r="F7" s="325">
        <v>3</v>
      </c>
      <c r="G7" s="325">
        <v>4</v>
      </c>
      <c r="H7" s="325">
        <v>5</v>
      </c>
      <c r="I7" s="325" t="s">
        <v>168</v>
      </c>
      <c r="J7" s="325">
        <v>7</v>
      </c>
      <c r="K7" s="325" t="s">
        <v>182</v>
      </c>
      <c r="L7" s="325" t="s">
        <v>185</v>
      </c>
      <c r="M7" s="325">
        <v>9</v>
      </c>
      <c r="N7" s="325" t="s">
        <v>154</v>
      </c>
      <c r="O7" s="325"/>
    </row>
    <row r="8" spans="1:15" s="328" customFormat="1">
      <c r="A8" s="182"/>
      <c r="B8" s="324"/>
      <c r="C8" s="325" t="s">
        <v>612</v>
      </c>
      <c r="D8" s="278" t="s">
        <v>613</v>
      </c>
      <c r="E8" s="278" t="s">
        <v>614</v>
      </c>
      <c r="F8" s="326" t="s">
        <v>615</v>
      </c>
      <c r="G8" s="326" t="s">
        <v>616</v>
      </c>
      <c r="H8" s="326" t="s">
        <v>617</v>
      </c>
      <c r="I8" s="326" t="s">
        <v>618</v>
      </c>
      <c r="J8" s="327" t="s">
        <v>619</v>
      </c>
      <c r="K8" s="327" t="s">
        <v>620</v>
      </c>
      <c r="L8" s="15" t="s">
        <v>621</v>
      </c>
      <c r="M8" s="15" t="s">
        <v>622</v>
      </c>
      <c r="N8" s="15" t="s">
        <v>623</v>
      </c>
      <c r="O8" s="15"/>
    </row>
    <row r="9" spans="1:15" ht="34.5" customHeight="1">
      <c r="B9" s="329" t="s">
        <v>703</v>
      </c>
      <c r="C9" s="325" t="s">
        <v>704</v>
      </c>
      <c r="D9" s="325" t="s">
        <v>705</v>
      </c>
      <c r="E9" s="325" t="s">
        <v>706</v>
      </c>
      <c r="F9" s="325" t="s">
        <v>707</v>
      </c>
      <c r="G9" s="324" t="s">
        <v>708</v>
      </c>
      <c r="H9" s="324" t="s">
        <v>708</v>
      </c>
      <c r="I9" s="324" t="s">
        <v>708</v>
      </c>
      <c r="J9" s="325"/>
      <c r="K9" s="325" t="s">
        <v>705</v>
      </c>
      <c r="L9" s="325" t="str">
        <f>+K9</f>
        <v>321.97.b</v>
      </c>
      <c r="M9" s="325" t="s">
        <v>709</v>
      </c>
      <c r="N9" s="324" t="s">
        <v>710</v>
      </c>
      <c r="O9" s="330"/>
    </row>
    <row r="10" spans="1:15">
      <c r="A10" s="182" t="s">
        <v>711</v>
      </c>
      <c r="B10" s="331" t="s">
        <v>641</v>
      </c>
      <c r="C10" s="75">
        <v>1.0000000000005118E-2</v>
      </c>
      <c r="D10" s="75">
        <v>0</v>
      </c>
      <c r="E10" s="75">
        <v>0</v>
      </c>
      <c r="F10" s="75">
        <v>2.9999999999999985E-2</v>
      </c>
      <c r="G10" s="75">
        <v>0</v>
      </c>
      <c r="H10" s="75">
        <v>0</v>
      </c>
      <c r="I10" s="75">
        <v>0</v>
      </c>
      <c r="J10" s="75">
        <v>0</v>
      </c>
      <c r="K10" s="75">
        <v>0</v>
      </c>
      <c r="L10" s="75">
        <v>0</v>
      </c>
      <c r="M10" s="332">
        <v>0</v>
      </c>
      <c r="N10" s="332">
        <v>0</v>
      </c>
    </row>
    <row r="11" spans="1:15">
      <c r="A11" s="182" t="s">
        <v>712</v>
      </c>
      <c r="B11" s="331" t="s">
        <v>642</v>
      </c>
      <c r="C11" s="75">
        <v>0.1</v>
      </c>
      <c r="D11" s="75">
        <v>0</v>
      </c>
      <c r="E11" s="75">
        <v>0</v>
      </c>
      <c r="F11" s="679">
        <v>1032.03</v>
      </c>
      <c r="G11" s="75">
        <v>0</v>
      </c>
      <c r="H11" s="75">
        <v>0</v>
      </c>
      <c r="I11" s="75">
        <v>0</v>
      </c>
      <c r="J11" s="75">
        <v>0</v>
      </c>
      <c r="K11" s="75">
        <v>0</v>
      </c>
      <c r="L11" s="75">
        <v>0</v>
      </c>
      <c r="M11" s="332">
        <v>0</v>
      </c>
      <c r="N11" s="332">
        <v>0</v>
      </c>
    </row>
    <row r="12" spans="1:15">
      <c r="A12" s="182" t="s">
        <v>713</v>
      </c>
      <c r="B12" s="331" t="s">
        <v>714</v>
      </c>
      <c r="C12" s="75">
        <v>266672.96000000008</v>
      </c>
      <c r="D12" s="75">
        <v>0</v>
      </c>
      <c r="E12" s="75">
        <v>0</v>
      </c>
      <c r="F12" s="75">
        <v>213033.95</v>
      </c>
      <c r="G12" s="75">
        <v>0</v>
      </c>
      <c r="H12" s="75">
        <v>0</v>
      </c>
      <c r="I12" s="75">
        <v>0</v>
      </c>
      <c r="J12" s="75">
        <v>0</v>
      </c>
      <c r="K12" s="75">
        <v>0</v>
      </c>
      <c r="L12" s="75">
        <v>0</v>
      </c>
      <c r="M12" s="332">
        <v>40766.71</v>
      </c>
      <c r="N12" s="332">
        <v>0</v>
      </c>
    </row>
    <row r="13" spans="1:15">
      <c r="A13" s="182" t="s">
        <v>715</v>
      </c>
      <c r="B13" s="331" t="s">
        <v>644</v>
      </c>
      <c r="C13" s="75">
        <v>338187.36000000004</v>
      </c>
      <c r="D13" s="75">
        <v>0</v>
      </c>
      <c r="E13" s="75">
        <v>0</v>
      </c>
      <c r="F13" s="75">
        <v>-9792.8700000000117</v>
      </c>
      <c r="G13" s="75">
        <v>0</v>
      </c>
      <c r="H13" s="75">
        <v>0</v>
      </c>
      <c r="I13" s="75">
        <v>0</v>
      </c>
      <c r="J13" s="75">
        <v>0</v>
      </c>
      <c r="K13" s="75">
        <v>0</v>
      </c>
      <c r="L13" s="75">
        <v>0</v>
      </c>
      <c r="M13" s="332">
        <v>40821.550000000003</v>
      </c>
      <c r="N13" s="332">
        <v>0</v>
      </c>
    </row>
    <row r="14" spans="1:15">
      <c r="A14" s="182" t="s">
        <v>485</v>
      </c>
      <c r="B14" s="331" t="s">
        <v>645</v>
      </c>
      <c r="C14" s="75">
        <v>435622.45</v>
      </c>
      <c r="D14" s="75">
        <v>0</v>
      </c>
      <c r="E14" s="75">
        <v>0</v>
      </c>
      <c r="F14" s="75">
        <v>383491.12000000005</v>
      </c>
      <c r="G14" s="75">
        <v>0</v>
      </c>
      <c r="H14" s="75">
        <v>0</v>
      </c>
      <c r="I14" s="75">
        <v>0</v>
      </c>
      <c r="J14" s="75">
        <v>0</v>
      </c>
      <c r="K14" s="75">
        <v>0</v>
      </c>
      <c r="L14" s="75">
        <v>0</v>
      </c>
      <c r="M14" s="332">
        <v>40809.43</v>
      </c>
      <c r="N14" s="332">
        <v>0</v>
      </c>
    </row>
    <row r="15" spans="1:15">
      <c r="A15" s="182" t="s">
        <v>488</v>
      </c>
      <c r="B15" s="331" t="s">
        <v>646</v>
      </c>
      <c r="C15" s="75">
        <v>396613.86</v>
      </c>
      <c r="D15" s="75">
        <v>0</v>
      </c>
      <c r="E15" s="75">
        <v>0</v>
      </c>
      <c r="F15" s="75">
        <v>451698.19</v>
      </c>
      <c r="G15" s="75">
        <v>0</v>
      </c>
      <c r="H15" s="75">
        <v>0</v>
      </c>
      <c r="I15" s="75">
        <v>0</v>
      </c>
      <c r="J15" s="75">
        <v>0</v>
      </c>
      <c r="K15" s="75">
        <v>0</v>
      </c>
      <c r="L15" s="75">
        <v>0</v>
      </c>
      <c r="M15" s="332">
        <v>40836.26</v>
      </c>
      <c r="N15" s="332">
        <v>0</v>
      </c>
    </row>
    <row r="16" spans="1:15">
      <c r="A16" s="182" t="s">
        <v>492</v>
      </c>
      <c r="B16" s="331" t="s">
        <v>647</v>
      </c>
      <c r="C16" s="75">
        <v>484575.94</v>
      </c>
      <c r="D16" s="75">
        <v>0</v>
      </c>
      <c r="E16" s="75">
        <v>0</v>
      </c>
      <c r="F16" s="75">
        <v>610601.47</v>
      </c>
      <c r="G16" s="75">
        <v>0</v>
      </c>
      <c r="H16" s="75">
        <v>0</v>
      </c>
      <c r="I16" s="75">
        <v>0</v>
      </c>
      <c r="J16" s="75">
        <v>0</v>
      </c>
      <c r="K16" s="75">
        <v>0</v>
      </c>
      <c r="L16" s="75">
        <v>0</v>
      </c>
      <c r="M16" s="332">
        <v>41017.58</v>
      </c>
      <c r="N16" s="332">
        <v>6800</v>
      </c>
    </row>
    <row r="17" spans="1:17">
      <c r="A17" s="182" t="s">
        <v>495</v>
      </c>
      <c r="B17" s="331" t="s">
        <v>716</v>
      </c>
      <c r="C17" s="75">
        <v>476525.64</v>
      </c>
      <c r="D17" s="75">
        <v>0</v>
      </c>
      <c r="E17" s="75">
        <v>0</v>
      </c>
      <c r="F17" s="75">
        <v>140794.28999999998</v>
      </c>
      <c r="G17" s="75">
        <v>0</v>
      </c>
      <c r="H17" s="75">
        <v>0</v>
      </c>
      <c r="I17" s="75">
        <v>0</v>
      </c>
      <c r="J17" s="75">
        <v>0</v>
      </c>
      <c r="K17" s="75">
        <v>0</v>
      </c>
      <c r="L17" s="75">
        <v>0</v>
      </c>
      <c r="M17" s="332">
        <v>41205.29</v>
      </c>
      <c r="N17" s="332">
        <v>129383.54999999999</v>
      </c>
    </row>
    <row r="18" spans="1:17">
      <c r="A18" s="182" t="s">
        <v>498</v>
      </c>
      <c r="B18" s="331" t="s">
        <v>649</v>
      </c>
      <c r="C18" s="75">
        <v>156131.23000000001</v>
      </c>
      <c r="D18" s="75">
        <v>0</v>
      </c>
      <c r="E18" s="75">
        <v>0</v>
      </c>
      <c r="F18" s="75">
        <v>321535.96000000002</v>
      </c>
      <c r="G18" s="75">
        <v>0</v>
      </c>
      <c r="H18" s="75">
        <v>0</v>
      </c>
      <c r="I18" s="75">
        <v>0</v>
      </c>
      <c r="J18" s="75">
        <v>0</v>
      </c>
      <c r="K18" s="75">
        <v>0</v>
      </c>
      <c r="L18" s="75">
        <v>0</v>
      </c>
      <c r="M18" s="332">
        <v>41266.18</v>
      </c>
      <c r="N18" s="332">
        <v>614198.40000000014</v>
      </c>
    </row>
    <row r="19" spans="1:17">
      <c r="A19" s="182" t="s">
        <v>502</v>
      </c>
      <c r="B19" s="331" t="s">
        <v>650</v>
      </c>
      <c r="C19" s="75">
        <v>491882.66</v>
      </c>
      <c r="D19" s="75">
        <v>0</v>
      </c>
      <c r="E19" s="75">
        <v>0</v>
      </c>
      <c r="F19" s="75">
        <v>315296.13999999996</v>
      </c>
      <c r="G19" s="75">
        <v>0</v>
      </c>
      <c r="H19" s="75">
        <v>0</v>
      </c>
      <c r="I19" s="75">
        <v>0</v>
      </c>
      <c r="J19" s="75">
        <v>0</v>
      </c>
      <c r="K19" s="75">
        <v>0</v>
      </c>
      <c r="L19" s="75">
        <v>0</v>
      </c>
      <c r="M19" s="332">
        <v>42699.61</v>
      </c>
      <c r="N19" s="332">
        <v>184959.96999999997</v>
      </c>
    </row>
    <row r="20" spans="1:17">
      <c r="A20" s="182" t="s">
        <v>505</v>
      </c>
      <c r="B20" s="331" t="s">
        <v>651</v>
      </c>
      <c r="C20" s="75">
        <v>923061.74000000011</v>
      </c>
      <c r="D20" s="75">
        <v>0</v>
      </c>
      <c r="E20" s="75">
        <v>0</v>
      </c>
      <c r="F20" s="75">
        <v>304969.64999999997</v>
      </c>
      <c r="G20" s="75">
        <v>0</v>
      </c>
      <c r="H20" s="75">
        <v>0</v>
      </c>
      <c r="I20" s="75">
        <v>0</v>
      </c>
      <c r="J20" s="75">
        <v>0</v>
      </c>
      <c r="K20" s="75">
        <v>0</v>
      </c>
      <c r="L20" s="75">
        <v>0</v>
      </c>
      <c r="M20" s="332">
        <v>43140.18</v>
      </c>
      <c r="N20" s="332">
        <v>131009.99</v>
      </c>
    </row>
    <row r="21" spans="1:17">
      <c r="A21" s="182" t="s">
        <v>508</v>
      </c>
      <c r="B21" s="331" t="s">
        <v>717</v>
      </c>
      <c r="C21" s="679">
        <v>601797.30000000005</v>
      </c>
      <c r="D21" s="679">
        <v>0</v>
      </c>
      <c r="E21" s="679">
        <v>0</v>
      </c>
      <c r="F21" s="679">
        <v>386244.30999999994</v>
      </c>
      <c r="G21" s="679">
        <v>0</v>
      </c>
      <c r="H21" s="679">
        <v>0</v>
      </c>
      <c r="I21" s="679">
        <v>0</v>
      </c>
      <c r="J21" s="679">
        <v>0</v>
      </c>
      <c r="K21" s="679">
        <v>0</v>
      </c>
      <c r="L21" s="679">
        <v>0</v>
      </c>
      <c r="M21" s="332">
        <v>43605.83</v>
      </c>
      <c r="N21" s="332">
        <v>36107.43</v>
      </c>
    </row>
    <row r="22" spans="1:17">
      <c r="A22" s="182" t="s">
        <v>511</v>
      </c>
      <c r="B22" s="333" t="s">
        <v>21</v>
      </c>
      <c r="C22" s="334">
        <f>SUM(C10:C21)</f>
        <v>4571071.2500000009</v>
      </c>
      <c r="D22" s="334">
        <f>SUM(D10:D21)</f>
        <v>0</v>
      </c>
      <c r="E22" s="334">
        <f>SUM(E10:E21)</f>
        <v>0</v>
      </c>
      <c r="F22" s="334">
        <f t="shared" ref="F22:N22" si="0">SUM(F10:F21)</f>
        <v>3118904.27</v>
      </c>
      <c r="G22" s="334">
        <f>SUM(G10:G21)</f>
        <v>0</v>
      </c>
      <c r="H22" s="334">
        <f t="shared" si="0"/>
        <v>0</v>
      </c>
      <c r="I22" s="334">
        <f t="shared" si="0"/>
        <v>0</v>
      </c>
      <c r="J22" s="334">
        <f t="shared" si="0"/>
        <v>0</v>
      </c>
      <c r="K22" s="334">
        <f t="shared" si="0"/>
        <v>0</v>
      </c>
      <c r="L22" s="334">
        <f t="shared" si="0"/>
        <v>0</v>
      </c>
      <c r="M22" s="334">
        <f t="shared" si="0"/>
        <v>416168.62000000005</v>
      </c>
      <c r="N22" s="334">
        <f t="shared" si="0"/>
        <v>1102459.3400000001</v>
      </c>
    </row>
    <row r="23" spans="1:17">
      <c r="B23" s="331"/>
      <c r="C23" s="331"/>
      <c r="D23" s="331"/>
      <c r="E23" s="331"/>
      <c r="F23" s="331"/>
      <c r="G23" s="331"/>
      <c r="H23" s="331"/>
      <c r="I23" s="331"/>
      <c r="J23" s="331"/>
      <c r="N23" s="331"/>
      <c r="O23" s="335"/>
    </row>
    <row r="24" spans="1:17">
      <c r="B24" s="331"/>
      <c r="C24" s="331"/>
      <c r="D24" s="331"/>
      <c r="E24" s="331"/>
      <c r="F24" s="331"/>
      <c r="G24" s="331"/>
      <c r="H24" s="331"/>
      <c r="I24" s="331"/>
      <c r="J24" s="331"/>
      <c r="N24" s="331"/>
      <c r="O24" s="335"/>
    </row>
    <row r="25" spans="1:17" ht="87.75" customHeight="1">
      <c r="C25" s="322" t="s">
        <v>718</v>
      </c>
      <c r="D25" s="323" t="s">
        <v>719</v>
      </c>
      <c r="E25" s="322" t="s">
        <v>720</v>
      </c>
      <c r="F25" s="323" t="s">
        <v>721</v>
      </c>
      <c r="G25" s="322" t="s">
        <v>722</v>
      </c>
      <c r="H25" s="322" t="s">
        <v>723</v>
      </c>
      <c r="I25" s="322" t="s">
        <v>724</v>
      </c>
      <c r="J25" s="322" t="s">
        <v>725</v>
      </c>
      <c r="K25" s="322" t="s">
        <v>726</v>
      </c>
      <c r="L25" s="322" t="s">
        <v>727</v>
      </c>
      <c r="M25" s="322" t="s">
        <v>235</v>
      </c>
      <c r="N25" s="322" t="s">
        <v>728</v>
      </c>
    </row>
    <row r="26" spans="1:17" ht="48.75" customHeight="1">
      <c r="B26" s="336" t="s">
        <v>729</v>
      </c>
      <c r="C26" s="325">
        <v>10</v>
      </c>
      <c r="D26" s="182" t="s">
        <v>198</v>
      </c>
      <c r="E26" s="325">
        <v>13</v>
      </c>
      <c r="F26" s="325">
        <v>14</v>
      </c>
      <c r="G26" s="325">
        <v>16</v>
      </c>
      <c r="H26" s="325">
        <v>17</v>
      </c>
      <c r="I26" s="325">
        <v>18</v>
      </c>
      <c r="J26" s="325">
        <v>19</v>
      </c>
      <c r="K26" s="324">
        <v>24</v>
      </c>
      <c r="L26" s="325" t="s">
        <v>231</v>
      </c>
      <c r="M26" s="325" t="s">
        <v>234</v>
      </c>
      <c r="N26" s="325">
        <v>11</v>
      </c>
    </row>
    <row r="27" spans="1:17" s="328" customFormat="1">
      <c r="A27" s="182"/>
      <c r="B27" s="324"/>
      <c r="C27" s="325" t="s">
        <v>612</v>
      </c>
      <c r="D27" s="278" t="s">
        <v>613</v>
      </c>
      <c r="E27" s="278" t="s">
        <v>614</v>
      </c>
      <c r="F27" s="326" t="s">
        <v>615</v>
      </c>
      <c r="G27" s="326" t="s">
        <v>616</v>
      </c>
      <c r="H27" s="326" t="s">
        <v>617</v>
      </c>
      <c r="I27" s="326" t="s">
        <v>618</v>
      </c>
      <c r="J27" s="327" t="s">
        <v>619</v>
      </c>
      <c r="K27" s="327" t="s">
        <v>620</v>
      </c>
      <c r="L27" s="15" t="s">
        <v>621</v>
      </c>
      <c r="M27" s="15" t="s">
        <v>622</v>
      </c>
      <c r="N27" s="15" t="s">
        <v>623</v>
      </c>
    </row>
    <row r="28" spans="1:17" ht="33.75" customHeight="1">
      <c r="B28" s="329" t="s">
        <v>703</v>
      </c>
      <c r="C28" s="325" t="s">
        <v>730</v>
      </c>
      <c r="D28" s="324" t="s">
        <v>731</v>
      </c>
      <c r="E28" s="325" t="s">
        <v>732</v>
      </c>
      <c r="F28" s="325" t="str">
        <f>+E28</f>
        <v>263.i</v>
      </c>
      <c r="G28" s="325" t="str">
        <f>+F28</f>
        <v>263.i</v>
      </c>
      <c r="H28" s="325" t="str">
        <f>+G28</f>
        <v>263.i</v>
      </c>
      <c r="I28" s="325" t="str">
        <f>+H28</f>
        <v>263.i</v>
      </c>
      <c r="J28" s="325"/>
      <c r="K28" s="325" t="s">
        <v>733</v>
      </c>
      <c r="L28" s="325"/>
      <c r="M28" s="325"/>
      <c r="N28" s="325" t="s">
        <v>734</v>
      </c>
    </row>
    <row r="29" spans="1:17">
      <c r="A29" s="182" t="s">
        <v>514</v>
      </c>
      <c r="B29" s="331" t="s">
        <v>641</v>
      </c>
      <c r="C29" s="75">
        <v>0</v>
      </c>
      <c r="D29" s="337">
        <v>0</v>
      </c>
      <c r="E29" s="337">
        <v>0</v>
      </c>
      <c r="F29" s="337">
        <v>0</v>
      </c>
      <c r="G29" s="679"/>
      <c r="H29" s="337">
        <v>0</v>
      </c>
      <c r="I29" s="679">
        <v>-0.01</v>
      </c>
      <c r="J29" s="337">
        <v>0</v>
      </c>
      <c r="K29" s="337">
        <v>0</v>
      </c>
      <c r="L29" s="337">
        <v>0</v>
      </c>
      <c r="M29" s="679">
        <f>1302/12</f>
        <v>108.5</v>
      </c>
      <c r="N29" s="337">
        <v>0</v>
      </c>
    </row>
    <row r="30" spans="1:17">
      <c r="A30" s="182" t="s">
        <v>735</v>
      </c>
      <c r="B30" s="331" t="s">
        <v>642</v>
      </c>
      <c r="C30" s="75">
        <v>0</v>
      </c>
      <c r="D30" s="337">
        <v>0</v>
      </c>
      <c r="E30" s="337">
        <v>0</v>
      </c>
      <c r="F30" s="337">
        <v>0</v>
      </c>
      <c r="G30" s="679"/>
      <c r="H30" s="337">
        <v>0</v>
      </c>
      <c r="I30" s="679">
        <v>0</v>
      </c>
      <c r="J30" s="337">
        <v>0</v>
      </c>
      <c r="K30" s="337">
        <v>0</v>
      </c>
      <c r="L30" s="337">
        <v>0</v>
      </c>
      <c r="M30" s="679">
        <f t="shared" ref="M30:M40" si="1">M29</f>
        <v>108.5</v>
      </c>
      <c r="N30" s="337">
        <v>0</v>
      </c>
      <c r="Q30" s="338"/>
    </row>
    <row r="31" spans="1:17">
      <c r="A31" s="182" t="s">
        <v>579</v>
      </c>
      <c r="B31" s="331" t="s">
        <v>714</v>
      </c>
      <c r="C31" s="75">
        <v>0</v>
      </c>
      <c r="D31" s="337">
        <v>0</v>
      </c>
      <c r="E31" s="337">
        <v>0</v>
      </c>
      <c r="F31" s="337">
        <v>0</v>
      </c>
      <c r="G31" s="679"/>
      <c r="H31" s="337">
        <v>0</v>
      </c>
      <c r="I31" s="679">
        <v>0</v>
      </c>
      <c r="J31" s="337">
        <v>0</v>
      </c>
      <c r="K31" s="337">
        <v>0</v>
      </c>
      <c r="L31" s="337">
        <v>0</v>
      </c>
      <c r="M31" s="679">
        <f t="shared" si="1"/>
        <v>108.5</v>
      </c>
      <c r="N31" s="337">
        <v>0</v>
      </c>
    </row>
    <row r="32" spans="1:17">
      <c r="A32" s="182" t="s">
        <v>736</v>
      </c>
      <c r="B32" s="331" t="s">
        <v>644</v>
      </c>
      <c r="C32" s="75">
        <v>0</v>
      </c>
      <c r="D32" s="337">
        <v>0</v>
      </c>
      <c r="E32" s="337">
        <v>0</v>
      </c>
      <c r="F32" s="337">
        <v>0</v>
      </c>
      <c r="G32" s="679"/>
      <c r="H32" s="337">
        <v>0</v>
      </c>
      <c r="I32" s="679">
        <v>2.0300000000000002</v>
      </c>
      <c r="J32" s="337">
        <v>0</v>
      </c>
      <c r="K32" s="337">
        <v>0</v>
      </c>
      <c r="L32" s="337">
        <v>0</v>
      </c>
      <c r="M32" s="679">
        <f t="shared" si="1"/>
        <v>108.5</v>
      </c>
      <c r="N32" s="337">
        <v>0</v>
      </c>
    </row>
    <row r="33" spans="1:15">
      <c r="A33" s="182" t="s">
        <v>737</v>
      </c>
      <c r="B33" s="331" t="s">
        <v>645</v>
      </c>
      <c r="C33" s="75">
        <v>0</v>
      </c>
      <c r="D33" s="337">
        <v>0</v>
      </c>
      <c r="E33" s="337">
        <v>0</v>
      </c>
      <c r="F33" s="337">
        <v>0</v>
      </c>
      <c r="G33" s="679"/>
      <c r="H33" s="337">
        <v>0</v>
      </c>
      <c r="I33" s="679">
        <v>-2.0300000000000002</v>
      </c>
      <c r="J33" s="337">
        <v>0</v>
      </c>
      <c r="K33" s="337">
        <v>0</v>
      </c>
      <c r="L33" s="337">
        <v>0</v>
      </c>
      <c r="M33" s="679">
        <f t="shared" si="1"/>
        <v>108.5</v>
      </c>
      <c r="N33" s="337">
        <v>0</v>
      </c>
    </row>
    <row r="34" spans="1:15">
      <c r="A34" s="182" t="s">
        <v>738</v>
      </c>
      <c r="B34" s="331" t="s">
        <v>646</v>
      </c>
      <c r="C34" s="75">
        <v>0</v>
      </c>
      <c r="D34" s="337">
        <v>0</v>
      </c>
      <c r="E34" s="337">
        <v>0</v>
      </c>
      <c r="F34" s="337">
        <v>0</v>
      </c>
      <c r="G34" s="679"/>
      <c r="H34" s="337">
        <v>0</v>
      </c>
      <c r="I34" s="679">
        <v>2.1</v>
      </c>
      <c r="J34" s="337">
        <v>0</v>
      </c>
      <c r="K34" s="337">
        <v>0</v>
      </c>
      <c r="L34" s="337">
        <v>0</v>
      </c>
      <c r="M34" s="679">
        <f t="shared" si="1"/>
        <v>108.5</v>
      </c>
      <c r="N34" s="337">
        <v>0</v>
      </c>
    </row>
    <row r="35" spans="1:15">
      <c r="A35" s="182" t="s">
        <v>739</v>
      </c>
      <c r="B35" s="331" t="s">
        <v>647</v>
      </c>
      <c r="C35" s="75">
        <v>0</v>
      </c>
      <c r="D35" s="337">
        <v>0</v>
      </c>
      <c r="E35" s="337">
        <v>0</v>
      </c>
      <c r="F35" s="337">
        <v>0</v>
      </c>
      <c r="G35" s="679"/>
      <c r="H35" s="337">
        <v>0</v>
      </c>
      <c r="I35" s="679">
        <v>0</v>
      </c>
      <c r="J35" s="337">
        <v>0</v>
      </c>
      <c r="K35" s="337">
        <v>0</v>
      </c>
      <c r="L35" s="337">
        <v>0</v>
      </c>
      <c r="M35" s="679">
        <f t="shared" si="1"/>
        <v>108.5</v>
      </c>
      <c r="N35" s="337">
        <v>0</v>
      </c>
    </row>
    <row r="36" spans="1:15">
      <c r="A36" s="182" t="s">
        <v>740</v>
      </c>
      <c r="B36" s="331" t="s">
        <v>716</v>
      </c>
      <c r="C36" s="75">
        <v>0</v>
      </c>
      <c r="D36" s="337">
        <v>0</v>
      </c>
      <c r="E36" s="337">
        <v>0</v>
      </c>
      <c r="F36" s="337">
        <v>0</v>
      </c>
      <c r="G36" s="679"/>
      <c r="H36" s="337">
        <v>0</v>
      </c>
      <c r="I36" s="679">
        <v>0</v>
      </c>
      <c r="J36" s="337">
        <v>0</v>
      </c>
      <c r="K36" s="337">
        <v>0</v>
      </c>
      <c r="L36" s="337">
        <v>0</v>
      </c>
      <c r="M36" s="679">
        <f t="shared" si="1"/>
        <v>108.5</v>
      </c>
      <c r="N36" s="337">
        <v>0</v>
      </c>
    </row>
    <row r="37" spans="1:15">
      <c r="A37" s="182" t="s">
        <v>741</v>
      </c>
      <c r="B37" s="331" t="s">
        <v>649</v>
      </c>
      <c r="C37" s="75">
        <v>0</v>
      </c>
      <c r="D37" s="337">
        <v>0</v>
      </c>
      <c r="E37" s="337">
        <v>0</v>
      </c>
      <c r="F37" s="337">
        <v>0</v>
      </c>
      <c r="G37" s="679"/>
      <c r="H37" s="337">
        <v>0</v>
      </c>
      <c r="I37" s="679">
        <v>377.24</v>
      </c>
      <c r="J37" s="337">
        <v>0</v>
      </c>
      <c r="K37" s="337">
        <v>0</v>
      </c>
      <c r="L37" s="337">
        <v>0</v>
      </c>
      <c r="M37" s="679">
        <f t="shared" si="1"/>
        <v>108.5</v>
      </c>
      <c r="N37" s="337">
        <v>0</v>
      </c>
    </row>
    <row r="38" spans="1:15">
      <c r="A38" s="182" t="s">
        <v>742</v>
      </c>
      <c r="B38" s="331" t="s">
        <v>650</v>
      </c>
      <c r="C38" s="75">
        <v>0</v>
      </c>
      <c r="D38" s="337">
        <v>0</v>
      </c>
      <c r="E38" s="337">
        <v>0</v>
      </c>
      <c r="F38" s="337">
        <v>0</v>
      </c>
      <c r="G38" s="679"/>
      <c r="H38" s="337">
        <v>0</v>
      </c>
      <c r="I38" s="679">
        <v>728.21</v>
      </c>
      <c r="J38" s="337">
        <v>0</v>
      </c>
      <c r="K38" s="337">
        <v>0</v>
      </c>
      <c r="L38" s="337">
        <v>0</v>
      </c>
      <c r="M38" s="679">
        <f t="shared" si="1"/>
        <v>108.5</v>
      </c>
      <c r="N38" s="337">
        <v>0</v>
      </c>
    </row>
    <row r="39" spans="1:15">
      <c r="A39" s="182" t="s">
        <v>743</v>
      </c>
      <c r="B39" s="331" t="s">
        <v>651</v>
      </c>
      <c r="C39" s="75">
        <v>0</v>
      </c>
      <c r="D39" s="337">
        <v>0</v>
      </c>
      <c r="E39" s="337">
        <v>0</v>
      </c>
      <c r="F39" s="337">
        <v>0</v>
      </c>
      <c r="G39" s="679"/>
      <c r="H39" s="337">
        <v>0</v>
      </c>
      <c r="I39" s="679">
        <v>1724.51</v>
      </c>
      <c r="J39" s="337">
        <v>0</v>
      </c>
      <c r="K39" s="337">
        <v>0</v>
      </c>
      <c r="L39" s="337">
        <v>0</v>
      </c>
      <c r="M39" s="679">
        <f t="shared" si="1"/>
        <v>108.5</v>
      </c>
      <c r="N39" s="337">
        <v>0</v>
      </c>
    </row>
    <row r="40" spans="1:15">
      <c r="A40" s="182" t="s">
        <v>744</v>
      </c>
      <c r="B40" s="331" t="s">
        <v>717</v>
      </c>
      <c r="C40" s="75">
        <v>0</v>
      </c>
      <c r="D40" s="337">
        <v>0</v>
      </c>
      <c r="E40" s="337">
        <v>0</v>
      </c>
      <c r="F40" s="337">
        <v>0</v>
      </c>
      <c r="G40" s="679"/>
      <c r="H40" s="337">
        <v>0</v>
      </c>
      <c r="I40" s="679">
        <v>61.550000000000004</v>
      </c>
      <c r="J40" s="337">
        <v>0</v>
      </c>
      <c r="K40" s="337">
        <v>0</v>
      </c>
      <c r="L40" s="337">
        <v>0</v>
      </c>
      <c r="M40" s="679">
        <f t="shared" si="1"/>
        <v>108.5</v>
      </c>
      <c r="N40" s="337">
        <v>0</v>
      </c>
    </row>
    <row r="41" spans="1:15">
      <c r="A41" s="182" t="s">
        <v>745</v>
      </c>
      <c r="B41" s="333" t="s">
        <v>21</v>
      </c>
      <c r="C41" s="334">
        <f t="shared" ref="C41:N41" si="2">SUM(C29:C40)</f>
        <v>0</v>
      </c>
      <c r="D41" s="334">
        <f t="shared" si="2"/>
        <v>0</v>
      </c>
      <c r="E41" s="334">
        <f t="shared" si="2"/>
        <v>0</v>
      </c>
      <c r="F41" s="334">
        <f t="shared" si="2"/>
        <v>0</v>
      </c>
      <c r="G41" s="339">
        <f t="shared" si="2"/>
        <v>0</v>
      </c>
      <c r="H41" s="334">
        <f t="shared" si="2"/>
        <v>0</v>
      </c>
      <c r="I41" s="334">
        <f t="shared" si="2"/>
        <v>2893.6000000000004</v>
      </c>
      <c r="J41" s="334">
        <f t="shared" si="2"/>
        <v>0</v>
      </c>
      <c r="K41" s="334">
        <f t="shared" si="2"/>
        <v>0</v>
      </c>
      <c r="L41" s="334">
        <f t="shared" si="2"/>
        <v>0</v>
      </c>
      <c r="M41" s="334">
        <f t="shared" si="2"/>
        <v>1302</v>
      </c>
      <c r="N41" s="334">
        <f t="shared" si="2"/>
        <v>0</v>
      </c>
    </row>
    <row r="42" spans="1:15">
      <c r="B42" s="331"/>
      <c r="C42" s="331"/>
      <c r="D42" s="331"/>
      <c r="E42" s="331"/>
      <c r="F42" s="331"/>
      <c r="G42" s="331"/>
      <c r="H42" s="331"/>
      <c r="I42" s="331"/>
      <c r="J42" s="331"/>
      <c r="N42" s="331"/>
      <c r="O42" s="335"/>
    </row>
    <row r="43" spans="1:15">
      <c r="B43" s="331"/>
      <c r="C43" s="331"/>
      <c r="D43" s="331"/>
      <c r="E43" s="331"/>
      <c r="F43" s="331"/>
      <c r="G43" s="331"/>
      <c r="H43" s="331"/>
      <c r="I43" s="331"/>
      <c r="J43" s="331"/>
      <c r="N43" s="331"/>
      <c r="O43" s="335"/>
    </row>
    <row r="44" spans="1:15">
      <c r="A44" s="340"/>
      <c r="B44" s="331"/>
      <c r="C44" s="331"/>
      <c r="D44" s="331"/>
      <c r="E44" s="331"/>
      <c r="F44" s="331"/>
      <c r="G44" s="331"/>
      <c r="H44" s="331"/>
      <c r="I44" s="331"/>
      <c r="J44" s="331"/>
      <c r="N44" s="331"/>
      <c r="O44" s="331"/>
    </row>
    <row r="45" spans="1:15">
      <c r="A45" s="340">
        <f>+A41+1</f>
        <v>27</v>
      </c>
      <c r="B45" s="6" t="s">
        <v>746</v>
      </c>
      <c r="C45" s="11"/>
      <c r="F45" s="11"/>
      <c r="G45" s="11"/>
      <c r="H45" s="11"/>
      <c r="I45" s="11"/>
      <c r="J45" s="11"/>
      <c r="K45" s="12"/>
      <c r="L45" s="11"/>
      <c r="N45" s="331"/>
      <c r="O45" s="331"/>
    </row>
    <row r="46" spans="1:15">
      <c r="A46" s="340"/>
      <c r="B46" s="6"/>
      <c r="C46" s="11"/>
      <c r="F46" s="11"/>
      <c r="G46" s="11"/>
      <c r="H46" s="11"/>
      <c r="I46" s="11"/>
      <c r="J46" s="11"/>
      <c r="K46" s="12"/>
      <c r="L46" s="11"/>
      <c r="N46" s="331"/>
      <c r="O46" s="331"/>
    </row>
    <row r="47" spans="1:15">
      <c r="A47" s="340"/>
      <c r="B47" s="6"/>
      <c r="C47" s="11"/>
      <c r="F47" s="11"/>
      <c r="G47" s="11"/>
      <c r="H47" s="11"/>
      <c r="I47" s="11"/>
      <c r="J47" s="11"/>
      <c r="K47" s="12"/>
      <c r="L47" s="11"/>
      <c r="N47" s="331"/>
      <c r="O47" s="331"/>
    </row>
    <row r="48" spans="1:15">
      <c r="A48" s="340"/>
      <c r="C48" s="325" t="s">
        <v>612</v>
      </c>
      <c r="D48" s="278" t="s">
        <v>613</v>
      </c>
      <c r="E48" s="278" t="s">
        <v>614</v>
      </c>
      <c r="F48" s="326" t="s">
        <v>615</v>
      </c>
      <c r="G48" s="326" t="s">
        <v>616</v>
      </c>
      <c r="H48" s="326" t="s">
        <v>617</v>
      </c>
      <c r="I48" s="326" t="s">
        <v>618</v>
      </c>
      <c r="J48" s="327" t="s">
        <v>619</v>
      </c>
      <c r="K48" s="327" t="s">
        <v>620</v>
      </c>
      <c r="L48" s="15" t="s">
        <v>621</v>
      </c>
      <c r="M48" s="15" t="s">
        <v>622</v>
      </c>
      <c r="N48" s="331"/>
      <c r="O48" s="331"/>
    </row>
    <row r="49" spans="1:15">
      <c r="A49" s="340">
        <f>+A45+1</f>
        <v>28</v>
      </c>
      <c r="B49" s="6"/>
      <c r="C49" s="11"/>
      <c r="D49" s="42" t="s">
        <v>747</v>
      </c>
      <c r="E49" s="42"/>
      <c r="F49" s="42"/>
      <c r="G49" s="42"/>
      <c r="H49" s="42"/>
      <c r="I49" s="42"/>
      <c r="J49" s="75">
        <v>0</v>
      </c>
      <c r="N49" s="331"/>
      <c r="O49" s="331"/>
    </row>
    <row r="50" spans="1:15">
      <c r="A50" s="340"/>
      <c r="B50" s="6"/>
      <c r="C50" s="11"/>
      <c r="D50" s="42"/>
      <c r="E50" s="42"/>
      <c r="F50" s="42"/>
      <c r="G50" s="42"/>
      <c r="H50" s="42"/>
      <c r="I50" s="42"/>
      <c r="J50" s="4"/>
      <c r="N50" s="331"/>
      <c r="O50" s="331"/>
    </row>
    <row r="51" spans="1:15">
      <c r="A51" s="340">
        <f>+A49+1</f>
        <v>29</v>
      </c>
      <c r="B51" s="6"/>
      <c r="C51" s="11"/>
      <c r="D51" s="42" t="s">
        <v>748</v>
      </c>
      <c r="E51" s="42"/>
      <c r="F51" s="42"/>
      <c r="G51" s="42"/>
      <c r="H51" s="42"/>
      <c r="I51" s="42"/>
      <c r="J51" s="92">
        <v>0</v>
      </c>
      <c r="N51" s="331"/>
      <c r="O51" s="331"/>
    </row>
    <row r="52" spans="1:15">
      <c r="A52" s="340"/>
      <c r="B52" s="6"/>
      <c r="C52" s="11"/>
      <c r="D52" s="42"/>
      <c r="E52" s="42"/>
      <c r="F52" s="42"/>
      <c r="G52" s="42"/>
      <c r="H52" s="42"/>
      <c r="I52" s="42"/>
      <c r="J52" s="4"/>
      <c r="N52" s="331"/>
      <c r="O52" s="331"/>
    </row>
    <row r="53" spans="1:15">
      <c r="A53" s="340"/>
      <c r="B53" s="6"/>
      <c r="C53" s="11"/>
      <c r="D53" s="42"/>
      <c r="E53" s="42"/>
      <c r="F53" s="42"/>
      <c r="G53" s="42"/>
      <c r="H53" s="42"/>
      <c r="I53" s="42"/>
      <c r="J53" s="4"/>
      <c r="N53" s="331"/>
      <c r="O53" s="331"/>
    </row>
    <row r="54" spans="1:15">
      <c r="A54" s="340">
        <f>+A51+1</f>
        <v>30</v>
      </c>
      <c r="B54" s="6"/>
      <c r="C54" s="11"/>
      <c r="D54" s="42" t="s">
        <v>749</v>
      </c>
      <c r="E54" s="44"/>
      <c r="F54" s="42"/>
      <c r="G54" s="42"/>
      <c r="H54" s="42"/>
      <c r="I54" s="42"/>
      <c r="J54" s="92">
        <v>0</v>
      </c>
      <c r="N54" s="331"/>
      <c r="O54" s="331"/>
    </row>
    <row r="55" spans="1:15">
      <c r="A55" s="340">
        <f t="shared" ref="A55:A57" si="3">+A54+1</f>
        <v>31</v>
      </c>
      <c r="B55" s="6"/>
      <c r="C55" s="11"/>
      <c r="D55" s="42" t="s">
        <v>750</v>
      </c>
      <c r="E55" s="42"/>
      <c r="F55" s="42"/>
      <c r="G55" s="42"/>
      <c r="H55" s="42"/>
      <c r="I55" s="42"/>
      <c r="J55" s="341">
        <f>+F63</f>
        <v>0</v>
      </c>
      <c r="N55" s="331"/>
      <c r="O55" s="331"/>
    </row>
    <row r="56" spans="1:15" ht="13.5" thickBot="1">
      <c r="A56" s="340">
        <f t="shared" si="3"/>
        <v>32</v>
      </c>
      <c r="B56" s="6"/>
      <c r="C56" s="11"/>
      <c r="D56" s="42" t="s">
        <v>751</v>
      </c>
      <c r="E56" s="42"/>
      <c r="F56" s="42" t="s">
        <v>752</v>
      </c>
      <c r="G56" s="42"/>
      <c r="H56" s="42"/>
      <c r="I56" s="42"/>
      <c r="J56" s="102">
        <v>0</v>
      </c>
      <c r="N56" s="331"/>
      <c r="O56" s="331"/>
    </row>
    <row r="57" spans="1:15">
      <c r="A57" s="340">
        <f t="shared" si="3"/>
        <v>33</v>
      </c>
      <c r="B57" s="6"/>
      <c r="C57" s="11"/>
      <c r="D57" s="42" t="s">
        <v>753</v>
      </c>
      <c r="F57" s="44" t="s">
        <v>754</v>
      </c>
      <c r="G57" s="44"/>
      <c r="H57" s="196"/>
      <c r="I57" s="44"/>
      <c r="J57" s="4">
        <f>+J54-J55-J56</f>
        <v>0</v>
      </c>
      <c r="N57" s="331"/>
      <c r="O57" s="331"/>
    </row>
    <row r="58" spans="1:15">
      <c r="A58" s="340"/>
      <c r="B58" s="6"/>
      <c r="C58" s="11"/>
      <c r="J58" s="22"/>
      <c r="N58" s="331"/>
      <c r="O58" s="331"/>
    </row>
    <row r="59" spans="1:15">
      <c r="A59" s="340"/>
      <c r="B59" s="6"/>
      <c r="C59" s="11"/>
      <c r="F59" s="11"/>
      <c r="G59" s="11"/>
      <c r="H59" s="11"/>
      <c r="I59" s="11"/>
      <c r="J59" s="22"/>
      <c r="K59" s="12"/>
      <c r="L59" s="11"/>
      <c r="N59" s="331"/>
      <c r="O59" s="331"/>
    </row>
    <row r="60" spans="1:15">
      <c r="A60" s="340"/>
      <c r="B60" s="13"/>
      <c r="C60" s="11"/>
      <c r="F60" s="11"/>
      <c r="G60" s="12"/>
      <c r="H60" s="11"/>
      <c r="I60" s="12" t="s">
        <v>755</v>
      </c>
      <c r="J60" s="11"/>
      <c r="K60" s="11"/>
      <c r="L60" s="11"/>
      <c r="N60" s="22"/>
      <c r="O60" s="22"/>
    </row>
    <row r="61" spans="1:15" ht="13.5" thickBot="1">
      <c r="A61" s="340"/>
      <c r="B61" s="13"/>
      <c r="C61" s="11"/>
      <c r="F61" s="19" t="s">
        <v>283</v>
      </c>
      <c r="G61" s="19" t="s">
        <v>312</v>
      </c>
      <c r="H61" s="11"/>
      <c r="I61" s="98"/>
      <c r="J61" s="11"/>
      <c r="K61" s="19" t="s">
        <v>313</v>
      </c>
      <c r="L61" s="11"/>
      <c r="N61" s="331"/>
      <c r="O61" s="331"/>
    </row>
    <row r="62" spans="1:15">
      <c r="A62" s="340">
        <f>+A57+1</f>
        <v>34</v>
      </c>
      <c r="B62" s="6" t="s">
        <v>314</v>
      </c>
      <c r="C62" s="5" t="s">
        <v>756</v>
      </c>
      <c r="F62" s="342">
        <f>1-F64</f>
        <v>0.4</v>
      </c>
      <c r="G62" s="84">
        <f>IFERROR(F62/$F$65,0)</f>
        <v>0.4</v>
      </c>
      <c r="H62" s="22"/>
      <c r="I62" s="686">
        <f>0.435485433789954%+2%</f>
        <v>2.435485433789954E-2</v>
      </c>
      <c r="J62" s="22"/>
      <c r="K62" s="84">
        <f>G62*I62</f>
        <v>9.7419417351598172E-3</v>
      </c>
      <c r="L62" s="119" t="s">
        <v>316</v>
      </c>
      <c r="N62" s="343"/>
      <c r="O62" s="343"/>
    </row>
    <row r="63" spans="1:15">
      <c r="A63" s="340">
        <f t="shared" ref="A63:A65" si="4">+A62+1</f>
        <v>35</v>
      </c>
      <c r="B63" s="6" t="s">
        <v>757</v>
      </c>
      <c r="C63" s="5" t="s">
        <v>758</v>
      </c>
      <c r="F63" s="309">
        <v>0</v>
      </c>
      <c r="G63" s="84">
        <f t="shared" ref="G63:G64" si="5">IFERROR(F63/$F$65,0)</f>
        <v>0</v>
      </c>
      <c r="H63" s="22"/>
      <c r="I63" s="344">
        <v>0</v>
      </c>
      <c r="J63" s="22"/>
      <c r="K63" s="84">
        <f>G63*I63</f>
        <v>0</v>
      </c>
      <c r="L63" s="11"/>
      <c r="N63" s="331"/>
      <c r="O63" s="331"/>
    </row>
    <row r="64" spans="1:15" ht="13.5" thickBot="1">
      <c r="A64" s="340">
        <f t="shared" si="4"/>
        <v>36</v>
      </c>
      <c r="B64" s="6" t="s">
        <v>319</v>
      </c>
      <c r="C64" s="5" t="s">
        <v>759</v>
      </c>
      <c r="F64" s="345">
        <v>0.6</v>
      </c>
      <c r="G64" s="84">
        <f t="shared" si="5"/>
        <v>0.6</v>
      </c>
      <c r="H64" s="53"/>
      <c r="I64" s="346">
        <f>'9A-Non-MISO ATRR'!G230</f>
        <v>9.8000000000000004E-2</v>
      </c>
      <c r="J64" s="5"/>
      <c r="K64" s="122">
        <f>G64*I64</f>
        <v>5.8799999999999998E-2</v>
      </c>
      <c r="L64" s="11"/>
      <c r="N64" s="331"/>
      <c r="O64" s="331"/>
    </row>
    <row r="65" spans="1:15">
      <c r="A65" s="340">
        <f t="shared" si="4"/>
        <v>37</v>
      </c>
      <c r="B65" s="13" t="s">
        <v>321</v>
      </c>
      <c r="C65" s="5" t="s">
        <v>760</v>
      </c>
      <c r="F65" s="169">
        <f>SUM(F62:F64)</f>
        <v>1</v>
      </c>
      <c r="G65" s="22" t="s">
        <v>9</v>
      </c>
      <c r="H65" s="11"/>
      <c r="I65" s="11"/>
      <c r="J65" s="11"/>
      <c r="K65" s="84">
        <f>SUM(K62:K64)</f>
        <v>6.8541941735159817E-2</v>
      </c>
      <c r="L65" s="119" t="s">
        <v>323</v>
      </c>
      <c r="N65" s="331"/>
      <c r="O65" s="331"/>
    </row>
    <row r="66" spans="1:15">
      <c r="A66" s="340"/>
      <c r="G66" s="22"/>
    </row>
    <row r="67" spans="1:15" ht="17.25" customHeight="1">
      <c r="A67" s="2" t="s">
        <v>761</v>
      </c>
    </row>
    <row r="68" spans="1:15">
      <c r="A68" s="182" t="s">
        <v>354</v>
      </c>
      <c r="B68" s="2" t="s">
        <v>762</v>
      </c>
    </row>
    <row r="69" spans="1:15">
      <c r="A69" s="182" t="s">
        <v>356</v>
      </c>
      <c r="B69" s="2" t="s">
        <v>763</v>
      </c>
    </row>
    <row r="70" spans="1:15">
      <c r="A70" s="182" t="s">
        <v>358</v>
      </c>
      <c r="B70" s="2" t="s">
        <v>764</v>
      </c>
    </row>
    <row r="71" spans="1:15">
      <c r="A71" s="340" t="s">
        <v>360</v>
      </c>
      <c r="B71" s="2" t="s">
        <v>765</v>
      </c>
    </row>
    <row r="72" spans="1:15">
      <c r="A72" s="340"/>
    </row>
    <row r="73" spans="1:15">
      <c r="A73" s="347"/>
      <c r="B73" s="2" t="s">
        <v>766</v>
      </c>
      <c r="D73" s="2" t="s">
        <v>767</v>
      </c>
    </row>
    <row r="74" spans="1:15">
      <c r="A74" s="347"/>
      <c r="B74" s="2" t="s">
        <v>768</v>
      </c>
      <c r="D74" s="2" t="s">
        <v>769</v>
      </c>
    </row>
    <row r="75" spans="1:15">
      <c r="A75" s="340"/>
      <c r="C75" s="44"/>
      <c r="D75" s="42"/>
      <c r="E75" s="42"/>
      <c r="F75" s="42"/>
      <c r="G75" s="42"/>
      <c r="H75" s="42"/>
      <c r="I75" s="42"/>
    </row>
    <row r="76" spans="1:15">
      <c r="A76" s="340"/>
      <c r="C76" s="44"/>
      <c r="D76" s="42"/>
      <c r="E76" s="42"/>
      <c r="F76" s="42"/>
      <c r="G76" s="42"/>
      <c r="H76" s="42"/>
      <c r="I76" s="42"/>
    </row>
    <row r="77" spans="1:15">
      <c r="A77" s="340"/>
      <c r="C77" s="41"/>
      <c r="D77" s="42"/>
      <c r="E77" s="42"/>
      <c r="F77" s="42"/>
      <c r="G77" s="42"/>
      <c r="H77" s="42"/>
      <c r="I77" s="42"/>
    </row>
    <row r="78" spans="1:15">
      <c r="A78" s="340"/>
      <c r="C78" s="44"/>
      <c r="D78" s="42"/>
      <c r="E78" s="42"/>
      <c r="F78" s="42"/>
      <c r="G78" s="42"/>
      <c r="H78" s="42"/>
      <c r="I78" s="42"/>
    </row>
    <row r="79" spans="1:15">
      <c r="A79" s="340"/>
      <c r="C79" s="44"/>
      <c r="D79" s="42"/>
      <c r="E79" s="42"/>
      <c r="F79" s="42"/>
      <c r="G79" s="42"/>
      <c r="H79" s="42"/>
      <c r="I79" s="42"/>
    </row>
    <row r="80" spans="1:15">
      <c r="A80" s="340"/>
      <c r="C80" s="44"/>
      <c r="D80" s="42"/>
      <c r="E80" s="42"/>
      <c r="F80" s="42"/>
      <c r="G80" s="42"/>
      <c r="H80" s="42"/>
      <c r="I80" s="42"/>
    </row>
    <row r="81" spans="1:9">
      <c r="A81" s="340"/>
      <c r="C81" s="44"/>
      <c r="D81" s="42"/>
      <c r="E81" s="44"/>
      <c r="F81" s="42"/>
      <c r="G81" s="42"/>
      <c r="H81" s="42"/>
      <c r="I81" s="42"/>
    </row>
    <row r="82" spans="1:9">
      <c r="A82" s="340"/>
      <c r="C82" s="44"/>
      <c r="D82" s="42"/>
      <c r="E82" s="42"/>
      <c r="F82" s="42"/>
      <c r="G82" s="42"/>
      <c r="H82" s="42"/>
      <c r="I82" s="42"/>
    </row>
    <row r="83" spans="1:9">
      <c r="A83" s="340"/>
      <c r="C83" s="44"/>
      <c r="D83" s="42"/>
      <c r="E83" s="42"/>
      <c r="F83" s="42"/>
      <c r="G83" s="42"/>
      <c r="H83" s="42"/>
      <c r="I83" s="42"/>
    </row>
    <row r="84" spans="1:9">
      <c r="A84" s="340"/>
      <c r="C84" s="44"/>
      <c r="D84" s="42"/>
      <c r="E84" s="44"/>
      <c r="F84" s="44"/>
      <c r="G84" s="44"/>
      <c r="H84" s="196"/>
      <c r="I84" s="44"/>
    </row>
    <row r="85" spans="1:9">
      <c r="A85" s="340"/>
    </row>
    <row r="86" spans="1:9">
      <c r="A86" s="340"/>
    </row>
    <row r="87" spans="1:9">
      <c r="A87" s="340"/>
    </row>
  </sheetData>
  <mergeCells count="3">
    <mergeCell ref="A1:N1"/>
    <mergeCell ref="A2:N2"/>
    <mergeCell ref="A3:N3"/>
  </mergeCells>
  <pageMargins left="0.25" right="0.25" top="0.5" bottom="0.5" header="0.3" footer="0.3"/>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9A-Non-MISO ATRR</vt:lpstr>
      <vt:lpstr>9B-Non-MISO Project Rev Req</vt:lpstr>
      <vt:lpstr>9C-Non-MISO Project True-up</vt:lpstr>
      <vt:lpstr>Attachment O</vt:lpstr>
      <vt:lpstr>1-Project Rev Req</vt:lpstr>
      <vt:lpstr>2-Incentive ROE</vt:lpstr>
      <vt:lpstr>3-Project True-up</vt:lpstr>
      <vt:lpstr>4- Rate Base</vt:lpstr>
      <vt:lpstr>5-P3 Support</vt:lpstr>
      <vt:lpstr>6-Dep Rates</vt:lpstr>
      <vt:lpstr>7 - PBOP</vt:lpstr>
      <vt:lpstr>8a-ADIT Projection</vt:lpstr>
      <vt:lpstr>8b-ADIT Projection Proration</vt:lpstr>
      <vt:lpstr>8c- ADIT BOY</vt:lpstr>
      <vt:lpstr>8d- ADIT EOY</vt:lpstr>
      <vt:lpstr>8e-ADIT True-up</vt:lpstr>
      <vt:lpstr>8f-ADIT True-up Proration</vt:lpstr>
      <vt:lpstr>10 - Income Tax Allowance </vt:lpstr>
      <vt:lpstr>10a - Actual ownership</vt:lpstr>
      <vt:lpstr>'1-Project Rev Req'!Print_Area</vt:lpstr>
      <vt:lpstr>'3-Project True-up'!Print_Area</vt:lpstr>
      <vt:lpstr>'4- Rate Base'!Print_Area</vt:lpstr>
      <vt:lpstr>'5-P3 Support'!Print_Area</vt:lpstr>
      <vt:lpstr>'6-Dep Rates'!Print_Area</vt:lpstr>
      <vt:lpstr>'7 - PBOP'!Print_Area</vt:lpstr>
      <vt:lpstr>'8a-ADIT Projection'!Print_Area</vt:lpstr>
      <vt:lpstr>'8b-ADIT Projection Proration'!Print_Area</vt:lpstr>
      <vt:lpstr>'8c- ADIT BOY'!Print_Area</vt:lpstr>
      <vt:lpstr>'8d- ADIT EOY'!Print_Area</vt:lpstr>
      <vt:lpstr>'8e-ADIT True-up'!Print_Area</vt:lpstr>
      <vt:lpstr>'8f-ADIT True-up Proration'!Print_Area</vt:lpstr>
      <vt:lpstr>'9A-Non-MISO ATRR'!Print_Area</vt:lpstr>
      <vt:lpstr>'9B-Non-MISO Project Rev Req'!Print_Area</vt:lpstr>
      <vt:lpstr>'9C-Non-MISO Project True-up'!Print_Area</vt:lpstr>
      <vt:lpstr>'Attachment O'!Print_Area</vt:lpstr>
      <vt:lpstr>'8a-ADIT Projection'!Print_Titles</vt:lpstr>
      <vt:lpstr>'8b-ADIT Projection Proration'!Print_Titles</vt:lpstr>
      <vt:lpstr>'8e-ADIT True-up'!Print_Titles</vt:lpstr>
      <vt:lpstr>'8f-ADIT True-up Proration'!Print_Titles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Loner</dc:creator>
  <cp:lastModifiedBy>Julio Aguirre</cp:lastModifiedBy>
  <dcterms:created xsi:type="dcterms:W3CDTF">2020-09-24T23:51:47Z</dcterms:created>
  <dcterms:modified xsi:type="dcterms:W3CDTF">2021-05-26T16:30:06Z</dcterms:modified>
</cp:coreProperties>
</file>