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autoCompressPictures="0" defaultThemeVersion="166925"/>
  <xr:revisionPtr revIDLastSave="0" documentId="8_{38A6E018-EE4C-4D3F-8224-200E5511E5E0}" xr6:coauthVersionLast="45" xr6:coauthVersionMax="45" xr10:uidLastSave="{00000000-0000-0000-0000-000000000000}"/>
  <bookViews>
    <workbookView xWindow="-120" yWindow="-120" windowWidth="51840" windowHeight="21240" tabRatio="864" xr2:uid="{00000000-000D-0000-FFFF-FFFF00000000}"/>
  </bookViews>
  <sheets>
    <sheet name="Attachment O" sheetId="1" r:id="rId1"/>
    <sheet name="1-Project Rev Req" sheetId="2" r:id="rId2"/>
    <sheet name="2-Incentive ROE" sheetId="3" r:id="rId3"/>
    <sheet name="3-Project True-up" sheetId="4" r:id="rId4"/>
    <sheet name="4- Rate Base" sheetId="5" r:id="rId5"/>
    <sheet name="5-P3 Support" sheetId="6" r:id="rId6"/>
    <sheet name="6-Dep Rates" sheetId="7" r:id="rId7"/>
    <sheet name="7 - PBOP" sheetId="8" r:id="rId8"/>
    <sheet name="8a-ADIT Projection" sheetId="9" r:id="rId9"/>
    <sheet name="8b-ADIT Projection Proration" sheetId="10" r:id="rId10"/>
    <sheet name="8c- ADIT BOY" sheetId="11" r:id="rId11"/>
    <sheet name="8d- ADIT EOY" sheetId="12" r:id="rId12"/>
    <sheet name="8e-ADIT True-up" sheetId="13" r:id="rId13"/>
    <sheet name="8f-ADIT True-up Proration" sheetId="14" r:id="rId14"/>
    <sheet name="8g - Exc-Def ADIT Worksheet" sheetId="18" r:id="rId15"/>
    <sheet name="8h - ADIT Remeasurement" sheetId="19" r:id="rId16"/>
  </sheets>
  <externalReferences>
    <externalReference r:id="rId17"/>
    <externalReference r:id="rId18"/>
    <externalReference r:id="rId19"/>
    <externalReference r:id="rId20"/>
  </externalReferences>
  <definedNames>
    <definedName name="\sdf"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123Graph_A" hidden="1">#REF!</definedName>
    <definedName name="__123Graph_B" hidden="1">#REF!</definedName>
    <definedName name="__123Graph_C" hidden="1">#REF!</definedName>
    <definedName name="__123Graph_E" hidden="1">#REF!</definedName>
    <definedName name="__123Graph_X" hidden="1">#REF!</definedName>
    <definedName name="__FDS_HYPERLINK_TOGGLE_STATE__" hidden="1">"ON"</definedName>
    <definedName name="_101__123Graph_BCHART_2" hidden="1">#REF!</definedName>
    <definedName name="_104__123Graph_BCHART_20" hidden="1">#REF!</definedName>
    <definedName name="_107__123Graph_BCHART_3" hidden="1">#REF!</definedName>
    <definedName name="_110__123Graph_BCHART_6" hidden="1">#REF!</definedName>
    <definedName name="_113__123Graph_BCHART_7" hidden="1">#REF!</definedName>
    <definedName name="_116__123Graph_BCHART_8" hidden="1">#REF!</definedName>
    <definedName name="_119__123Graph_BCHART_9" hidden="1">#REF!</definedName>
    <definedName name="_122__123Graph_CCHART_1" hidden="1">#REF!</definedName>
    <definedName name="_125__123Graph_CCHART_11" hidden="1">#REF!</definedName>
    <definedName name="_128__123Graph_CCHART_12" hidden="1">#REF!</definedName>
    <definedName name="_131__123Graph_CCHART_2" hidden="1">#REF!</definedName>
    <definedName name="_134__123Graph_CCHART_20" hidden="1">#REF!</definedName>
    <definedName name="_137__123Graph_CCHART_7" hidden="1">#REF!</definedName>
    <definedName name="_140__123Graph_CCHART_8" hidden="1">#REF!</definedName>
    <definedName name="_143__123Graph_DCHART_1" hidden="1">#REF!</definedName>
    <definedName name="_146__123Graph_DCHART_12" hidden="1">#REF!</definedName>
    <definedName name="_149__123Graph_DCHART_2" hidden="1">#REF!</definedName>
    <definedName name="_152__123Graph_DCHART_8" hidden="1">#REF!</definedName>
    <definedName name="_155__123Graph_ECHART_12" hidden="1">#REF!</definedName>
    <definedName name="_158__123Graph_ECHART_2" hidden="1">#REF!</definedName>
    <definedName name="_161__123Graph_ECHART_8" hidden="1">#REF!</definedName>
    <definedName name="_164__123Graph_FCHART_1" hidden="1">#REF!</definedName>
    <definedName name="_167__123Graph_XCHART_10" hidden="1">#REF!</definedName>
    <definedName name="_17__123Graph_ACHART_1" hidden="1">#REF!</definedName>
    <definedName name="_170__123Graph_XCHART_11" hidden="1">#REF!</definedName>
    <definedName name="_173__123Graph_XCHART_12" hidden="1">#REF!</definedName>
    <definedName name="_176__123Graph_XCHART_13" hidden="1">#REF!</definedName>
    <definedName name="_179__123Graph_XCHART_14" hidden="1">#REF!</definedName>
    <definedName name="_182__123Graph_XCHART_15" hidden="1">#REF!</definedName>
    <definedName name="_185__123Graph_XCHART_16" hidden="1">#REF!</definedName>
    <definedName name="_188__123Graph_XCHART_18" hidden="1">#REF!</definedName>
    <definedName name="_191__123Graph_XCHART_2" hidden="1">#REF!</definedName>
    <definedName name="_194__123Graph_XCHART_20" hidden="1">#REF!</definedName>
    <definedName name="_197__123Graph_XCHART_3" hidden="1">#REF!</definedName>
    <definedName name="_20__123Graph_ACHART_10" hidden="1">#REF!</definedName>
    <definedName name="_200__123Graph_XCHART_4" hidden="1">#REF!</definedName>
    <definedName name="_203__123Graph_XCHART_5" hidden="1">#REF!</definedName>
    <definedName name="_206__123Graph_XCHART_6" hidden="1">#REF!</definedName>
    <definedName name="_209__123Graph_XCHART_7" hidden="1">#REF!</definedName>
    <definedName name="_212__123Graph_XCHART_8" hidden="1">#REF!</definedName>
    <definedName name="_215__123Graph_XCHART_9" hidden="1">#REF!</definedName>
    <definedName name="_23__123Graph_ACHART_11" hidden="1">#REF!</definedName>
    <definedName name="_26__123Graph_ACHART_12" hidden="1">#REF!</definedName>
    <definedName name="_29__123Graph_ACHART_13" hidden="1">#REF!</definedName>
    <definedName name="_32__123Graph_ACHART_14" hidden="1">#REF!</definedName>
    <definedName name="_35__123Graph_ACHART_15" hidden="1">#REF!</definedName>
    <definedName name="_38__123Graph_ACHART_16" hidden="1">#REF!</definedName>
    <definedName name="_41__123Graph_ACHART_17" hidden="1">#REF!</definedName>
    <definedName name="_44__123Graph_ACHART_18" hidden="1">#REF!</definedName>
    <definedName name="_47__123Graph_ACHART_19" hidden="1">#REF!</definedName>
    <definedName name="_50__123Graph_ACHART_2" hidden="1">#REF!</definedName>
    <definedName name="_53__123Graph_ACHART_20" hidden="1">#REF!</definedName>
    <definedName name="_56__123Graph_ACHART_3" hidden="1">#REF!</definedName>
    <definedName name="_59__123Graph_ACHART_4" hidden="1">#REF!</definedName>
    <definedName name="_62__123Graph_ACHART_5" hidden="1">#REF!</definedName>
    <definedName name="_65__123Graph_ACHART_6" hidden="1">#REF!</definedName>
    <definedName name="_68__123Graph_ACHART_7" hidden="1">#REF!</definedName>
    <definedName name="_71__123Graph_ACHART_8" hidden="1">#REF!</definedName>
    <definedName name="_74__123Graph_ACHART_9" hidden="1">#REF!</definedName>
    <definedName name="_77__123Graph_BCHART_1" hidden="1">#REF!</definedName>
    <definedName name="_80__123Graph_BCHART_11" hidden="1">#REF!</definedName>
    <definedName name="_83__123Graph_BCHART_12" hidden="1">#REF!</definedName>
    <definedName name="_86__123Graph_BCHART_13" hidden="1">#REF!</definedName>
    <definedName name="_89__123Graph_BCHART_14" hidden="1">#REF!</definedName>
    <definedName name="_92__123Graph_BCHART_15" hidden="1">#REF!</definedName>
    <definedName name="_95__123Graph_BCHART_16" hidden="1">#REF!</definedName>
    <definedName name="_98__123Graph_BCHART_17" hidden="1">#REF!</definedName>
    <definedName name="_AMO_UniqueIdentifier" hidden="1">"'8403d099-e876-4d31-b913-cb2efff0232f'"</definedName>
    <definedName name="_BB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_Fill" localSheetId="8" hidden="1">#REF!</definedName>
    <definedName name="_Fill" localSheetId="9" hidden="1">#REF!</definedName>
    <definedName name="_Fill" localSheetId="12" hidden="1">#REF!</definedName>
    <definedName name="_Fill" localSheetId="13" hidden="1">#REF!</definedName>
    <definedName name="_Fill" localSheetId="0" hidden="1">#REF!</definedName>
    <definedName name="_Fill" hidden="1">#REF!</definedName>
    <definedName name="_xlnm._FilterDatabase" hidden="1">#REF!</definedName>
    <definedName name="_Key1" hidden="1">#REF!</definedName>
    <definedName name="_Key2" hidden="1">#REF!</definedName>
    <definedName name="_Order1" hidden="1">255</definedName>
    <definedName name="_Order2" hidden="1">255</definedName>
    <definedName name="_Parse_Out" hidden="1">#REF!</definedName>
    <definedName name="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Regression_Int">1</definedName>
    <definedName name="_Regression_Out" hidden="1">#REF!</definedName>
    <definedName name="_Regression_X" hidden="1">#REF!</definedName>
    <definedName name="_Regression_Y" hidden="1">#REF!</definedName>
    <definedName name="_Sort" hidden="1">#REF!</definedName>
    <definedName name="_Table1_Out" hidden="1">#REF!</definedName>
    <definedName name="_te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_te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te3"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_te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_wrn1" hidden="1">{#N/A,#N/A,FALSE,"MBR PCS";#N/A,#N/A,FALSE,"MBR CIG";#N/A,#N/A,FALSE,"MBR iDEN";#N/A,#N/A,FALSE,"MBR_FWT";#N/A,#N/A,FALSE,"MBR TOTAL"}</definedName>
    <definedName name="_xx" hidden="1">#REF!</definedName>
    <definedName name="a" hidden="1">{"MATALL",#N/A,FALSE,"Sheet4";"matclass",#N/A,FALSE,"Sheet4"}</definedName>
    <definedName name="aa" hidden="1">{#N/A,#N/A,FALSE,"Title Page";#N/A,#N/A,FALSE,"Conclusions";#N/A,#N/A,FALSE,"Assum.";#N/A,#N/A,FALSE,"Sun  DCF-WC-Dep";#N/A,#N/A,FALSE,"MarketValue";#N/A,#N/A,FALSE,"BalSheet";#N/A,#N/A,FALSE,"WACC";#N/A,#N/A,FALSE,"PC+ Info.";#N/A,#N/A,FALSE,"PC+Info_2"}</definedName>
    <definedName name="aaa" localSheetId="13" hidden="1">{#N/A,#N/A,FALSE,"O&amp;M by processes";#N/A,#N/A,FALSE,"Elec Act vs Bud";#N/A,#N/A,FALSE,"G&amp;A";#N/A,#N/A,FALSE,"BGS";#N/A,#N/A,FALSE,"Res Cost"}</definedName>
    <definedName name="aaa" localSheetId="0" hidden="1">{#N/A,#N/A,FALSE,"O&amp;M by processes";#N/A,#N/A,FALSE,"Elec Act vs Bud";#N/A,#N/A,FALSE,"G&amp;A";#N/A,#N/A,FALSE,"BGS";#N/A,#N/A,FALSE,"Res Cost"}</definedName>
    <definedName name="aaa" hidden="1">{#N/A,#N/A,FALSE,"O&amp;M by processes";#N/A,#N/A,FALSE,"Elec Act vs Bud";#N/A,#N/A,FALSE,"G&amp;A";#N/A,#N/A,FALSE,"BGS";#N/A,#N/A,FALSE,"Res Cost"}</definedName>
    <definedName name="aaaaa" hidden="1">{#N/A,#N/A,FALSE,"Title Page";#N/A,#N/A,FALSE,"Conclusions";#N/A,#N/A,FALSE,"Assum.";#N/A,#N/A,FALSE,"Sun  DCF-WC-Dep";#N/A,#N/A,FALSE,"MarketValue";#N/A,#N/A,FALSE,"BalSheet";#N/A,#N/A,FALSE,"WACC";#N/A,#N/A,FALSE,"PC+ Info.";#N/A,#N/A,FALSE,"PC+Info_2"}</definedName>
    <definedName name="aaaaaa" hidden="1">{#N/A,#N/A,FALSE,"Title Page";#N/A,#N/A,FALSE,"Conclusions";#N/A,#N/A,FALSE,"Assum.";#N/A,#N/A,FALSE,"Sun  DCF-WC-Dep";#N/A,#N/A,FALSE,"MarketValue";#N/A,#N/A,FALSE,"BalSheet";#N/A,#N/A,FALSE,"WACC";#N/A,#N/A,FALSE,"PC+ Info.";#N/A,#N/A,FALSE,"PC+Info_2"}</definedName>
    <definedName name="aaaaaaaaaaaaaaa" localSheetId="13" hidden="1">{#N/A,#N/A,FALSE,"O&amp;M by processes";#N/A,#N/A,FALSE,"Elec Act vs Bud";#N/A,#N/A,FALSE,"G&amp;A";#N/A,#N/A,FALSE,"BGS";#N/A,#N/A,FALSE,"Res Cost"}</definedName>
    <definedName name="aaaaaaaaaaaaaaa" localSheetId="0" hidden="1">{#N/A,#N/A,FALSE,"O&amp;M by processes";#N/A,#N/A,FALSE,"Elec Act vs Bud";#N/A,#N/A,FALSE,"G&amp;A";#N/A,#N/A,FALSE,"BGS";#N/A,#N/A,FALSE,"Res Cost"}</definedName>
    <definedName name="aaaaaaaaaaaaaaa" hidden="1">{#N/A,#N/A,FALSE,"O&amp;M by processes";#N/A,#N/A,FALSE,"Elec Act vs Bud";#N/A,#N/A,FALSE,"G&amp;A";#N/A,#N/A,FALSE,"BGS";#N/A,#N/A,FALSE,"Res Cost"}</definedName>
    <definedName name="ab"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bc" hidden="1">{"Alles",#N/A,FALSE,"H A Ü"}</definedName>
    <definedName name="abcde" hidden="1">{#N/A,#N/A,FALSE,"Title Page";#N/A,#N/A,FALSE,"Conclusions";#N/A,#N/A,FALSE,"Assum.";#N/A,#N/A,FALSE,"Sun  DCF-WC-Dep";#N/A,#N/A,FALSE,"MarketValue";#N/A,#N/A,FALSE,"BalSheet";#N/A,#N/A,FALSE,"WACC";#N/A,#N/A,FALSE,"PC+ Info.";#N/A,#N/A,FALSE,"PC+Info_2"}</definedName>
    <definedName name="ACwvu.earnings." hidden="1">#REF!</definedName>
    <definedName name="ACwvu.OP." hidden="1">#REF!</definedName>
    <definedName name="adas" hidden="1">{#N/A,#N/A,FALSE,"Balance SPS";#N/A,#N/A,FALSE,"P&amp;L_SPS"}</definedName>
    <definedName name="Addr1" hidden="1">#REF!</definedName>
    <definedName name="Addr2" hidden="1">#REF!</definedName>
    <definedName name="adjust" hidden="1">{#N/A,#N/A,FALSE,"Ratios - Classic";#N/A,#N/A,FALSE,"Share Proof - Classic";#N/A,#N/A,FALSE,"Per Share-Classic"}</definedName>
    <definedName name="adsfd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g"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agfd" hidden="1">{#N/A,#N/A,FALSE,"Balance SPS";#N/A,#N/A,FALSE,"P&amp;L_SPS"}</definedName>
    <definedName name="aksdhf" hidden="1">{"Alles",#N/A,FALSE,"H A Ü"}</definedName>
    <definedName name="Alignment" hidden="1">"a1"</definedName>
    <definedName name="anscount" hidden="1">1</definedName>
    <definedName name="AppliedFor" hidden="1">#REF!</definedName>
    <definedName name="AppliedForDate" hidden="1">#REF!</definedName>
    <definedName name="a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 hidden="1">{#N/A,#N/A,FALSE,"BACK UP CIG"}</definedName>
    <definedName name="AS2DocOpenMode" hidden="1">"AS2DocumentEdit"</definedName>
    <definedName name="AS2HasNoAutoHeaderFooter" hidden="1">" "</definedName>
    <definedName name="AS2NamedRange" hidden="1">3</definedName>
    <definedName name="AS2ReportLS" hidden="1">1</definedName>
    <definedName name="AS2SyncStepLS" hidden="1">0</definedName>
    <definedName name="AS2TaxWorkpaper" hidden="1">" "</definedName>
    <definedName name="AS2VersionLS" hidden="1">300</definedName>
    <definedName name="asa"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asda"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asdad" hidden="1">{#N/A,#N/A,FALSE,"MBR PCS";#N/A,#N/A,FALSE,"MBR CIG";#N/A,#N/A,FALSE,"MBR iDEN";#N/A,#N/A,FALSE,"MBR_FWT";#N/A,#N/A,FALSE,"MBR TOTAL"}</definedName>
    <definedName name="asdaf"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das"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asdasd"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asdasdas" hidden="1">{#N/A,#N/A,FALSE,"Headcount_PCS ";#N/A,#N/A,FALSE,"Headcount CIG";#N/A,#N/A,FALSE,"Headcount iDEN";#N/A,#N/A,FALSE,"JAG PLANT TREND"}</definedName>
    <definedName name="ASDF" hidden="1">{TRUE,TRUE,-1.25,-15.5,604.5,343.5,FALSE,FALSE,TRUE,TRUE,0,1,2,1,13,1,4,4,TRUE,TRUE,3,TRUE,1,TRUE,80,"Swvu.qtr._.for._.IR.","ACwvu.qtr._.for._.IR.",#N/A,FALSE,FALSE,0.65,0.5,1.25,1,2,"","",TRUE,FALSE,FALSE,FALSE,1,#N/A,1,1,"=R1C1:R33C11",FALSE,#N/A,#N/A,FALSE,FALSE,FALSE,1,#N/A,#N/A,FALSE,FALSE,TRUE,TRUE,TRUE}</definedName>
    <definedName name="asdfadsf" hidden="1">{TRUE,TRUE,-1.25,-15.5,604.5,343.5,FALSE,FALSE,TRUE,TRUE,0,1,2,1,13,1,4,4,TRUE,TRUE,3,TRUE,1,TRUE,80,"Swvu.qtr._.for._.IR.","ACwvu.qtr._.for._.IR.",#N/A,FALSE,FALSE,0.65,0.5,1.25,1,2,"","",TRUE,FALSE,FALSE,FALSE,1,#N/A,1,1,"=R1C1:R33C11",FALSE,#N/A,#N/A,FALSE,FALSE,FALSE,1,#N/A,#N/A,FALSE,FALSE,TRUE,TRUE,TRUE}</definedName>
    <definedName name="asdfsd" hidden="1">{#N/A,#N/A,FALSE,"Aging Summary";#N/A,#N/A,FALSE,"Ratio Analysis";#N/A,#N/A,FALSE,"Test 120 Day Accts";#N/A,#N/A,FALSE,"Tickmarks"}</definedName>
    <definedName name="asdgasd" hidden="1">{#N/A,#N/A,FALSE,"BS_ESG ";#N/A,#N/A,FALSE,"P&amp;L_ESG"}</definedName>
    <definedName name="asfda" hidden="1">{#N/A,#N/A,FALSE,"Cover";#N/A,#N/A,FALSE,"General Assumptions";#N/A,#N/A,FALSE,"Comments CIG";#N/A,#N/A,FALSE,"BS CIG";#N/A,#N/A,FALSE,"P&amp;L CIG";#N/A,#N/A,FALSE,"Cash Flow CIG";#N/A,#N/A,FALSE,"MBR CIG";#N/A,#N/A,FALSE,"Headcount - CIG";#N/A,#N/A,FALSE,"CIG MFG";#N/A,#N/A,FALSE,"CIG Inventory";#N/A,#N/A,FALSE,"Capital CIG"}</definedName>
    <definedName name="ATXQAVersion" hidden="1">2</definedName>
    <definedName name="awvrevrf"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B"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bbb" localSheetId="13" hidden="1">{#N/A,#N/A,FALSE,"O&amp;M by processes";#N/A,#N/A,FALSE,"Elec Act vs Bud";#N/A,#N/A,FALSE,"G&amp;A";#N/A,#N/A,FALSE,"BGS";#N/A,#N/A,FALSE,"Res Cost"}</definedName>
    <definedName name="bbb" localSheetId="0" hidden="1">{#N/A,#N/A,FALSE,"O&amp;M by processes";#N/A,#N/A,FALSE,"Elec Act vs Bud";#N/A,#N/A,FALSE,"G&amp;A";#N/A,#N/A,FALSE,"BGS";#N/A,#N/A,FALSE,"Res Cost"}</definedName>
    <definedName name="bbb" hidden="1">{#N/A,#N/A,FALSE,"O&amp;M by processes";#N/A,#N/A,FALSE,"Elec Act vs Bud";#N/A,#N/A,FALSE,"G&amp;A";#N/A,#N/A,FALSE,"BGS";#N/A,#N/A,FALSE,"Res Cost"}</definedName>
    <definedName name="bbbb" localSheetId="13" hidden="1">{#N/A,#N/A,FALSE,"O&amp;M by processes";#N/A,#N/A,FALSE,"Elec Act vs Bud";#N/A,#N/A,FALSE,"G&amp;A";#N/A,#N/A,FALSE,"BGS";#N/A,#N/A,FALSE,"Res Cost"}</definedName>
    <definedName name="bbbb" localSheetId="0" hidden="1">{#N/A,#N/A,FALSE,"O&amp;M by processes";#N/A,#N/A,FALSE,"Elec Act vs Bud";#N/A,#N/A,FALSE,"G&amp;A";#N/A,#N/A,FALSE,"BGS";#N/A,#N/A,FALSE,"Res Cost"}</definedName>
    <definedName name="bbbb" hidden="1">{#N/A,#N/A,FALSE,"O&amp;M by processes";#N/A,#N/A,FALSE,"Elec Act vs Bud";#N/A,#N/A,FALSE,"G&amp;A";#N/A,#N/A,FALSE,"BGS";#N/A,#N/A,FALSE,"Res Cost"}</definedName>
    <definedName name="bbbbb" localSheetId="13" hidden="1">{#N/A,#N/A,FALSE,"O&amp;M by processes";#N/A,#N/A,FALSE,"Elec Act vs Bud";#N/A,#N/A,FALSE,"G&amp;A";#N/A,#N/A,FALSE,"BGS";#N/A,#N/A,FALSE,"Res Cost"}</definedName>
    <definedName name="bbbbb" localSheetId="0" hidden="1">{#N/A,#N/A,FALSE,"O&amp;M by processes";#N/A,#N/A,FALSE,"Elec Act vs Bud";#N/A,#N/A,FALSE,"G&amp;A";#N/A,#N/A,FALSE,"BGS";#N/A,#N/A,FALSE,"Res Cost"}</definedName>
    <definedName name="bbbbb" hidden="1">{#N/A,#N/A,FALSE,"O&amp;M by processes";#N/A,#N/A,FALSE,"Elec Act vs Bud";#N/A,#N/A,FALSE,"G&amp;A";#N/A,#N/A,FALSE,"BGS";#N/A,#N/A,FALSE,"Res Cost"}</definedName>
    <definedName name="bbbbbb" hidden="1">{#N/A,#N/A,FALSE,"Title Page";#N/A,#N/A,FALSE,"Conclusions";#N/A,#N/A,FALSE,"Assum.";#N/A,#N/A,FALSE,"Sun  DCF-WC-Dep";#N/A,#N/A,FALSE,"MarketValue";#N/A,#N/A,FALSE,"BalSheet";#N/A,#N/A,FALSE,"WACC";#N/A,#N/A,FALSE,"PC+ Info.";#N/A,#N/A,FALSE,"PC+Info_2"}</definedName>
    <definedName name="bbc" localSheetId="13" hidden="1">{#N/A,#N/A,FALSE,"O&amp;M by processes";#N/A,#N/A,FALSE,"Elec Act vs Bud";#N/A,#N/A,FALSE,"G&amp;A";#N/A,#N/A,FALSE,"BGS";#N/A,#N/A,FALSE,"Res Cost"}</definedName>
    <definedName name="bbc" localSheetId="0" hidden="1">{#N/A,#N/A,FALSE,"O&amp;M by processes";#N/A,#N/A,FALSE,"Elec Act vs Bud";#N/A,#N/A,FALSE,"G&amp;A";#N/A,#N/A,FALSE,"BGS";#N/A,#N/A,FALSE,"Res Cost"}</definedName>
    <definedName name="bbc" hidden="1">{#N/A,#N/A,FALSE,"O&amp;M by processes";#N/A,#N/A,FALSE,"Elec Act vs Bud";#N/A,#N/A,FALSE,"G&amp;A";#N/A,#N/A,FALSE,"BGS";#N/A,#N/A,FALSE,"Res Cost"}</definedName>
    <definedName name="BG_Del" hidden="1">15</definedName>
    <definedName name="BG_Ins" hidden="1">4</definedName>
    <definedName name="BG_Mod" hidden="1">6</definedName>
    <definedName name="Blank" hidden="1">{"ARK_JURIS_FUEL",#N/A,FALSE,"Ark_Fuel&amp;Rev"}</definedName>
    <definedName name="BNE_MESSAGES_HIDDEN" hidden="1">#REF!</definedName>
    <definedName name="Bridge" hidden="1">{"'Highlights'!$A$1:$M$123"}</definedName>
    <definedName name="BS_CDMA"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FW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an" localSheetId="13" hidden="1">{#N/A,#N/A,FALSE,"O&amp;M by processes";#N/A,#N/A,FALSE,"Elec Act vs Bud";#N/A,#N/A,FALSE,"G&amp;A";#N/A,#N/A,FALSE,"BGS";#N/A,#N/A,FALSE,"Res Cost"}</definedName>
    <definedName name="can" localSheetId="0" hidden="1">{#N/A,#N/A,FALSE,"O&amp;M by processes";#N/A,#N/A,FALSE,"Elec Act vs Bud";#N/A,#N/A,FALSE,"G&amp;A";#N/A,#N/A,FALSE,"BGS";#N/A,#N/A,FALSE,"Res Cost"}</definedName>
    <definedName name="can" hidden="1">{#N/A,#N/A,FALSE,"O&amp;M by processes";#N/A,#N/A,FALSE,"Elec Act vs Bud";#N/A,#N/A,FALSE,"G&amp;A";#N/A,#N/A,FALSE,"BGS";#N/A,#N/A,FALSE,"Res Cost"}</definedName>
    <definedName name="capitalized" hidden="1">{#N/A,#N/A,FALSE,"Title Page";#N/A,#N/A,FALSE,"Conclusions";#N/A,#N/A,FALSE,"Assum.";#N/A,#N/A,FALSE,"Sun  DCF-WC-Dep";#N/A,#N/A,FALSE,"MarketValue";#N/A,#N/A,FALSE,"BalSheet";#N/A,#N/A,FALSE,"WACC";#N/A,#N/A,FALSE,"PC+ Info.";#N/A,#N/A,FALSE,"PC+Info_2"}</definedName>
    <definedName name="Cash"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cc" localSheetId="13" hidden="1">{#N/A,#N/A,FALSE,"O&amp;M by processes";#N/A,#N/A,FALSE,"Elec Act vs Bud";#N/A,#N/A,FALSE,"G&amp;A";#N/A,#N/A,FALSE,"BGS";#N/A,#N/A,FALSE,"Res Cost"}</definedName>
    <definedName name="ccc" localSheetId="0" hidden="1">{#N/A,#N/A,FALSE,"O&amp;M by processes";#N/A,#N/A,FALSE,"Elec Act vs Bud";#N/A,#N/A,FALSE,"G&amp;A";#N/A,#N/A,FALSE,"BGS";#N/A,#N/A,FALSE,"Res Cost"}</definedName>
    <definedName name="ccc" hidden="1">{#N/A,#N/A,FALSE,"O&amp;M by processes";#N/A,#N/A,FALSE,"Elec Act vs Bud";#N/A,#N/A,FALSE,"G&amp;A";#N/A,#N/A,FALSE,"BGS";#N/A,#N/A,FALSE,"Res Cost"}</definedName>
    <definedName name="cccc" localSheetId="13" hidden="1">{#N/A,#N/A,FALSE,"O&amp;M by processes";#N/A,#N/A,FALSE,"Elec Act vs Bud";#N/A,#N/A,FALSE,"G&amp;A";#N/A,#N/A,FALSE,"BGS";#N/A,#N/A,FALSE,"Res Cost"}</definedName>
    <definedName name="cccc" localSheetId="0" hidden="1">{#N/A,#N/A,FALSE,"O&amp;M by processes";#N/A,#N/A,FALSE,"Elec Act vs Bud";#N/A,#N/A,FALSE,"G&amp;A";#N/A,#N/A,FALSE,"BGS";#N/A,#N/A,FALSE,"Res Cost"}</definedName>
    <definedName name="cccc" hidden="1">{#N/A,#N/A,FALSE,"O&amp;M by processes";#N/A,#N/A,FALSE,"Elec Act vs Bud";#N/A,#N/A,FALSE,"G&amp;A";#N/A,#N/A,FALSE,"BGS";#N/A,#N/A,FALSE,"Res Cost"}</definedName>
    <definedName name="Celestica4"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cg"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harge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IQWBGuid" hidden="1">"664e8547-71ec-4d5c-9f05-86b890428491"</definedName>
    <definedName name="ClientMatter" hidden="1">"b1"</definedName>
    <definedName name="cnrc2"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om"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nsolid" localSheetId="13" hidden="1">{#N/A,#N/A,FALSE,"O&amp;M by processes";#N/A,#N/A,FALSE,"Elec Act vs Bud";#N/A,#N/A,FALSE,"G&amp;A";#N/A,#N/A,FALSE,"BGS";#N/A,#N/A,FALSE,"Res Cost"}</definedName>
    <definedName name="Consolid" localSheetId="0" hidden="1">{#N/A,#N/A,FALSE,"O&amp;M by processes";#N/A,#N/A,FALSE,"Elec Act vs Bud";#N/A,#N/A,FALSE,"G&amp;A";#N/A,#N/A,FALSE,"BGS";#N/A,#N/A,FALSE,"Res Cost"}</definedName>
    <definedName name="Consolid" hidden="1">{#N/A,#N/A,FALSE,"O&amp;M by processes";#N/A,#N/A,FALSE,"Elec Act vs Bud";#N/A,#N/A,FALSE,"G&amp;A";#N/A,#N/A,FALSE,"BGS";#N/A,#N/A,FALSE,"Res Cost"}</definedName>
    <definedName name="Consolidated" localSheetId="13" hidden="1">{#N/A,#N/A,FALSE,"O&amp;M by processes";#N/A,#N/A,FALSE,"Elec Act vs Bud";#N/A,#N/A,FALSE,"G&amp;A";#N/A,#N/A,FALSE,"BGS";#N/A,#N/A,FALSE,"Res Cost"}</definedName>
    <definedName name="Consolidated" localSheetId="0" hidden="1">{#N/A,#N/A,FALSE,"O&amp;M by processes";#N/A,#N/A,FALSE,"Elec Act vs Bud";#N/A,#N/A,FALSE,"G&amp;A";#N/A,#N/A,FALSE,"BGS";#N/A,#N/A,FALSE,"Res Cost"}</definedName>
    <definedName name="Consolidated" hidden="1">{#N/A,#N/A,FALSE,"O&amp;M by processes";#N/A,#N/A,FALSE,"Elec Act vs Bud";#N/A,#N/A,FALSE,"G&amp;A";#N/A,#N/A,FALSE,"BGS";#N/A,#N/A,FALSE,"Res Cost"}</definedName>
    <definedName name="Contact" hidden="1">#REF!</definedName>
    <definedName name="cost" hidden="1">{#N/A,#N/A,FALSE,"By Month";#N/A,#N/A,FALSE,"Rev By Month";"Print1",#N/A,FALSE,"NA Parts Reporting";"Print2",#N/A,FALSE,"NA Parts Reporting";"Print3",#N/A,FALSE,"NA Parts Reporting"}</definedName>
    <definedName name="CURR_PER">'[1]Control Report'!$C$3</definedName>
    <definedName name="Current_Month_End">'[2]Review Check'!$E$2</definedName>
    <definedName name="Current_Period_End">'[2]Review Check'!$C$2</definedName>
    <definedName name="Current_Year_End">'[2]Review Check'!$C$3</definedName>
    <definedName name="da" localSheetId="13" hidden="1">{#N/A,#N/A,FALSE,"O&amp;M by processes";#N/A,#N/A,FALSE,"Elec Act vs Bud";#N/A,#N/A,FALSE,"G&amp;A";#N/A,#N/A,FALSE,"BGS";#N/A,#N/A,FALSE,"Res Cost"}</definedName>
    <definedName name="da" localSheetId="0" hidden="1">{#N/A,#N/A,FALSE,"O&amp;M by processes";#N/A,#N/A,FALSE,"Elec Act vs Bud";#N/A,#N/A,FALSE,"G&amp;A";#N/A,#N/A,FALSE,"BGS";#N/A,#N/A,FALSE,"Res Cost"}</definedName>
    <definedName name="da" hidden="1">{#N/A,#N/A,FALSE,"O&amp;M by processes";#N/A,#N/A,FALSE,"Elec Act vs Bud";#N/A,#N/A,FALSE,"G&amp;A";#N/A,#N/A,FALSE,"BGS";#N/A,#N/A,FALSE,"Res Cost"}</definedName>
    <definedName name="dada" localSheetId="13" hidden="1">{#N/A,#N/A,FALSE,"O&amp;M by processes";#N/A,#N/A,FALSE,"Elec Act vs Bud";#N/A,#N/A,FALSE,"G&amp;A";#N/A,#N/A,FALSE,"BGS";#N/A,#N/A,FALSE,"Res Cost"}</definedName>
    <definedName name="dada" localSheetId="0" hidden="1">{#N/A,#N/A,FALSE,"O&amp;M by processes";#N/A,#N/A,FALSE,"Elec Act vs Bud";#N/A,#N/A,FALSE,"G&amp;A";#N/A,#N/A,FALSE,"BGS";#N/A,#N/A,FALSE,"Res Cost"}</definedName>
    <definedName name="dada" hidden="1">{#N/A,#N/A,FALSE,"O&amp;M by processes";#N/A,#N/A,FALSE,"Elec Act vs Bud";#N/A,#N/A,FALSE,"G&amp;A";#N/A,#N/A,FALSE,"BGS";#N/A,#N/A,FALSE,"Res Cost"}</definedName>
    <definedName name="dasda"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Date" hidden="1">"b1"</definedName>
    <definedName name="ddd" hidden="1">{"CUR",#N/A,FALSE,"Summary";"PE",#N/A,FALSE,"Accounting";"EXPE",#N/A,FALSE,"Accounting";"EXPAS",#N/A,FALSE,"Accounting";"EXPL",#N/A,FALSE,"Accounting"}</definedName>
    <definedName name="delete" localSheetId="13" hidden="1">{#N/A,#N/A,FALSE,"CURRENT"}</definedName>
    <definedName name="delete" localSheetId="0" hidden="1">{#N/A,#N/A,FALSE,"CURRENT"}</definedName>
    <definedName name="delete" hidden="1">{#N/A,#N/A,FALSE,"CURRENT"}</definedName>
    <definedName name="dfdsfdfs" hidden="1">{"Earnings",#N/A,FALSE,"Earnings";"balancesheet",#N/A,FALSE,"BalanceSheet";"change in cash",#N/A,FALSE,"CashFlow";"oil and gas results",#N/A,FALSE,"Oil and Gas Earnings";"foreign oil and gas results",#N/A,FALSE,"Foreign O&amp;G";"oil and gas details",#N/A,FALSE,"Foreign O&amp;G";"capexsum",#N/A,FALSE,"CAPEX Sum"}</definedName>
    <definedName name="dfg"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ME_BeforeCloseCompleted">"False"</definedName>
    <definedName name="DME_Dirty">"False"</definedName>
    <definedName name="DME_LocalFile">"True"</definedName>
    <definedName name="DocumentName" hidden="1">"b1"</definedName>
    <definedName name="DocumentNum" hidden="1">"a1"</definedName>
    <definedName name="dsfds" hidden="1">#REF!</definedName>
    <definedName name="ea"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e" hidden="1">{"Kontenverteilung",#N/A,FALSE,"H A Ü"}</definedName>
    <definedName name="EEE"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e" localSheetId="13" hidden="1">{#N/A,#N/A,FALSE,"O&amp;M by processes";#N/A,#N/A,FALSE,"Elec Act vs Bud";#N/A,#N/A,FALSE,"G&amp;A";#N/A,#N/A,FALSE,"BGS";#N/A,#N/A,FALSE,"Res Cost"}</definedName>
    <definedName name="eeee" localSheetId="0" hidden="1">{#N/A,#N/A,FALSE,"O&amp;M by processes";#N/A,#N/A,FALSE,"Elec Act vs Bud";#N/A,#N/A,FALSE,"G&amp;A";#N/A,#N/A,FALSE,"BGS";#N/A,#N/A,FALSE,"Res Cost"}</definedName>
    <definedName name="eeee" hidden="1">{#N/A,#N/A,FALSE,"O&amp;M by processes";#N/A,#N/A,FALSE,"Elec Act vs Bud";#N/A,#N/A,FALSE,"G&amp;A";#N/A,#N/A,FALSE,"BGS";#N/A,#N/A,FALSE,"Res Cost"}</definedName>
    <definedName name="ef" hidden="1">{#N/A,#N/A,FALSE,"Aging Summary";#N/A,#N/A,FALSE,"Ratio Analysis";#N/A,#N/A,FALSE,"Test 120 Day Accts";#N/A,#N/A,FALSE,"Tickmarks"}</definedName>
    <definedName name="EIN" hidden="1">#REF!</definedName>
    <definedName name="er"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rg"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6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srg"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twertwtr"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ertyertyeyt"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tyertyreyt" hidden="1">{TRUE,TRUE,-1.25,-15.5,484.5,253.5,FALSE,FALSE,TRUE,TRUE,0,1,#N/A,1,3,14.8947368421053,2,3,FALSE,TRUE,3,TRUE,1,TRUE,80,"Swvu.Assumptions.","ACwvu.Assumptions.",#N/A,FALSE,FALSE,0.65,0.5,1.25,1,1,"","",TRUE,FALSE,FALSE,FALSE,1,#N/A,1,1,"=R1C1:R64C13",FALSE,"Rwvu.Assumptions.",#N/A,FALSE,FALSE,FALSE,1,#N/A,#N/A,FALSE,FALSE,TRUE,TRUE,TRUE}</definedName>
    <definedName name="ertyertyryt" hidden="1">{"US RM Earnings Summary",#N/A,FALSE,"US R&amp;M";"US RM Realization Data",#N/A,FALSE,"US R&amp;M";"For RM Earnings Detail",#N/A,FALSE,"Foreign R&amp;M";"For RM Real and Vol Detail",#N/A,FALSE,"Foreign R&amp;M"}</definedName>
    <definedName name="ertyerytrty" hidden="1">{TRUE,TRUE,-1.25,-15.5,604.5,343.5,FALSE,FALSE,TRUE,TRUE,0,1,2,1,5,1,4,4,TRUE,TRUE,3,TRUE,1,TRUE,85,"Swvu.earnings.","ACwvu.earnings.",#N/A,FALSE,FALSE,0.75,0.75,1,1,2,"","",TRUE,FALSE,FALSE,FALSE,1,#N/A,1,1,"=R1C1:R39C12",FALSE,#N/A,#N/A,FALSE,FALSE,FALSE,1,#N/A,#N/A,FALSE,FALSE,TRUE,TRUE,TRUE}</definedName>
    <definedName name="ertyrtyrey"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EssAliasTable">"Default"</definedName>
    <definedName name="EssLatest">"Q1 FY99"</definedName>
    <definedName name="EssOptions">"2100000010120000_01000"</definedName>
    <definedName name="EST" hidden="1">{#N/A,#N/A,FALSE,"Summary";#N/A,#N/A,FALSE,"Adj to Option C";#N/A,#N/A,FALSE,"Dividend Analysis";#N/A,#N/A,FALSE,"Reserve Analysis";#N/A,#N/A,FALSE,"Depreciation";#N/A,#N/A,FALSE,"Other Tax Adj"}</definedName>
    <definedName name="Estimate" hidden="1">{#N/A,#N/A,FALSE,"Summary";#N/A,#N/A,FALSE,"Adj to Option C";#N/A,#N/A,FALSE,"Dividend Analysis";#N/A,#N/A,FALSE,"Reserve Analysis";#N/A,#N/A,FALSE,"Depreciation";#N/A,#N/A,FALSE,"Other Tax Adj"}</definedName>
    <definedName name="estimate2" hidden="1">{#N/A,#N/A,FALSE,"Summary";#N/A,#N/A,FALSE,"Adj to Option C";#N/A,#N/A,FALSE,"Dividend Analysis";#N/A,#N/A,FALSE,"Reserve Analysis";#N/A,#N/A,FALSE,"Depreciation";#N/A,#N/A,FALSE,"Other Tax Adj"}</definedName>
    <definedName name="etret"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trtyrtyerty" hidden="1">{"Fact Sheet",#N/A,FALSE,"Fact";"Earnings_Summary",#N/A,FALSE,"Earnings Model";"Balance Sheet",#N/A,FALSE,"Balance";"Change in Cash",#N/A,FALSE,"Cashflow";"normalengs",#N/A,FALSE,"NormalEngs";"NormalGrowth",#N/A,FALSE,"NormalGrowth"}</definedName>
    <definedName name="etyertyrty" hidden="1">{"US EP Earn and Prof Analysis",#N/A,FALSE,"USE&amp;P ";"US EP Price Vol Detail",#N/A,FALSE,"USE&amp;P "}</definedName>
    <definedName name="EV__LASTREFTIME__" hidden="1">39826.8319444444</definedName>
    <definedName name="ewrtwertewrt" hidden="1">{"Balance Sheet",#N/A,FALSE,"Balance";"Balance Sheet Details",#N/A,FALSE,"Balance";"Change in Cash",#N/A,FALSE,"Cashflow"}</definedName>
    <definedName name="ExistCap"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Expense" hidden="1">{"'W.W. Summary'!$A$1:$K$37"}</definedName>
    <definedName name="faith" hidden="1">{#N/A,#N/A,FALSE,"Aging Summary";#N/A,#N/A,FALSE,"Ratio Analysis";#N/A,#N/A,FALSE,"Test 120 Day Accts";#N/A,#N/A,FALSE,"Tickmarks"}</definedName>
    <definedName name="fe"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ederal_Rate">'[2]Summary of Tax Rates'!$C$9</definedName>
    <definedName name="ferfe"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ew" hidden="1">{#N/A,#N/A,FALSE,"Ratios-Marathon";#N/A,#N/A,FALSE,"Share Proof-Marathon";#N/A,#N/A,FALSE,"Per Share-Marathon"}</definedName>
    <definedName name="fhk" hidden="1">{#N/A,#N/A,FALSE,"P&amp;L";#N/A,#N/A,FALSE,"DL Worksheet";#N/A,#N/A,FALSE,"Ind. Cell";#N/A,#N/A,FALSE,"Capital";#N/A,#N/A,FALSE,"Tooling";#N/A,#N/A,FALSE,"LRP"}</definedName>
    <definedName name="final" hidden="1">{#N/A,#N/A,FALSE,"Outlook for Month ";#N/A,#N/A,FALSE,"Risk for Month ";#N/A,#N/A,FALSE,"Upside for Month"}</definedName>
    <definedName name="Ford.Verkf" hidden="1">{"Kontenverteilung",#N/A,FALSE,"H A Ü"}</definedName>
    <definedName name="ForderungenVerk" hidden="1">{"Alles",#N/A,FALSE,"H A Ü"}</definedName>
    <definedName name="ForeignProvince" hidden="1">#REF!</definedName>
    <definedName name="Form" hidden="1">#REF!</definedName>
    <definedName name="fw"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gdfg"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gg" hidden="1">{"Saldenliste",#N/A,FALSE,"H A Ü"}</definedName>
    <definedName name="ggg"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GHP_B2Tax">'[2]GHP Provision'!$C$21:$AB$75</definedName>
    <definedName name="GHP_B2TAX_Forecast">'[2]GHP Provision'!$C$358:$AA$412</definedName>
    <definedName name="GHP_Combined_Rate">'[2]Summary of Tax Rates'!$C$11</definedName>
    <definedName name="GHP_ETR_Net_TEO">'[2]Summary of Tax Rates'!$C$14</definedName>
    <definedName name="GHP_FBOS">'[2]Summary of Tax Rates'!$C$21</definedName>
    <definedName name="GHP_Federal_FBOS">'[2]Summary of Tax Rates'!$C$12</definedName>
    <definedName name="GHP_Gross_Up">'[2]Summary of Tax Rates'!$C$19</definedName>
    <definedName name="GHP_PTBI">'[3]03.31.2020 GHP Provision'!$F$1397</definedName>
    <definedName name="GHP_SBOF">'[2]Summary of Tax Rates'!$C$22</definedName>
    <definedName name="GHP_State_Rate">'[2]Summary of Tax Rates'!$C$10</definedName>
    <definedName name="ghr" hidden="1">{#N/A,#N/A,FALSE,"Ratios - Medallion Class A";#N/A,#N/A,FALSE,"Ratios - Medallion Class B";#N/A,#N/A,FALSE,"Share Proof - Medallion A";#N/A,#N/A,FALSE,"Share Proof - Medallion B";#N/A,#N/A,FALSE,"Per Share-Medallion A";#N/A,#N/A,FALSE,"Per Share-Medallion B"}</definedName>
    <definedName name="gita" localSheetId="13" hidden="1">{#N/A,#N/A,FALSE,"O&amp;M by processes";#N/A,#N/A,FALSE,"Elec Act vs Bud";#N/A,#N/A,FALSE,"G&amp;A";#N/A,#N/A,FALSE,"BGS";#N/A,#N/A,FALSE,"Res Cost"}</definedName>
    <definedName name="gita" localSheetId="0" hidden="1">{#N/A,#N/A,FALSE,"O&amp;M by processes";#N/A,#N/A,FALSE,"Elec Act vs Bud";#N/A,#N/A,FALSE,"G&amp;A";#N/A,#N/A,FALSE,"BGS";#N/A,#N/A,FALSE,"Res Cost"}</definedName>
    <definedName name="gita" hidden="1">{#N/A,#N/A,FALSE,"O&amp;M by processes";#N/A,#N/A,FALSE,"Elec Act vs Bud";#N/A,#N/A,FALSE,"G&amp;A";#N/A,#N/A,FALSE,"BGS";#N/A,#N/A,FALSE,"Res Cost"}</definedName>
    <definedName name="gitah" localSheetId="13" hidden="1">{#N/A,#N/A,FALSE,"O&amp;M by processes";#N/A,#N/A,FALSE,"Elec Act vs Bud";#N/A,#N/A,FALSE,"G&amp;A";#N/A,#N/A,FALSE,"BGS";#N/A,#N/A,FALSE,"Res Cost"}</definedName>
    <definedName name="gitah" localSheetId="0" hidden="1">{#N/A,#N/A,FALSE,"O&amp;M by processes";#N/A,#N/A,FALSE,"Elec Act vs Bud";#N/A,#N/A,FALSE,"G&amp;A";#N/A,#N/A,FALSE,"BGS";#N/A,#N/A,FALSE,"Res Cost"}</definedName>
    <definedName name="gitah" hidden="1">{#N/A,#N/A,FALSE,"O&amp;M by processes";#N/A,#N/A,FALSE,"Elec Act vs Bud";#N/A,#N/A,FALSE,"G&amp;A";#N/A,#N/A,FALSE,"BGS";#N/A,#N/A,FALSE,"Res Cost"}</definedName>
    <definedName name="GLH_B2Tax">'[2]GLH Provision'!$C$21:$AB$75</definedName>
    <definedName name="GLH_B2Tax_Forecast">'[2]GLH Provision'!$C$358:$AB$412</definedName>
    <definedName name="GLH_Combined_Rate">'[2]Summary of Tax Rates'!$E$11</definedName>
    <definedName name="GLH_ETR_Net_TEO">'[2]Summary of Tax Rates'!$E$14</definedName>
    <definedName name="GLH_FBOS">'[2]Summary of Tax Rates'!$E$21</definedName>
    <definedName name="GLH_Federal_FBOS">'[2]Summary of Tax Rates'!$E$12</definedName>
    <definedName name="GLH_Gross_Up">'[2]Summary of Tax Rates'!$E$19</definedName>
    <definedName name="GLH_PTBI">#REF!</definedName>
    <definedName name="GLH_SBOF">'[2]Summary of Tax Rates'!$E$22</definedName>
    <definedName name="GLH_State_Rate">'[2]Summary of Tax Rates'!$E$10</definedName>
    <definedName name="GLW_B2Tax_Forecast">'[2]GLW Provision'!$C$358:$AB$412</definedName>
    <definedName name="GLW_Combined_Rate">'[2]Summary of Tax Rates'!$D$11</definedName>
    <definedName name="GLW_FBOS">'[2]Summary of Tax Rates'!$D$21</definedName>
    <definedName name="GLW_Federal_FBOS">'[2]Summary of Tax Rates'!$D$12</definedName>
    <definedName name="GLW_Gross_Up">'[2]Summary of Tax Rates'!$D$19</definedName>
    <definedName name="GLW_SBOF">'[2]Summary of Tax Rates'!$D$22</definedName>
    <definedName name="GLW_State_Rate">'[2]Summary of Tax Rates'!$D$10</definedName>
    <definedName name="gsdagas" hidden="1">{#N/A,#N/A,FALSE,"BS_CORPORATE"}</definedName>
    <definedName name="haha" hidden="1">{"OMPA_FAC",#N/A,FALSE,"OMPA FAC"}</definedName>
    <definedName name="hallo" hidden="1">{"Kontenverteilung",#N/A,FALSE,"H A Ü"}</definedName>
    <definedName name="hangzhou"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he"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9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llo"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ello_"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spLogonApplication">"'CorpFin'"</definedName>
    <definedName name="HspLogonDomain">"'NA1'"</definedName>
    <definedName name="HspLogonServer">"'il06nssftt100'"</definedName>
    <definedName name="HspLogonUserName">"'EFIN47'"</definedName>
    <definedName name="HTML_CodePage" hidden="1">1252</definedName>
    <definedName name="HTML_Control" hidden="1">{"'W.W. Summary'!$A$1:$K$37"}</definedName>
    <definedName name="HTML_Control_1" hidden="1">{"'360068'!$A$1:$P$225"}</definedName>
    <definedName name="HTML_Control_2" hidden="1">{"'360068'!$A$1:$P$225"}</definedName>
    <definedName name="HTML_Control_3" hidden="1">{"'360068'!$A$1:$P$225"}</definedName>
    <definedName name="HTML_Control_4" hidden="1">{"'360068'!$A$1:$P$225"}</definedName>
    <definedName name="HTML_Control_454" hidden="1">{"'360068'!$A$1:$P$225"}</definedName>
    <definedName name="HTML_Control_5" hidden="1">{"'360068'!$A$1:$P$225"}</definedName>
    <definedName name="HTML_Control2" hidden="1">{"'W.W. Summary'!$A$1:$K$37"}</definedName>
    <definedName name="HTML_Description" hidden="1">""</definedName>
    <definedName name="HTML_Email" hidden="1">""</definedName>
    <definedName name="HTML_Header" hidden="1">"Finance"</definedName>
    <definedName name="HTML_LastUpdate" hidden="1">"2/3/98"</definedName>
    <definedName name="HTML_LineAfter" hidden="1">FALSE</definedName>
    <definedName name="HTML_LineBefore" hidden="1">FALSE</definedName>
    <definedName name="HTML_Name" hidden="1">"G14163"</definedName>
    <definedName name="HTML_OBDlg2" hidden="1">TRUE</definedName>
    <definedName name="HTML_OBDlg4" hidden="1">TRUE</definedName>
    <definedName name="HTML_OS" hidden="1">0</definedName>
    <definedName name="HTML_PathFile" hidden="1">"L:\RAPTOR\INET0198\SECTCOST\summ.htm"</definedName>
    <definedName name="HTML_Title" hidden="1">"SECTOR1"</definedName>
    <definedName name="HTML1_1" hidden="1">"[FCFF3]Sheet1!$A$1:$L$34"</definedName>
    <definedName name="HTML1_10" hidden="1">""</definedName>
    <definedName name="HTML1_11" hidden="1">1</definedName>
    <definedName name="HTML1_12" hidden="1">"Aswath:Adobe SiteMill™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hukh" hidden="1">{#N/A,#N/A,FALSE,"P&amp;L";#N/A,#N/A,FALSE,"DL Worksheet";#N/A,#N/A,FALSE,"Ind. Cell";#N/A,#N/A,FALSE,"Capital";#N/A,#N/A,FALSE,"Tooling";#N/A,#N/A,FALSE,"LRP"}</definedName>
    <definedName name="inflList" hidden="1">"10000000000000000000000000000000000000000000000000000000000000000000000000000000000000000000000000000000000000000000000000000000000000000000000000000000000000000000000000000000000000000000000000000000"</definedName>
    <definedName name="Interco0604" hidden="1">{#N/A,#N/A,FALSE,"Aging Summary";#N/A,#N/A,FALSE,"Ratio Analysis";#N/A,#N/A,FALSE,"Test 120 Day Accts";#N/A,#N/A,FALSE,"Tickmarks"}</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STDDEV_EST" hidden="1">"c422"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OREIGN_BRANCHES_U.S._BANKS_LOANS_FDIC" hidden="1">"c6438"</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42691.5412615741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2MONTHS_CIQ" hidden="1">"c3769"</definedName>
    <definedName name="IQ_PERCENT_CHANGE_EST_FFO_18MONTHS" hidden="1">"c1829"</definedName>
    <definedName name="IQ_PERCENT_CHANGE_EST_FFO_18MONTHS_CIQ" hidden="1">"c3770"</definedName>
    <definedName name="IQ_PERCENT_CHANGE_EST_FFO_3MONTHS" hidden="1">"c1825"</definedName>
    <definedName name="IQ_PERCENT_CHANGE_EST_FFO_3MONTHS_CIQ" hidden="1">"c3766"</definedName>
    <definedName name="IQ_PERCENT_CHANGE_EST_FFO_6MONTHS" hidden="1">"c1826"</definedName>
    <definedName name="IQ_PERCENT_CHANGE_EST_FFO_6MONTHS_CIQ" hidden="1">"c3767"</definedName>
    <definedName name="IQ_PERCENT_CHANGE_EST_FFO_9MONTHS" hidden="1">"c1827"</definedName>
    <definedName name="IQ_PERCENT_CHANGE_EST_FFO_9MONTHS_CIQ" hidden="1">"c3768"</definedName>
    <definedName name="IQ_PERCENT_CHANGE_EST_FFO_DAY" hidden="1">"c1822"</definedName>
    <definedName name="IQ_PERCENT_CHANGE_EST_FFO_DAY_CIQ" hidden="1">"c3764"</definedName>
    <definedName name="IQ_PERCENT_CHANGE_EST_FFO_MONTH" hidden="1">"c1824"</definedName>
    <definedName name="IQ_PERCENT_CHANGE_EST_FFO_MONTH_CIQ" hidden="1">"c3765"</definedName>
    <definedName name="IQ_PERCENT_CHANGE_EST_FFO_WEEK" hidden="1">"c1823"</definedName>
    <definedName name="IQ_PERCENT_CHANGE_EST_FFO_WEEK_CIQ" hidden="1">"c3795"</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38961.402025463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B_BOOKMARK_COUNT" hidden="1">0</definedName>
    <definedName name="IRSCenter" hidden="1">#REF!</definedName>
    <definedName name="iuyrytdgfx"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iytrutre"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iyuttyr" hidden="1">{"Earnings",#N/A,TRUE,"Earnings";"qtr for IR",#N/A,TRUE,"Quarters";"balancesheet",#N/A,TRUE,"BalanceSheet";"change in cash",#N/A,TRUE,"CashFlow";"oil and gas earnings",#N/A,TRUE,"Oil and Gas Results";"price and vol detail",#N/A,TRUE,"Oil and Gas Results";"capexsum",#N/A,TRUE,"CAPEX Sum"}</definedName>
    <definedName name="ja"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jjks" hidden="1">{#N/A,#N/A,FALSE,"Total";#N/A,#N/A,FALSE,"ASNS";#N/A,#N/A,FALSE,"PNCNS";#N/A,#N/A,FALSE,"DSNS";#N/A,#N/A,FALSE,"TNS"}</definedName>
    <definedName name="janeiro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son" hidden="1">{"Age 50; 100% - NPPC",#N/A,FALSE,"Age 50; 100%";"Age 50; 100% - PSC",#N/A,FALSE,"Age 50; 100%";"Age 50; 100% - Gain/Loss",#N/A,FALSE,"Age 50; 100%"}</definedName>
    <definedName name="ji" hidden="1">{"'Highlights'!$A$1:$M$123"}</definedName>
    <definedName name="K2_WBEVMODE" hidden="1">-1</definedName>
    <definedName name="Kasse" hidden="1">{"Kontenverteilung",#N/A,FALSE,"H A Ü"}</definedName>
    <definedName name="kjl" hidden="1">{#N/A,#N/A,FALSE,"TOTFINAL";#N/A,#N/A,FALSE,"FINPLAN";#N/A,#N/A,FALSE,"TOTMOTADJ";#N/A,#N/A,FALSE,"tieEQ";#N/A,#N/A,FALSE,"G";#N/A,#N/A,FALSE,"ELIMS";#N/A,#N/A,FALSE,"NEXTEL ADJ";#N/A,#N/A,FALSE,"MIMS";#N/A,#N/A,FALSE,"LMPS";#N/A,#N/A,FALSE,"CNSS";#N/A,#N/A,FALSE,"CSS";#N/A,#N/A,FALSE,"MCG";#N/A,#N/A,FALSE,"AECS";#N/A,#N/A,FALSE,"SPS";#N/A,#N/A,FALSE,"CORP"}</definedName>
    <definedName name="KPMGContact" hidden="1">#REF!</definedName>
    <definedName name="l"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Library" hidden="1">"a1"</definedName>
    <definedName name="limcount" hidden="1">1</definedName>
    <definedName name="ListOffset" hidden="1">1</definedName>
    <definedName name="lk" hidden="1">{#N/A,#N/A,FALSE,"Summary";#N/A,#N/A,FALSE,"Adj to Option C";#N/A,#N/A,FALSE,"Dividend Analysis";#N/A,#N/A,FALSE,"Reserve Analysis";#N/A,#N/A,FALSE,"Depreciation";#N/A,#N/A,FALSE,"Other Tax Adj"}</definedName>
    <definedName name="m"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anageCo_B2Tax_Forecast">'[2]ManageCo Provision'!$C$237:$AN$285</definedName>
    <definedName name="ManageCo_FBOS">'[2]Summary of Tax Rates'!$F$21</definedName>
    <definedName name="ManageCo_Federal_FBOS">'[2]Summary of Tax Rates'!$F$12</definedName>
    <definedName name="ManageCo_Gross_Up">'[2]Summary of Tax Rates'!$F$19</definedName>
    <definedName name="ManageCo_SBOF">'[2]Summary of Tax Rates'!$F$22</definedName>
    <definedName name="ManageCo_State_Rate">'[2]Summary of Tax Rates'!$F$25</definedName>
    <definedName name="ManageCo_State_Rate_No_Bonus">'[2]Summary of Tax Rates'!$F$26</definedName>
    <definedName name="ManageCo_TEO">'[2]Summary of Tax Rates'!$F$17</definedName>
    <definedName name="mb"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_"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CGISS"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FWT"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illion">1000000</definedName>
    <definedName name="MonitorCol">1</definedName>
    <definedName name="MonitorRow">1</definedName>
    <definedName name="N"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ame1" hidden="1">#REF!</definedName>
    <definedName name="Name2" hidden="1">#REF!</definedName>
    <definedName name="nn"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vsAnswerCol">"'[RP Consolidating IS YTD - 2017 - 9.xlsx]BU List'!$A$4:$A$19"</definedName>
    <definedName name="NvsASD">"V2016-12-31"</definedName>
    <definedName name="NvsAutoDrillOk">"VN"</definedName>
    <definedName name="NvsElapsedTime">0.0000462962925666943</definedName>
    <definedName name="NvsEndTime">42816.4573842593</definedName>
    <definedName name="NvsInstLang">"VENG"</definedName>
    <definedName name="NvsInstSpec">"%,FBUSINESS_UNIT,V41000"</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"V10000"</definedName>
    <definedName name="NvsPanelEffdt">"V2016-02-06"</definedName>
    <definedName name="NvsPanelSetid">"VSHARE"</definedName>
    <definedName name="NvsReqBU">"V10000"</definedName>
    <definedName name="NvsReqBUOnly">"VN"</definedName>
    <definedName name="NvsTransLed">"VN"</definedName>
    <definedName name="NvsTreeASD">"V2016-12-31"</definedName>
    <definedName name="NvsValTbl.ACCOUNT">"GL_ACCOUNT_TBL"</definedName>
    <definedName name="NvsValTbl.BUSINESS_UNIT">"BUS_UNIT_TBL_FS"</definedName>
    <definedName name="NvsValTbl.DEPTID">"DEPT_TBL"</definedName>
    <definedName name="oct" hidden="1">{#N/A,#N/A,FALSE,"TOTFINAL";#N/A,#N/A,FALSE,"FINPLAN";#N/A,#N/A,FALSE,"TOTMOTADJ";#N/A,#N/A,FALSE,"tieEQ";#N/A,#N/A,FALSE,"G";#N/A,#N/A,FALSE,"ELIMS";#N/A,#N/A,FALSE,"NEXTEL ADJ";#N/A,#N/A,FALSE,"MIMS";#N/A,#N/A,FALSE,"LMPS";#N/A,#N/A,FALSE,"CNSS";#N/A,#N/A,FALSE,"CSS";#N/A,#N/A,FALSE,"MCG";#N/A,#N/A,FALSE,"AECS";#N/A,#N/A,FALSE,"SPS";#N/A,#N/A,FALSE,"CORP"}</definedName>
    <definedName name="oiupiu" hidden="1">{"US Chemical Summary",#N/A,FALSE,"USChem";"Foreign Chemical Summary",#N/A,FALSE,"ForChem"}</definedName>
    <definedName name="oiutyut" hidden="1">{"US EP DCF Valuation",#N/A,FALSE,"USE&amp;P ";"Can EP DCF Valuation",#N/A,FALSE,"Can E&amp;P";"Eur EP DCF Valuation",#N/A,FALSE,"Eur E&amp;P";"ASPAC EP DCF Valuation",#N/A,FALSE,"Asia-Pac E&amp;P";"NonCon EP DCF Valuation",#N/A,FALSE,"Non-Con E&amp;P"}</definedName>
    <definedName name="oiuyt" hidden="1">{"us ep earnings",#N/A,FALSE,"US E&amp;P";"us ep price vol detail",#N/A,FALSE,"US E&amp;P";"fareast ep earnings",#N/A,FALSE,"Far East E&amp;P";"fareast ep price vol detail",#N/A,FALSE,"Far East E&amp;P";"other EP earnings",#N/A,FALSE,"Other E&amp;P";"other EP price vol detail",#N/A,FALSE,"Other E&amp;P"}</definedName>
    <definedName name="okay"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ol"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ne">1</definedName>
    <definedName name="or"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yutfc" hidden="1">{"Earnings",#N/A,FALSE,"Earnings";"BalanceSheet",#N/A,FALSE,"BalanceSheet";"ChangeinCash",#N/A,FALSE,"CashFlow";"IR Production Sum",#N/A,FALSE,"E&amp;P Summary";"IR EPCost Sum",#N/A,FALSE,"E&amp;P Summary"}</definedName>
    <definedName name="PCount" hidden="1">#REF!</definedName>
    <definedName name="pioupoiu" hidden="1">{"Earnings_Summary",#N/A,FALSE,"Earnings Model";"Earnings EP Detail",#N/A,FALSE,"Earnings Model";"Earnings RM Detail",#N/A,FALSE,"Earnings Model"}</definedName>
    <definedName name="pipiupiou" hidden="1">{"Earnings",#N/A,FALSE,"Earnings";"BalanceSheet",#N/A,FALSE,"BalanceSheet";"Change in Cash",#N/A,FALSE,"CashFlow";"normalengs",#N/A,FALSE,"NormalEngs";"upstream normal per Bbl",#N/A,FALSE,"NormEngUp";"CAPEXsum",#N/A,FALSE,"CAPEX Sum"}</definedName>
    <definedName name="piuoip"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po" hidden="1">{#N/A,#N/A,FALSE,"Summary";#N/A,#N/A,FALSE,"Adj to Option C";#N/A,#N/A,FALSE,"Dividend Analysis";#N/A,#N/A,FALSE,"Reserve Analysis";#N/A,#N/A,FALSE,"Depreciation";#N/A,#N/A,FALSE,"Other Tax Adj"}</definedName>
    <definedName name="poiji" hidden="1">{"Balance Sheet",#N/A,FALSE,"Balance";"Balance Sheet Details",#N/A,FALSE,"Balance"}</definedName>
    <definedName name="_xlnm.Print_Area" localSheetId="1">'1-Project Rev Req'!$A$1:$L$58,'1-Project Rev Req'!$A$59:$X$114</definedName>
    <definedName name="_xlnm.Print_Area" localSheetId="3">'3-Project True-up'!$A$1:$K$47</definedName>
    <definedName name="_xlnm.Print_Area" localSheetId="4">'4- Rate Base'!$A$1:$P$71</definedName>
    <definedName name="_xlnm.Print_Area" localSheetId="5">'5-P3 Support'!$A$1:$N$78</definedName>
    <definedName name="_xlnm.Print_Area" localSheetId="6">'6-Dep Rates'!$A$1:$C$41</definedName>
    <definedName name="_xlnm.Print_Area" localSheetId="7">'7 - PBOP'!$A$1:$F$22</definedName>
    <definedName name="_xlnm.Print_Area" localSheetId="8">'8a-ADIT Projection'!$A$1:$I$38</definedName>
    <definedName name="_xlnm.Print_Area" localSheetId="9">'8b-ADIT Projection Proration'!$A$1:$L$61</definedName>
    <definedName name="_xlnm.Print_Area" localSheetId="10">'8c- ADIT BOY'!$A$1:$H$83</definedName>
    <definedName name="_xlnm.Print_Area" localSheetId="11">'8d- ADIT EOY'!$A$1:$H$86</definedName>
    <definedName name="_xlnm.Print_Area" localSheetId="12">'8e-ADIT True-up'!$A$1:$I$37</definedName>
    <definedName name="_xlnm.Print_Area" localSheetId="13">'8f-ADIT True-up Proration'!$A$1:$AF$61</definedName>
    <definedName name="_xlnm.Print_Area" localSheetId="15">'8h - ADIT Remeasurement'!$A$1:$P$49</definedName>
    <definedName name="_xlnm.Print_Area" localSheetId="0">'Attachment O'!$A$1:$K$314</definedName>
    <definedName name="_xlnm.Print_Titles" localSheetId="8">'8a-ADIT Projection'!$19:$20</definedName>
    <definedName name="_xlnm.Print_Titles" localSheetId="9">'8b-ADIT Projection Proration'!$6:$7</definedName>
    <definedName name="_xlnm.Print_Titles" localSheetId="12">'8e-ADIT True-up'!$19:$20</definedName>
    <definedName name="_xlnm.Print_Titles" localSheetId="13">'8f-ADIT True-up Proration'!$6:$7</definedName>
    <definedName name="Prior_Year_End">'[2]Review Check'!$C$1</definedName>
    <definedName name="Provision" hidden="1">#REF!</definedName>
    <definedName name="q" hidden="1">{"MATALL",#N/A,FALSE,"Sheet4";"matclass",#N/A,FALSE,"Sheet4"}</definedName>
    <definedName name="q_1" hidden="1">{#N/A,#N/A,FALSE,"BS_ESG ";#N/A,#N/A,FALSE,"P&amp;L_ESG"}</definedName>
    <definedName name="q_2" hidden="1">{#N/A,#N/A,FALSE,"BS_ESG ";#N/A,#N/A,FALSE,"P&amp;L_ESG"}</definedName>
    <definedName name="q_3" hidden="1">{#N/A,#N/A,FALSE,"BS_ESG ";#N/A,#N/A,FALSE,"P&amp;L_ESG"}</definedName>
    <definedName name="q_4" hidden="1">{#N/A,#N/A,FALSE,"BS_ESG ";#N/A,#N/A,FALSE,"P&amp;L_ESG"}</definedName>
    <definedName name="q_5" hidden="1">{#N/A,#N/A,FALSE,"BS_ESG ";#N/A,#N/A,FALSE,"P&amp;L_ESG"}</definedName>
    <definedName name="Q2Fcst" hidden="1">{#N/A,#N/A,FALSE,"TOTFINAL";#N/A,#N/A,FALSE,"FINPLAN";#N/A,#N/A,FALSE,"TOTMOTADJ";#N/A,#N/A,FALSE,"tieEQ";#N/A,#N/A,FALSE,"G";#N/A,#N/A,FALSE,"ELIMS";#N/A,#N/A,FALSE,"NEXTEL ADJ";#N/A,#N/A,FALSE,"MIMS";#N/A,#N/A,FALSE,"LMPS";#N/A,#N/A,FALSE,"CNSS";#N/A,#N/A,FALSE,"CSS";#N/A,#N/A,FALSE,"MCG";#N/A,#N/A,FALSE,"AECS";#N/A,#N/A,FALSE,"SPS";#N/A,#N/A,FALSE,"CORP"}</definedName>
    <definedName name="qerw"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q" hidden="1">{#N/A,#N/A,FALSE,"BS_ESG ";#N/A,#N/A,FALSE,"P&amp;L_ESG"}</definedName>
    <definedName name="QR"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q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w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ad" hidden="1">{#N/A,#N/A,FALSE,"Hastax"}</definedName>
    <definedName name="referenc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portGroup" hidden="1">0</definedName>
    <definedName name="rer"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v" hidden="1">{#N/A,#N/A,FALSE,"Ratios - Classic";#N/A,#N/A,FALSE,"Share Proof - Classic";#N/A,#N/A,FALSE,"Per Share-Classic"}</definedName>
    <definedName name="rf"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ggfgrt" hidden="1">{"a",#N/A,FALSE,"Fact Sheet";"a",#N/A,FALSE,"DCFEVA";"a",#N/A,FALSE,"Statements";"a",#N/A,FALSE,"Quarterly";"a",#N/A,FALSE,"Q Grid";"a",#N/A,FALSE,"Stockval";"a",#N/A,FALSE,"DDM"}</definedName>
    <definedName name="rmcAccount">96050</definedName>
    <definedName name="rmcApplication">"MOTO"</definedName>
    <definedName name="rmcCategory">"PFCST"</definedName>
    <definedName name="rmcFrequency">"MON"</definedName>
    <definedName name="rmcName">"R0P014"</definedName>
    <definedName name="RMCOptions">"*000000000000000"</definedName>
    <definedName name="rmcPeriod">9609</definedName>
    <definedName name="Robson"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ounding" hidden="1">[4]PshipInfo!$C$24</definedName>
    <definedName name="rr"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rrr" localSheetId="13" hidden="1">{#N/A,#N/A,FALSE,"O&amp;M by processes";#N/A,#N/A,FALSE,"Elec Act vs Bud";#N/A,#N/A,FALSE,"G&amp;A";#N/A,#N/A,FALSE,"BGS";#N/A,#N/A,FALSE,"Res Cost"}</definedName>
    <definedName name="rrrr" localSheetId="0" hidden="1">{#N/A,#N/A,FALSE,"O&amp;M by processes";#N/A,#N/A,FALSE,"Elec Act vs Bud";#N/A,#N/A,FALSE,"G&amp;A";#N/A,#N/A,FALSE,"BGS";#N/A,#N/A,FALSE,"Res Cost"}</definedName>
    <definedName name="rrrr" hidden="1">{#N/A,#N/A,FALSE,"O&amp;M by processes";#N/A,#N/A,FALSE,"Elec Act vs Bud";#N/A,#N/A,FALSE,"G&amp;A";#N/A,#N/A,FALSE,"BGS";#N/A,#N/A,FALSE,"Res Cost"}</definedName>
    <definedName name="rtyertye" hidden="1">{TRUE,TRUE,-1.25,-15.5,604.5,343.5,FALSE,FALSE,TRUE,TRUE,0,1,5,1,5,1,4,4,TRUE,TRUE,3,TRUE,1,TRUE,80,"Swvu.qtr._.earnings._.model.","ACwvu.qtr._.earnings._.model.",#N/A,FALSE,FALSE,0.65,0.5,1.25,1,2,"","",TRUE,FALSE,FALSE,FALSE,1,#N/A,1,1,"=R1C1:R36C16",FALSE,#N/A,#N/A,FALSE,FALSE,FALSE,1,#N/A,#N/A,FALSE,FALSE,TRUE,TRUE,TRUE}</definedName>
    <definedName name="rtyertyreyt" hidden="1">{TRUE,TRUE,-1.25,-15.5,604.5,343.5,FALSE,FALSE,TRUE,TRUE,0,1,#N/A,1,35,14.1666666666667,3,3,FALSE,TRUE,3,TRUE,1,TRUE,85,"Swvu.oil._.and._.gas._.details.","ACwvu.oil._.and._.gas._.details.",#N/A,FALSE,FALSE,0.75,0.75,1,1,1,"","",TRUE,FALSE,FALSE,FALSE,1,#N/A,1,1,"=R1C1:R59C11","=R1:R3",#N/A,#N/A,FALSE,FALSE,FALSE,1,#N/A,#N/A,FALSE,FALSE,TRUE,TRUE,TRUE}</definedName>
    <definedName name="Rwvu.Earnings." hidden="1">#REF!</definedName>
    <definedName name="Rwvu.Qtr._.Earnings._.Model." hidden="1">#REF!</definedName>
    <definedName name="Rwvu.Table." hidden="1">#REF!,#REF!,#REF!,#REF!,#REF!</definedName>
    <definedName name="s" hidden="1">#REF!</definedName>
    <definedName name="S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ales2" hidden="1">{"'Highlights'!$A$1:$M$123"}</definedName>
    <definedName name="sam" hidden="1">{#N/A,#N/A,FALSE,"Ratios - Classic";#N/A,#N/A,FALSE,"Share Proof - Classic";#N/A,#N/A,FALSE,"Per Share-Classic"}</definedName>
    <definedName name="SAPBEXrevision" hidden="1">1</definedName>
    <definedName name="SAPBEXsysID" hidden="1">"BWP"</definedName>
    <definedName name="SAPBEXwbID" hidden="1">"3KKFFT2OE3M09AA9DMJ9WPQ2U"</definedName>
    <definedName name="SDF" hidden="1">{TRUE,TRUE,-1.25,-15.5,604.5,343.5,FALSE,FALSE,TRUE,TRUE,0,1,#N/A,1,35,14.1666666666667,3,3,FALSE,TRUE,3,TRUE,1,TRUE,85,"Swvu.oil._.and._.gas._.details.","ACwvu.oil._.and._.gas._.details.",#N/A,FALSE,FALSE,0.75,0.75,1,1,1,"","",TRUE,FALSE,FALSE,FALSE,1,#N/A,1,1,"=R1C1:R59C11","=R1:R3",#N/A,#N/A,FALSE,FALSE,FALSE,1,#N/A,#N/A,FALSE,FALSE,TRUE,TRUE,TRUE}</definedName>
    <definedName name="sdfsdf"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sencount" hidden="1">1</definedName>
    <definedName name="sep"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fdsf"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fgasd" hidden="1">{0,0,0,0;0,0,0,0;0,0,0,0;0,0,0,0;0,0,0,0;0,0,0,0;0,0,2,0;2,3,3,0;FALSE,FALSE,FALSE,FALSE;TRUE,FALSE,TRUE,TRUE;FALSE,FALSE,TRUE,TRUE;FALSE,0,2.78134444564786E-308,4.45015196281921E-308;7.78776275135711E-308,1.33504516457612E-307,2.22507555776164E-307,3.56012157274209E-307}</definedName>
    <definedName name="sfgsfgsdfg" hidden="1">{#N/A,#N/A,FALSE,"Aging Summary";#N/A,#N/A,FALSE,"Ratio Analysis";#N/A,#N/A,FALSE,"Test 120 Day Accts";#N/A,#N/A,FALSE,"Tickmarks"}</definedName>
    <definedName name="shelly" hidden="1">{#N/A,#N/A,FALSE,"TOTFINAL";#N/A,#N/A,FALSE,"FINPLAN";#N/A,#N/A,FALSE,"TOTMOTADJ";#N/A,#N/A,FALSE,"tieEQ";#N/A,#N/A,FALSE,"G";#N/A,#N/A,FALSE,"ELIMS";#N/A,#N/A,FALSE,"NEXTEL ADJ";#N/A,#N/A,FALSE,"MIMS";#N/A,#N/A,FALSE,"LMPS";#N/A,#N/A,FALSE,"CNSS";#N/A,#N/A,FALSE,"CSS";#N/A,#N/A,FALSE,"MCG";#N/A,#N/A,FALSE,"AECS";#N/A,#N/A,FALSE,"SPS";#N/A,#N/A,FALSE,"CORP"}</definedName>
    <definedName name="shiva" localSheetId="13" hidden="1">{#N/A,#N/A,FALSE,"O&amp;M by processes";#N/A,#N/A,FALSE,"Elec Act vs Bud";#N/A,#N/A,FALSE,"G&amp;A";#N/A,#N/A,FALSE,"BGS";#N/A,#N/A,FALSE,"Res Cost"}</definedName>
    <definedName name="shiva" localSheetId="0" hidden="1">{#N/A,#N/A,FALSE,"O&amp;M by processes";#N/A,#N/A,FALSE,"Elec Act vs Bud";#N/A,#N/A,FALSE,"G&amp;A";#N/A,#N/A,FALSE,"BGS";#N/A,#N/A,FALSE,"Res Cost"}</definedName>
    <definedName name="shiva" hidden="1">{#N/A,#N/A,FALSE,"O&amp;M by processes";#N/A,#N/A,FALSE,"Elec Act vs Bud";#N/A,#N/A,FALSE,"G&amp;A";#N/A,#N/A,FALSE,"BGS";#N/A,#N/A,FALSE,"Res Cost"}</definedName>
    <definedName name="solver_adj" hidden="1">#REF!</definedName>
    <definedName name="solver_drv" hidden="1">1</definedName>
    <definedName name="solver_est" hidden="1">1</definedName>
    <definedName name="solver_itr" hidden="1">100</definedName>
    <definedName name="solver_lhs1" hidden="1">#REF!</definedName>
    <definedName name="solver_lhs2" hidden="1">#REF!</definedName>
    <definedName name="solver_lin" hidden="1">0</definedName>
    <definedName name="solver_num" hidden="1">2</definedName>
    <definedName name="solver_nwt" hidden="1">1</definedName>
    <definedName name="solver_opt" hidden="1">#REF!</definedName>
    <definedName name="solver_pre" hidden="1">0.000001</definedName>
    <definedName name="solver_rel1" hidden="1">1</definedName>
    <definedName name="solver_rel2" hidden="1">3</definedName>
    <definedName name="solver_rhs1" hidden="1">50</definedName>
    <definedName name="solver_rhs2" hidden="1">0</definedName>
    <definedName name="solver_scl" hidden="1">0</definedName>
    <definedName name="solver_sho" hidden="1">0</definedName>
    <definedName name="solver_tim" hidden="1">100</definedName>
    <definedName name="solver_tmp" hidden="1">0</definedName>
    <definedName name="solver_tol" hidden="1">0.05</definedName>
    <definedName name="solver_typ" hidden="1">3</definedName>
    <definedName name="solver_val" hidden="1">10.9</definedName>
    <definedName name="SPWS_WBID">"6770D16C-B453-4883-9736-E9CCF832AEC8"</definedName>
    <definedName name="SSDD" hidden="1">#REF!</definedName>
    <definedName name="sss"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s" hidden="1">{TRUE,TRUE,-1.25,-15.5,484.5,279.75,FALSE,FALSE,TRUE,TRUE,0,3,#N/A,1,#N/A,6.54545454545454,15.55,1,FALSE,FALSE,3,TRUE,1,FALSE,100,"Swvu.WP1.","ACwvu.WP1.",1,FALSE,FALSE,0.25,0.25,0.25,0.25,1,"","&amp;L&amp;D &amp;T NBW&amp;C&amp;P&amp;R&amp;F",FALSE,FALSE,FALSE,FALSE,1,100,#N/A,#N/A,FALSE,FALSE,#N/A,#N/A,FALSE,FALSE}</definedName>
    <definedName name="statsrevised" localSheetId="13" hidden="1">{#N/A,#N/A,FALSE,"O&amp;M by processes";#N/A,#N/A,FALSE,"Elec Act vs Bud";#N/A,#N/A,FALSE,"G&amp;A";#N/A,#N/A,FALSE,"BGS";#N/A,#N/A,FALSE,"Res Cost"}</definedName>
    <definedName name="statsrevised" localSheetId="0" hidden="1">{#N/A,#N/A,FALSE,"O&amp;M by processes";#N/A,#N/A,FALSE,"Elec Act vs Bud";#N/A,#N/A,FALSE,"G&amp;A";#N/A,#N/A,FALSE,"BGS";#N/A,#N/A,FALSE,"Res Cost"}</definedName>
    <definedName name="statsrevised" hidden="1">{#N/A,#N/A,FALSE,"O&amp;M by processes";#N/A,#N/A,FALSE,"Elec Act vs Bud";#N/A,#N/A,FALSE,"G&amp;A";#N/A,#N/A,FALSE,"BGS";#N/A,#N/A,FALSE,"Res Cost"}</definedName>
    <definedName name="stck" hidden="1">{"Saldenliste",#N/A,FALSE,"H A Ü"}</definedName>
    <definedName name="stuff" hidden="1">#REF!</definedName>
    <definedName name="submit"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upport" localSheetId="13" hidden="1">{#N/A,#N/A,FALSE,"O&amp;M by processes";#N/A,#N/A,FALSE,"Elec Act vs Bud";#N/A,#N/A,FALSE,"G&amp;A";#N/A,#N/A,FALSE,"BGS";#N/A,#N/A,FALSE,"Res Cost"}</definedName>
    <definedName name="support" localSheetId="0" hidden="1">{#N/A,#N/A,FALSE,"O&amp;M by processes";#N/A,#N/A,FALSE,"Elec Act vs Bud";#N/A,#N/A,FALSE,"G&amp;A";#N/A,#N/A,FALSE,"BGS";#N/A,#N/A,FALSE,"Res Cost"}</definedName>
    <definedName name="support" hidden="1">{#N/A,#N/A,FALSE,"O&amp;M by processes";#N/A,#N/A,FALSE,"Elec Act vs Bud";#N/A,#N/A,FALSE,"G&amp;A";#N/A,#N/A,FALSE,"BGS";#N/A,#N/A,FALSE,"Res Cost"}</definedName>
    <definedName name="supporti" localSheetId="13" hidden="1">{#N/A,#N/A,FALSE,"O&amp;M by processes";#N/A,#N/A,FALSE,"Elec Act vs Bud";#N/A,#N/A,FALSE,"G&amp;A";#N/A,#N/A,FALSE,"BGS";#N/A,#N/A,FALSE,"Res Cost"}</definedName>
    <definedName name="supporti" localSheetId="0" hidden="1">{#N/A,#N/A,FALSE,"O&amp;M by processes";#N/A,#N/A,FALSE,"Elec Act vs Bud";#N/A,#N/A,FALSE,"G&amp;A";#N/A,#N/A,FALSE,"BGS";#N/A,#N/A,FALSE,"Res Cost"}</definedName>
    <definedName name="supporti" hidden="1">{#N/A,#N/A,FALSE,"O&amp;M by processes";#N/A,#N/A,FALSE,"Elec Act vs Bud";#N/A,#N/A,FALSE,"G&amp;A";#N/A,#N/A,FALSE,"BGS";#N/A,#N/A,FALSE,"Res Cost"}</definedName>
    <definedName name="Swvu.earnings." hidden="1">#REF!</definedName>
    <definedName name="Swvu.OP." hidden="1">#REF!</definedName>
    <definedName name="TableName">"Dummy"</definedName>
    <definedName name="take" hidden="1">{#N/A,#N/A,FALSE,"Input Data Sheet";#N/A,#N/A,FALSE,"Turnover";#N/A,#N/A,FALSE,"NSAR";#N/A,#N/A,FALSE,"Ratios-HUB";#N/A,#N/A,FALSE,"Capital Roll - Hub"}</definedName>
    <definedName name="TaxTV">10%</definedName>
    <definedName name="TaxXL">5%</definedName>
    <definedName name="teagdz" hidden="1">{"Factsheet",#N/A,FALSE,"Fact";"Earnings",#N/A,FALSE,"Earnings";"BalanceSheet",#N/A,FALSE,"BalanceSheet";"Change in Cash",#N/A,FALSE,"CashFlow"}</definedName>
    <definedName name="Tel" hidden="1">#REF!</definedName>
    <definedName name="TEO">#REF!</definedName>
    <definedName name="teo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ss"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sss"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7"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20"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2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30"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40"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xtRefCopyRangeCount" hidden="1">4</definedName>
    <definedName name="thousand">1000</definedName>
    <definedName name="Time" hidden="1">"b1"</definedName>
    <definedName name="toma" localSheetId="13" hidden="1">{#N/A,#N/A,FALSE,"O&amp;M by processes";#N/A,#N/A,FALSE,"Elec Act vs Bud";#N/A,#N/A,FALSE,"G&amp;A";#N/A,#N/A,FALSE,"BGS";#N/A,#N/A,FALSE,"Res Cost"}</definedName>
    <definedName name="toma" localSheetId="0" hidden="1">{#N/A,#N/A,FALSE,"O&amp;M by processes";#N/A,#N/A,FALSE,"Elec Act vs Bud";#N/A,#N/A,FALSE,"G&amp;A";#N/A,#N/A,FALSE,"BGS";#N/A,#N/A,FALSE,"Res Cost"}</definedName>
    <definedName name="toma" hidden="1">{#N/A,#N/A,FALSE,"O&amp;M by processes";#N/A,#N/A,FALSE,"Elec Act vs Bud";#N/A,#N/A,FALSE,"G&amp;A";#N/A,#N/A,FALSE,"BGS";#N/A,#N/A,FALSE,"Res Cost"}</definedName>
    <definedName name="tomb" localSheetId="13" hidden="1">{#N/A,#N/A,FALSE,"O&amp;M by processes";#N/A,#N/A,FALSE,"Elec Act vs Bud";#N/A,#N/A,FALSE,"G&amp;A";#N/A,#N/A,FALSE,"BGS";#N/A,#N/A,FALSE,"Res Cost"}</definedName>
    <definedName name="tomb" localSheetId="0" hidden="1">{#N/A,#N/A,FALSE,"O&amp;M by processes";#N/A,#N/A,FALSE,"Elec Act vs Bud";#N/A,#N/A,FALSE,"G&amp;A";#N/A,#N/A,FALSE,"BGS";#N/A,#N/A,FALSE,"Res Cost"}</definedName>
    <definedName name="tomb" hidden="1">{#N/A,#N/A,FALSE,"O&amp;M by processes";#N/A,#N/A,FALSE,"Elec Act vs Bud";#N/A,#N/A,FALSE,"G&amp;A";#N/A,#N/A,FALSE,"BGS";#N/A,#N/A,FALSE,"Res Cost"}</definedName>
    <definedName name="tomc" localSheetId="13" hidden="1">{#N/A,#N/A,FALSE,"O&amp;M by processes";#N/A,#N/A,FALSE,"Elec Act vs Bud";#N/A,#N/A,FALSE,"G&amp;A";#N/A,#N/A,FALSE,"BGS";#N/A,#N/A,FALSE,"Res Cost"}</definedName>
    <definedName name="tomc" localSheetId="0" hidden="1">{#N/A,#N/A,FALSE,"O&amp;M by processes";#N/A,#N/A,FALSE,"Elec Act vs Bud";#N/A,#N/A,FALSE,"G&amp;A";#N/A,#N/A,FALSE,"BGS";#N/A,#N/A,FALSE,"Res Cost"}</definedName>
    <definedName name="tomc" hidden="1">{#N/A,#N/A,FALSE,"O&amp;M by processes";#N/A,#N/A,FALSE,"Elec Act vs Bud";#N/A,#N/A,FALSE,"G&amp;A";#N/A,#N/A,FALSE,"BGS";#N/A,#N/A,FALSE,"Res Cost"}</definedName>
    <definedName name="tomd" localSheetId="13" hidden="1">{#N/A,#N/A,FALSE,"O&amp;M by processes";#N/A,#N/A,FALSE,"Elec Act vs Bud";#N/A,#N/A,FALSE,"G&amp;A";#N/A,#N/A,FALSE,"BGS";#N/A,#N/A,FALSE,"Res Cost"}</definedName>
    <definedName name="tomd" localSheetId="0" hidden="1">{#N/A,#N/A,FALSE,"O&amp;M by processes";#N/A,#N/A,FALSE,"Elec Act vs Bud";#N/A,#N/A,FALSE,"G&amp;A";#N/A,#N/A,FALSE,"BGS";#N/A,#N/A,FALSE,"Res Cost"}</definedName>
    <definedName name="tomd" hidden="1">{#N/A,#N/A,FALSE,"O&amp;M by processes";#N/A,#N/A,FALSE,"Elec Act vs Bud";#N/A,#N/A,FALSE,"G&amp;A";#N/A,#N/A,FALSE,"BGS";#N/A,#N/A,FALSE,"Res Cost"}</definedName>
    <definedName name="tomx" localSheetId="13" hidden="1">{#N/A,#N/A,FALSE,"O&amp;M by processes";#N/A,#N/A,FALSE,"Elec Act vs Bud";#N/A,#N/A,FALSE,"G&amp;A";#N/A,#N/A,FALSE,"BGS";#N/A,#N/A,FALSE,"Res Cost"}</definedName>
    <definedName name="tomx" localSheetId="0" hidden="1">{#N/A,#N/A,FALSE,"O&amp;M by processes";#N/A,#N/A,FALSE,"Elec Act vs Bud";#N/A,#N/A,FALSE,"G&amp;A";#N/A,#N/A,FALSE,"BGS";#N/A,#N/A,FALSE,"Res Cost"}</definedName>
    <definedName name="tomx" hidden="1">{#N/A,#N/A,FALSE,"O&amp;M by processes";#N/A,#N/A,FALSE,"Elec Act vs Bud";#N/A,#N/A,FALSE,"G&amp;A";#N/A,#N/A,FALSE,"BGS";#N/A,#N/A,FALSE,"Res Cost"}</definedName>
    <definedName name="tomy" localSheetId="13" hidden="1">{#N/A,#N/A,FALSE,"O&amp;M by processes";#N/A,#N/A,FALSE,"Elec Act vs Bud";#N/A,#N/A,FALSE,"G&amp;A";#N/A,#N/A,FALSE,"BGS";#N/A,#N/A,FALSE,"Res Cost"}</definedName>
    <definedName name="tomy" localSheetId="0" hidden="1">{#N/A,#N/A,FALSE,"O&amp;M by processes";#N/A,#N/A,FALSE,"Elec Act vs Bud";#N/A,#N/A,FALSE,"G&amp;A";#N/A,#N/A,FALSE,"BGS";#N/A,#N/A,FALSE,"Res Cost"}</definedName>
    <definedName name="tomy" hidden="1">{#N/A,#N/A,FALSE,"O&amp;M by processes";#N/A,#N/A,FALSE,"Elec Act vs Bud";#N/A,#N/A,FALSE,"G&amp;A";#N/A,#N/A,FALSE,"BGS";#N/A,#N/A,FALSE,"Res Cost"}</definedName>
    <definedName name="tomz" localSheetId="13" hidden="1">{#N/A,#N/A,FALSE,"O&amp;M by processes";#N/A,#N/A,FALSE,"Elec Act vs Bud";#N/A,#N/A,FALSE,"G&amp;A";#N/A,#N/A,FALSE,"BGS";#N/A,#N/A,FALSE,"Res Cost"}</definedName>
    <definedName name="tomz" localSheetId="0" hidden="1">{#N/A,#N/A,FALSE,"O&amp;M by processes";#N/A,#N/A,FALSE,"Elec Act vs Bud";#N/A,#N/A,FALSE,"G&amp;A";#N/A,#N/A,FALSE,"BGS";#N/A,#N/A,FALSE,"Res Cost"}</definedName>
    <definedName name="tomz" hidden="1">{#N/A,#N/A,FALSE,"O&amp;M by processes";#N/A,#N/A,FALSE,"Elec Act vs Bud";#N/A,#N/A,FALSE,"G&amp;A";#N/A,#N/A,FALSE,"BGS";#N/A,#N/A,FALSE,"Res Cost"}</definedName>
    <definedName name="treeList" hidden="1">"10000000000000000000000000000000000000000000000000000000000000000000000000000000000000000000000000000000000000000000000000000000000000000000000000000000000000000000000000000000000000000000000000000000"</definedName>
    <definedName name="tryertyrty" hidden="1">{#N/A,#N/A,FALSE,"Income Statement";#N/A,#N/A,FALSE,"Quarter IS";#N/A,#N/A,FALSE,"US E&amp;P";#N/A,#N/A,FALSE,"International E&amp;P";#N/A,#N/A,FALSE,"Chemicals"}</definedName>
    <definedName name="tt" hidden="1">{"Kontenverteilung",#N/A,FALSE,"H A Ü"}</definedName>
    <definedName name="ttt"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tyertyerty" hidden="1">{TRUE,TRUE,-1.25,-15.5,604.5,343.5,FALSE,FALSE,TRUE,TRUE,0,1,#N/A,1,#N/A,11.0357142857143,23.5294117647059,1,FALSE,FALSE,3,TRUE,1,FALSE,100,"Swvu.normal._.growth.","ACwvu.normal._.growth.",#N/A,FALSE,FALSE,0.75,0.75,1,1,1,"","",TRUE,FALSE,FALSE,FALSE,1,#N/A,1,1,"=R1C1:R20C3",FALSE,#N/A,#N/A,FALSE,FALSE,FALSE,1,#N/A,#N/A,FALSE,FALSE,TRUE,TRUE,TRUE}</definedName>
    <definedName name="tyertyeryt" hidden="1">{TRUE,TRUE,-1.25,-15.5,604.5,343.5,FALSE,FALSE,TRUE,TRUE,0,1,2,1,13,1,4,4,TRUE,TRUE,3,TRUE,1,TRUE,80,"Swvu.qtr._.for._.IR.","ACwvu.qtr._.for._.IR.",#N/A,FALSE,FALSE,0.65,0.5,1.25,1,2,"","",TRUE,FALSE,FALSE,FALSE,1,#N/A,1,1,"=R1C1:R33C11",FALSE,#N/A,#N/A,FALSE,FALSE,FALSE,1,#N/A,#N/A,FALSE,FALSE,TRUE,TRUE,TRUE}</definedName>
    <definedName name="Typist" hidden="1">"b1"</definedName>
    <definedName name="UDFCount" hidden="1">#REF!</definedName>
    <definedName name="UIO49X"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nf.Leist" hidden="1">{"Alles",#N/A,FALSE,"H A Ü"}</definedName>
    <definedName name="Unfert.Leist" hidden="1">{"Saldenliste",#N/A,FALSE,"H A Ü"}</definedName>
    <definedName name="uwe" hidden="1">{"Alles",#N/A,FALSE,"H A Ü"}</definedName>
    <definedName name="uwu" hidden="1">{#N/A,#N/A,FALSE,"QTR Total";#N/A,#N/A,FALSE,"QTR ASNS";#N/A,#N/A,FALSE,"QTR PNCNS";#N/A,#N/A,FALSE,"QTR DSNS";#N/A,#N/A,FALSE,"QTR TNS"}</definedName>
    <definedName name="v" hidden="1">{#N/A,#N/A,FALSE,"TOTFINAL";#N/A,#N/A,FALSE,"FINPLAN";#N/A,#N/A,FALSE,"TOTMOTADJ";#N/A,#N/A,FALSE,"tieEQ";#N/A,#N/A,FALSE,"G";#N/A,#N/A,FALSE,"ELIMS";#N/A,#N/A,FALSE,"NEXTEL ADJ";#N/A,#N/A,FALSE,"MIMS";#N/A,#N/A,FALSE,"LMPS";#N/A,#N/A,FALSE,"CNSS";#N/A,#N/A,FALSE,"CSS";#N/A,#N/A,FALSE,"MCG";#N/A,#N/A,FALSE,"AECS";#N/A,#N/A,FALSE,"SPS";#N/A,#N/A,FALSE,"CORP"}</definedName>
    <definedName name="Values_Entered">IF(Loan_Amount*Interest_Rate*Loan_Years*Loan_Start&gt;0,1,0)</definedName>
    <definedName name="Version" hidden="1">"a1"</definedName>
    <definedName name="vv"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 hidden="1">{"MATALL",#N/A,FALSE,"Sheet4";"matclass",#N/A,FALSE,"Sheet4"}</definedName>
    <definedName name="w3r345"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aefar"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ARR" hidden="1">#REF!</definedName>
    <definedName name="we" hidden="1">{#N/A,#N/A,FALSE,"1997 WW (Short)";#N/A,#N/A,FALSE,"1997 RF Mfg";#N/A,#N/A,FALSE,"Ancillary-CSM";#N/A,#N/A,FALSE,"1997 Service"}</definedName>
    <definedName name="weeks">'[1]Receivables Week'!$I$3:$K$30</definedName>
    <definedName name="wef" hidden="1">{TRUE,TRUE,-1.25,-15.5,604.5,343.5,FALSE,FALSE,TRUE,TRUE,0,1,#N/A,1,35,14.1666666666667,3,3,FALSE,TRUE,3,TRUE,1,TRUE,85,"Swvu.oil._.and._.gas._.details.","ACwvu.oil._.and._.gas._.details.",#N/A,FALSE,FALSE,0.75,0.75,1,1,1,"","",TRUE,FALSE,FALSE,FALSE,1,#N/A,1,1,"=R1C1:R59C11","=R1:R3",#N/A,#N/A,FALSE,FALSE,FALSE,1,#N/A,#N/A,FALSE,FALSE,TRUE,TRUE,TRUE}</definedName>
    <definedName name="WEFA"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wertewrtewrt"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ertewrtw"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ertwert" hidden="1">{"Factsheet",#N/A,FALSE,"Fact";"Earnings",#N/A,FALSE,"Earnings";"BalanceSheet",#N/A,FALSE,"BalanceSheet";"Change in Cash",#N/A,FALSE,"CashFlow";"Q Rating",#N/A,FALSE,"Q-Rating";"Dupont",#N/A,FALSE,"Dupont"}</definedName>
    <definedName name="wertwertewrt"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ertwertwer"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h" localSheetId="13" hidden="1">{#N/A,#N/A,FALSE,"O&amp;M by processes";#N/A,#N/A,FALSE,"Elec Act vs Bud";#N/A,#N/A,FALSE,"G&amp;A";#N/A,#N/A,FALSE,"BGS";#N/A,#N/A,FALSE,"Res Cost"}</definedName>
    <definedName name="wh" localSheetId="0" hidden="1">{#N/A,#N/A,FALSE,"O&amp;M by processes";#N/A,#N/A,FALSE,"Elec Act vs Bud";#N/A,#N/A,FALSE,"G&amp;A";#N/A,#N/A,FALSE,"BGS";#N/A,#N/A,FALSE,"Res Cost"}</definedName>
    <definedName name="wh" hidden="1">{#N/A,#N/A,FALSE,"O&amp;M by processes";#N/A,#N/A,FALSE,"Elec Act vs Bud";#N/A,#N/A,FALSE,"G&amp;A";#N/A,#N/A,FALSE,"BGS";#N/A,#N/A,FALSE,"Res Cost"}</definedName>
    <definedName name="what" localSheetId="13" hidden="1">{#N/A,#N/A,FALSE,"O&amp;M by processes";#N/A,#N/A,FALSE,"Elec Act vs Bud";#N/A,#N/A,FALSE,"G&amp;A";#N/A,#N/A,FALSE,"BGS";#N/A,#N/A,FALSE,"Res Cost"}</definedName>
    <definedName name="what" localSheetId="0" hidden="1">{#N/A,#N/A,FALSE,"O&amp;M by processes";#N/A,#N/A,FALSE,"Elec Act vs Bud";#N/A,#N/A,FALSE,"G&amp;A";#N/A,#N/A,FALSE,"BGS";#N/A,#N/A,FALSE,"Res Cost"}</definedName>
    <definedName name="what" hidden="1">{#N/A,#N/A,FALSE,"O&amp;M by processes";#N/A,#N/A,FALSE,"Elec Act vs Bud";#N/A,#N/A,FALSE,"G&amp;A";#N/A,#N/A,FALSE,"BGS";#N/A,#N/A,FALSE,"Res Cost"}</definedName>
    <definedName name="what2" hidden="1">{"Age 50; 100% - NPPC",#N/A,FALSE,"Age 50; 100%";"Age 50; 100% - PSC",#N/A,FALSE,"Age 50; 100%";"Age 50; 100% - Gain/Loss",#N/A,FALSE,"Age 50; 100%"}</definedName>
    <definedName name="what3" hidden="1">{"Age 50; 50% - NPPC",#N/A,FALSE,"Age 50; 50%";"Age 50; 50% - PSC",#N/A,FALSE,"Age 50; 50%";"Age 50; 50% - Gain/Loss",#N/A,FALSE,"Age 50; 50%"}</definedName>
    <definedName name="Whatwhat" localSheetId="13" hidden="1">{#N/A,#N/A,FALSE,"O&amp;M by processes";#N/A,#N/A,FALSE,"Elec Act vs Bud";#N/A,#N/A,FALSE,"G&amp;A";#N/A,#N/A,FALSE,"BGS";#N/A,#N/A,FALSE,"Res Cost"}</definedName>
    <definedName name="Whatwhat" localSheetId="0" hidden="1">{#N/A,#N/A,FALSE,"O&amp;M by processes";#N/A,#N/A,FALSE,"Elec Act vs Bud";#N/A,#N/A,FALSE,"G&amp;A";#N/A,#N/A,FALSE,"BGS";#N/A,#N/A,FALSE,"Res Cost"}</definedName>
    <definedName name="Whatwhat" hidden="1">{#N/A,#N/A,FALSE,"O&amp;M by processes";#N/A,#N/A,FALSE,"Elec Act vs Bud";#N/A,#N/A,FALSE,"G&amp;A";#N/A,#N/A,FALSE,"BGS";#N/A,#N/A,FALSE,"Res Cost"}</definedName>
    <definedName name="who" localSheetId="13" hidden="1">{#N/A,#N/A,FALSE,"O&amp;M by processes";#N/A,#N/A,FALSE,"Elec Act vs Bud";#N/A,#N/A,FALSE,"G&amp;A";#N/A,#N/A,FALSE,"BGS";#N/A,#N/A,FALSE,"Res Cost"}</definedName>
    <definedName name="who" localSheetId="0" hidden="1">{#N/A,#N/A,FALSE,"O&amp;M by processes";#N/A,#N/A,FALSE,"Elec Act vs Bud";#N/A,#N/A,FALSE,"G&amp;A";#N/A,#N/A,FALSE,"BGS";#N/A,#N/A,FALSE,"Res Cost"}</definedName>
    <definedName name="who" hidden="1">{#N/A,#N/A,FALSE,"O&amp;M by processes";#N/A,#N/A,FALSE,"Elec Act vs Bud";#N/A,#N/A,FALSE,"G&amp;A";#N/A,#N/A,FALSE,"BGS";#N/A,#N/A,FALSE,"Res Cost"}</definedName>
    <definedName name="whowho" localSheetId="13" hidden="1">{#N/A,#N/A,FALSE,"O&amp;M by processes";#N/A,#N/A,FALSE,"Elec Act vs Bud";#N/A,#N/A,FALSE,"G&amp;A";#N/A,#N/A,FALSE,"BGS";#N/A,#N/A,FALSE,"Res Cost"}</definedName>
    <definedName name="whowho" localSheetId="0" hidden="1">{#N/A,#N/A,FALSE,"O&amp;M by processes";#N/A,#N/A,FALSE,"Elec Act vs Bud";#N/A,#N/A,FALSE,"G&amp;A";#N/A,#N/A,FALSE,"BGS";#N/A,#N/A,FALSE,"Res Cost"}</definedName>
    <definedName name="whowho" hidden="1">{#N/A,#N/A,FALSE,"O&amp;M by processes";#N/A,#N/A,FALSE,"Elec Act vs Bud";#N/A,#N/A,FALSE,"G&amp;A";#N/A,#N/A,FALSE,"BGS";#N/A,#N/A,FALSE,"Res Cost"}</definedName>
    <definedName name="whwh" localSheetId="13" hidden="1">{#N/A,#N/A,FALSE,"O&amp;M by processes";#N/A,#N/A,FALSE,"Elec Act vs Bud";#N/A,#N/A,FALSE,"G&amp;A";#N/A,#N/A,FALSE,"BGS";#N/A,#N/A,FALSE,"Res Cost"}</definedName>
    <definedName name="whwh" localSheetId="0" hidden="1">{#N/A,#N/A,FALSE,"O&amp;M by processes";#N/A,#N/A,FALSE,"Elec Act vs Bud";#N/A,#N/A,FALSE,"G&amp;A";#N/A,#N/A,FALSE,"BGS";#N/A,#N/A,FALSE,"Res Cost"}</definedName>
    <definedName name="whwh" hidden="1">{#N/A,#N/A,FALSE,"O&amp;M by processes";#N/A,#N/A,FALSE,"Elec Act vs Bud";#N/A,#N/A,FALSE,"G&amp;A";#N/A,#N/A,FALSE,"BGS";#N/A,#N/A,FALSE,"Res Cost"}</definedName>
    <definedName name="why" localSheetId="13" hidden="1">{#N/A,#N/A,FALSE,"O&amp;M by processes";#N/A,#N/A,FALSE,"Elec Act vs Bud";#N/A,#N/A,FALSE,"G&amp;A";#N/A,#N/A,FALSE,"BGS";#N/A,#N/A,FALSE,"Res Cost"}</definedName>
    <definedName name="why" localSheetId="0" hidden="1">{#N/A,#N/A,FALSE,"O&amp;M by processes";#N/A,#N/A,FALSE,"Elec Act vs Bud";#N/A,#N/A,FALSE,"G&amp;A";#N/A,#N/A,FALSE,"BGS";#N/A,#N/A,FALSE,"Res Cost"}</definedName>
    <definedName name="why" hidden="1">{#N/A,#N/A,FALSE,"O&amp;M by processes";#N/A,#N/A,FALSE,"Elec Act vs Bud";#N/A,#N/A,FALSE,"G&amp;A";#N/A,#N/A,FALSE,"BGS";#N/A,#N/A,FALSE,"Res Cost"}</definedName>
    <definedName name="WinZipCell" hidden="1">#REF!</definedName>
    <definedName name="WORKCAPa" hidden="1">{"WCCWCLL",#N/A,FALSE,"Sheet3";"PP",#N/A,FALSE,"Sheet3";"MAT1",#N/A,FALSE,"Sheet3";"MAT2",#N/A,FALSE,"Sheet3"}</definedName>
    <definedName name="w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ej" hidden="1">{#N/A,#N/A,FALSE,"Aging Summary";#N/A,#N/A,FALSE,"Ratio Analysis";#N/A,#N/A,FALSE,"Test 120 Day Accts";#N/A,#N/A,FALSE,"Tickmarks"}</definedName>
    <definedName name="wrn" localSheetId="13" hidden="1">{#N/A,#N/A,FALSE,"O&amp;M by processes";#N/A,#N/A,FALSE,"Elec Act vs Bud";#N/A,#N/A,FALSE,"G&amp;A";#N/A,#N/A,FALSE,"BGS";#N/A,#N/A,FALSE,"Res Cost"}</definedName>
    <definedName name="wrn" localSheetId="0" hidden="1">{#N/A,#N/A,FALSE,"O&amp;M by processes";#N/A,#N/A,FALSE,"Elec Act vs Bud";#N/A,#N/A,FALSE,"G&amp;A";#N/A,#N/A,FALSE,"BGS";#N/A,#N/A,FALSE,"Res Cost"}</definedName>
    <definedName name="wrn" hidden="1">{#N/A,#N/A,FALSE,"O&amp;M by processes";#N/A,#N/A,FALSE,"Elec Act vs Bud";#N/A,#N/A,FALSE,"G&amp;A";#N/A,#N/A,FALSE,"BGS";#N/A,#N/A,FALSE,"Res Cost"}</definedName>
    <definedName name="wrn.01_All_Package."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wrn.02_PCS."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3_Corporate." hidden="1">{#N/A,#N/A,FALSE,"BS_CORPORATE"}</definedName>
    <definedName name="wrn.03_Corporate._1" hidden="1">{#N/A,#N/A,FALSE,"BS_CORPORATE"}</definedName>
    <definedName name="wrn.03_Corporate._2" hidden="1">{#N/A,#N/A,FALSE,"BS_CORPORATE"}</definedName>
    <definedName name="wrn.03_Corporate._3" hidden="1">{#N/A,#N/A,FALSE,"BS_CORPORATE"}</definedName>
    <definedName name="wrn.03_Corporate._4" hidden="1">{#N/A,#N/A,FALSE,"BS_CORPORATE"}</definedName>
    <definedName name="wrn.03_Corporate._5" hidden="1">{#N/A,#N/A,FALSE,"BS_CORPORATE"}</definedName>
    <definedName name="wrn.03_NSS."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2"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3"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4"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5"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4_ESG." hidden="1">{#N/A,#N/A,FALSE,"BS_ESG ";#N/A,#N/A,FALSE,"P&amp;L_ESG"}</definedName>
    <definedName name="wrn.04_ESG._1" hidden="1">{#N/A,#N/A,FALSE,"BS_ESG ";#N/A,#N/A,FALSE,"P&amp;L_ESG"}</definedName>
    <definedName name="wrn.04_ESG._2" hidden="1">{#N/A,#N/A,FALSE,"BS_ESG ";#N/A,#N/A,FALSE,"P&amp;L_ESG"}</definedName>
    <definedName name="wrn.04_ESG._3" hidden="1">{#N/A,#N/A,FALSE,"BS_ESG ";#N/A,#N/A,FALSE,"P&amp;L_ESG"}</definedName>
    <definedName name="wrn.04_ESG._4" hidden="1">{#N/A,#N/A,FALSE,"BS_ESG ";#N/A,#N/A,FALSE,"P&amp;L_ESG"}</definedName>
    <definedName name="wrn.04_ESG._5" hidden="1">{#N/A,#N/A,FALSE,"BS_ESG ";#N/A,#N/A,FALSE,"P&amp;L_ESG"}</definedName>
    <definedName name="wrn.05_SPS." hidden="1">{#N/A,#N/A,FALSE,"Balance SPS";#N/A,#N/A,FALSE,"P&amp;L_SPS"}</definedName>
    <definedName name="wrn.05_SPS._1" hidden="1">{#N/A,#N/A,FALSE,"Balance SPS";#N/A,#N/A,FALSE,"P&amp;L_SPS"}</definedName>
    <definedName name="wrn.05_SPS._2" hidden="1">{#N/A,#N/A,FALSE,"Balance SPS";#N/A,#N/A,FALSE,"P&amp;L_SPS"}</definedName>
    <definedName name="wrn.05_SPS._3" hidden="1">{#N/A,#N/A,FALSE,"Balance SPS";#N/A,#N/A,FALSE,"P&amp;L_SPS"}</definedName>
    <definedName name="wrn.05_SPS._4" hidden="1">{#N/A,#N/A,FALSE,"Balance SPS";#N/A,#N/A,FALSE,"P&amp;L_SPS"}</definedName>
    <definedName name="wrn.05_SPS._5" hidden="1">{#N/A,#N/A,FALSE,"Balance SPS";#N/A,#N/A,FALSE,"P&amp;L_SPS"}</definedName>
    <definedName name="wrn.1_Complete._.Package._.less._.Backup."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wrn.1995._.Federal._.Tax._.Installments." hidden="1">{#N/A,#N/A,TRUE,"TAX CALC";#N/A,#N/A,TRUE,"TI SUMMARY";#N/A,#N/A,TRUE,"AMT";#N/A,#N/A,TRUE,"ETR REVIEW"}</definedName>
    <definedName name="wrn.2_PCS." hidden="1">{#N/A,#N/A,FALSE,"Cover";#N/A,#N/A,FALSE,"General Assumptions";#N/A,#N/A,FALSE,"Comments CCS";#N/A,#N/A,FALSE,"BS CSS";#N/A,#N/A,FALSE,"P&amp;L CSS";#N/A,#N/A,FALSE,"Cash Flow CSS";#N/A,#N/A,FALSE,"MBR CSS";#N/A,#N/A,FALSE,"Headcount - CSS";#N/A,#N/A,FALSE,"CSS MFG";#N/A,#N/A,FALSE,"CSS Distr ";#N/A,#N/A,FALSE,"CSS Inventory";#N/A,#N/A,FALSE,"Capital CSS"}</definedName>
    <definedName name="wrn.2_PCS._1" hidden="1">{#N/A,#N/A,FALSE,"Cover";#N/A,#N/A,FALSE,"General Assumptions";#N/A,#N/A,FALSE,"Comments CCS";#N/A,#N/A,FALSE,"BS CSS";#N/A,#N/A,FALSE,"P&amp;L CSS";#N/A,#N/A,FALSE,"Cash Flow CSS";#N/A,#N/A,FALSE,"MBR CSS";#N/A,#N/A,FALSE,"Headcount - CSS";#N/A,#N/A,FALSE,"CSS MFG";#N/A,#N/A,FALSE,"CSS Distr ";#N/A,#N/A,FALSE,"CSS Inventory";#N/A,#N/A,FALSE,"Capital CSS"}</definedName>
    <definedName name="wrn.2_PCS._2" hidden="1">{#N/A,#N/A,FALSE,"Cover";#N/A,#N/A,FALSE,"General Assumptions";#N/A,#N/A,FALSE,"Comments CCS";#N/A,#N/A,FALSE,"BS CSS";#N/A,#N/A,FALSE,"P&amp;L CSS";#N/A,#N/A,FALSE,"Cash Flow CSS";#N/A,#N/A,FALSE,"MBR CSS";#N/A,#N/A,FALSE,"Headcount - CSS";#N/A,#N/A,FALSE,"CSS MFG";#N/A,#N/A,FALSE,"CSS Distr ";#N/A,#N/A,FALSE,"CSS Inventory";#N/A,#N/A,FALSE,"Capital CSS"}</definedName>
    <definedName name="wrn.2_PCS._3" hidden="1">{#N/A,#N/A,FALSE,"Cover";#N/A,#N/A,FALSE,"General Assumptions";#N/A,#N/A,FALSE,"Comments CCS";#N/A,#N/A,FALSE,"BS CSS";#N/A,#N/A,FALSE,"P&amp;L CSS";#N/A,#N/A,FALSE,"Cash Flow CSS";#N/A,#N/A,FALSE,"MBR CSS";#N/A,#N/A,FALSE,"Headcount - CSS";#N/A,#N/A,FALSE,"CSS MFG";#N/A,#N/A,FALSE,"CSS Distr ";#N/A,#N/A,FALSE,"CSS Inventory";#N/A,#N/A,FALSE,"Capital CSS"}</definedName>
    <definedName name="wrn.2_PCS._4" hidden="1">{#N/A,#N/A,FALSE,"Cover";#N/A,#N/A,FALSE,"General Assumptions";#N/A,#N/A,FALSE,"Comments CCS";#N/A,#N/A,FALSE,"BS CSS";#N/A,#N/A,FALSE,"P&amp;L CSS";#N/A,#N/A,FALSE,"Cash Flow CSS";#N/A,#N/A,FALSE,"MBR CSS";#N/A,#N/A,FALSE,"Headcount - CSS";#N/A,#N/A,FALSE,"CSS MFG";#N/A,#N/A,FALSE,"CSS Distr ";#N/A,#N/A,FALSE,"CSS Inventory";#N/A,#N/A,FALSE,"Capital CSS"}</definedName>
    <definedName name="wrn.2_PCS._5" hidden="1">{#N/A,#N/A,FALSE,"Cover";#N/A,#N/A,FALSE,"General Assumptions";#N/A,#N/A,FALSE,"Comments CCS";#N/A,#N/A,FALSE,"BS CSS";#N/A,#N/A,FALSE,"P&amp;L CSS";#N/A,#N/A,FALSE,"Cash Flow CSS";#N/A,#N/A,FALSE,"MBR CSS";#N/A,#N/A,FALSE,"Headcount - CSS";#N/A,#N/A,FALSE,"CSS MFG";#N/A,#N/A,FALSE,"CSS Distr ";#N/A,#N/A,FALSE,"CSS Inventory";#N/A,#N/A,FALSE,"Capital CSS"}</definedName>
    <definedName name="wrn.2006._.Rate._.Case." hidden="1">{"DAB-1, Sch 21, Pg 1",#N/A,FALSE,"ELEC ENERGY";"DAB-1, Sch 21, Pg 2",#N/A,FALSE,"RTPDenverWater";"DAB-1, Sch 21, Pg 3",#N/A,FALSE,"INCREMENTAL - WHOLESALE"}</definedName>
    <definedName name="wrn.3_CIG." hidden="1">{#N/A,#N/A,FALSE,"Cover";#N/A,#N/A,FALSE,"General Assumptions";#N/A,#N/A,FALSE,"Comments CIG";#N/A,#N/A,FALSE,"BS CIG";#N/A,#N/A,FALSE,"P&amp;L CIG";#N/A,#N/A,FALSE,"Cash Flow CIG";#N/A,#N/A,FALSE,"MBR CIG";#N/A,#N/A,FALSE,"Headcount - CIG";#N/A,#N/A,FALSE,"CIG MFG";#N/A,#N/A,FALSE,"CIG Inventory";#N/A,#N/A,FALSE,"Capital CIG"}</definedName>
    <definedName name="wrn.3_CIG._1" hidden="1">{#N/A,#N/A,FALSE,"Cover";#N/A,#N/A,FALSE,"General Assumptions";#N/A,#N/A,FALSE,"Comments CIG";#N/A,#N/A,FALSE,"BS CIG";#N/A,#N/A,FALSE,"P&amp;L CIG";#N/A,#N/A,FALSE,"Cash Flow CIG";#N/A,#N/A,FALSE,"MBR CIG";#N/A,#N/A,FALSE,"Headcount - CIG";#N/A,#N/A,FALSE,"CIG MFG";#N/A,#N/A,FALSE,"CIG Inventory";#N/A,#N/A,FALSE,"Capital CIG"}</definedName>
    <definedName name="wrn.3_CIG._2" hidden="1">{#N/A,#N/A,FALSE,"Cover";#N/A,#N/A,FALSE,"General Assumptions";#N/A,#N/A,FALSE,"Comments CIG";#N/A,#N/A,FALSE,"BS CIG";#N/A,#N/A,FALSE,"P&amp;L CIG";#N/A,#N/A,FALSE,"Cash Flow CIG";#N/A,#N/A,FALSE,"MBR CIG";#N/A,#N/A,FALSE,"Headcount - CIG";#N/A,#N/A,FALSE,"CIG MFG";#N/A,#N/A,FALSE,"CIG Inventory";#N/A,#N/A,FALSE,"Capital CIG"}</definedName>
    <definedName name="wrn.3_CIG._3" hidden="1">{#N/A,#N/A,FALSE,"Cover";#N/A,#N/A,FALSE,"General Assumptions";#N/A,#N/A,FALSE,"Comments CIG";#N/A,#N/A,FALSE,"BS CIG";#N/A,#N/A,FALSE,"P&amp;L CIG";#N/A,#N/A,FALSE,"Cash Flow CIG";#N/A,#N/A,FALSE,"MBR CIG";#N/A,#N/A,FALSE,"Headcount - CIG";#N/A,#N/A,FALSE,"CIG MFG";#N/A,#N/A,FALSE,"CIG Inventory";#N/A,#N/A,FALSE,"Capital CIG"}</definedName>
    <definedName name="wrn.3_CIG._4" hidden="1">{#N/A,#N/A,FALSE,"Cover";#N/A,#N/A,FALSE,"General Assumptions";#N/A,#N/A,FALSE,"Comments CIG";#N/A,#N/A,FALSE,"BS CIG";#N/A,#N/A,FALSE,"P&amp;L CIG";#N/A,#N/A,FALSE,"Cash Flow CIG";#N/A,#N/A,FALSE,"MBR CIG";#N/A,#N/A,FALSE,"Headcount - CIG";#N/A,#N/A,FALSE,"CIG MFG";#N/A,#N/A,FALSE,"CIG Inventory";#N/A,#N/A,FALSE,"Capital CIG"}</definedName>
    <definedName name="wrn.3_CIG._5" hidden="1">{#N/A,#N/A,FALSE,"Cover";#N/A,#N/A,FALSE,"General Assumptions";#N/A,#N/A,FALSE,"Comments CIG";#N/A,#N/A,FALSE,"BS CIG";#N/A,#N/A,FALSE,"P&amp;L CIG";#N/A,#N/A,FALSE,"Cash Flow CIG";#N/A,#N/A,FALSE,"MBR CIG";#N/A,#N/A,FALSE,"Headcount - CIG";#N/A,#N/A,FALSE,"CIG MFG";#N/A,#N/A,FALSE,"CIG Inventory";#N/A,#N/A,FALSE,"Capital CIG"}</definedName>
    <definedName name="wrn.4_iDEN."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1"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2"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3"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4"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5"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5_Total._.Back._.Up." hidden="1">{#N/A,#N/A,FALSE,"BACK UP CIG";#N/A,#N/A,FALSE,"BACK UP Balance FDM";#N/A,#N/A,FALSE,"BACK UP ASP nsad";#N/A,#N/A,FALSE,"BACK UP CORPORATE"}</definedName>
    <definedName name="wrn.5_Total._.Back._.Up._1" hidden="1">{#N/A,#N/A,FALSE,"BACK UP CIG";#N/A,#N/A,FALSE,"BACK UP Balance FDM";#N/A,#N/A,FALSE,"BACK UP ASP nsad";#N/A,#N/A,FALSE,"BACK UP CORPORATE"}</definedName>
    <definedName name="wrn.5_Total._.Back._.Up._2" hidden="1">{#N/A,#N/A,FALSE,"BACK UP CIG";#N/A,#N/A,FALSE,"BACK UP Balance FDM";#N/A,#N/A,FALSE,"BACK UP ASP nsad";#N/A,#N/A,FALSE,"BACK UP CORPORATE"}</definedName>
    <definedName name="wrn.5_Total._.Back._.Up._3" hidden="1">{#N/A,#N/A,FALSE,"BACK UP CIG";#N/A,#N/A,FALSE,"BACK UP Balance FDM";#N/A,#N/A,FALSE,"BACK UP ASP nsad";#N/A,#N/A,FALSE,"BACK UP CORPORATE"}</definedName>
    <definedName name="wrn.5_Total._.Back._.Up._4" hidden="1">{#N/A,#N/A,FALSE,"BACK UP CIG";#N/A,#N/A,FALSE,"BACK UP Balance FDM";#N/A,#N/A,FALSE,"BACK UP ASP nsad";#N/A,#N/A,FALSE,"BACK UP CORPORATE"}</definedName>
    <definedName name="wrn.5_Total._.Back._.Up._5" hidden="1">{#N/A,#N/A,FALSE,"BACK UP CIG";#N/A,#N/A,FALSE,"BACK UP Balance FDM";#N/A,#N/A,FALSE,"BACK UP ASP nsad";#N/A,#N/A,FALSE,"BACK UP CORPORATE"}</definedName>
    <definedName name="wrn.722." localSheetId="13" hidden="1">{#N/A,#N/A,FALSE,"CURRENT"}</definedName>
    <definedName name="wrn.722." localSheetId="0" hidden="1">{#N/A,#N/A,FALSE,"CURRENT"}</definedName>
    <definedName name="wrn.722." hidden="1">{#N/A,#N/A,FALSE,"CURRENT"}</definedName>
    <definedName name="wrn.Accounting._.May." hidden="1">{#N/A,#N/A,TRUE,"Sum(2)";#N/A,#N/A,TRUE,"bs";#N/A,#N/A,TRUE,"pnl";#N/A,#N/A,TRUE,"BY DEPT 9605";#N/A,#N/A,TRUE,"BY S/A 9605"}</definedName>
    <definedName name="wrn.Aging._.and._.Trend._.Analysis." hidden="1">{#N/A,#N/A,FALSE,"Aging Summary";#N/A,#N/A,FALSE,"Ratio Analysis";#N/A,#N/A,FALSE,"Test 120 Day Accts";#N/A,#N/A,FALSE,"Tickmarks"}</definedName>
    <definedName name="wrn.AGT." localSheetId="13" hidden="1">{"AGT",#N/A,FALSE,"Revenue"}</definedName>
    <definedName name="wrn.AGT." localSheetId="0" hidden="1">{"AGT",#N/A,FALSE,"Revenue"}</definedName>
    <definedName name="wrn.AGT." hidden="1">{"AGT",#N/A,FALSE,"Revenue"}</definedName>
    <definedName name="wrn.all." hidden="1">{"Factsheet",#N/A,FALSE,"Fact";"Earnings",#N/A,FALSE,"Earnings";"BalanceSheet",#N/A,FALSE,"BalanceSheet";"Balance Sheet Details",#N/A,FALSE,"BalanceSheet";"ChangeinCash",#N/A,FALSE,"CashFlow";"quarterly",#N/A,FALSE,"Quarters";"UpstrmNormalEngs",#N/A,FALSE,"NormEngUp";"NormalEngs",#N/A,FALSE,"NormalEngs";"NormalGrowth",#N/A,FALSE,"NormalGrowth";"US EP Earnings",#N/A,FALSE,"US E&amp;P";"US EP Price Vol detail",#N/A,FALSE,"US E&amp;P";"Canada EP Earnings",#N/A,FALSE,"Canada E&amp;P";"Canda EP Price Vol Detail",#N/A,FALSE,"Canada E&amp;P";"Europe EP Earnings",#N/A,FALSE,"Eur E&amp;P";"Europe EP Price Vol Detail",#N/A,FALSE,"Eur E&amp;P";"Other EP Earnings",#N/A,FALSE,"Other Foreign E&amp;P";"Other EP Price Vol Detail",#N/A,FALSE,"Other Foreign E&amp;P";"EP Summary",#N/A,FALSE,"E&amp;P Summary";"RnMEarnings",#N/A,FALSE,"R&amp;M ";"RM Operating Stats",#N/A,FALSE,"R&amp;M ";"Chemicals",#N/A,FALSE,"Chemical";"CapEx",#N/A,FALSE,"CAPEX Sum";"ROCE",#N/A,FALSE,"ROCE";"DCF",#N/A,FALSE,"DCFEVA";"Dupont",#N/A,FALSE,"Dupont";"NAV",#N/A,FALSE,"NAV";"QRating",#N/A,FALSE,"Q-Rating";"assumptions",#N/A,FALSE,"Assumptions"}</definedName>
    <definedName name="wrn.All._.Data."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wrn.All._.Sheets." hidden="1">{#N/A,#N/A,TRUE,"Blank";#N/A,#N/A,TRUE,"Report - Portrait";#N/A,#N/A,TRUE,"Report - Landscape";#N/A,#N/A,TRUE,"FAS87 Results"}</definedName>
    <definedName name="wrn.All_Package." hidden="1">{#N/A,#N/A,FALSE,"Comments PCS";#N/A,#N/A,FALSE,"Comments CIG";#N/A,#N/A,FALSE,"Comments IDEN";#N/A,#N/A,FALSE,"BS PCS";#N/A,#N/A,FALSE,"BS CIG";#N/A,#N/A,FALSE,"BS IDEN";#N/A,#N/A,FALSE,"BS TOTAL";#N/A,#N/A,FALSE,"P&amp;L PCS";#N/A,#N/A,FALSE,"P&amp;L CIG";#N/A,#N/A,FALSE,"P&amp;L FWT";#N/A,#N/A,FALSE,"P&amp;L IDEN";#N/A,#N/A,FALSE,"P&amp;L TOTAL";#N/A,#N/A,FALSE,"Cash Flow PCS";#N/A,#N/A,FALSE,"Cash Flow CIG";#N/A,#N/A,FALSE,"Cash Flow IDEN";#N/A,#N/A,FALSE,"Cash Flow Total";#N/A,#N/A,FALSE,"MBR PCS";#N/A,#N/A,FALSE,"MBR CIG";#N/A,#N/A,FALSE,"MBR iDEN";#N/A,#N/A,FALSE,"MBR_FWT";#N/A,#N/A,FALSE,"MBR TOTAL";#N/A,#N/A,FALSE,"Headcount PCS";#N/A,#N/A,FALSE,"Headcount CIG";#N/A,#N/A,FALSE,"Headcount iDEN";#N/A,#N/A,FALSE,"Headcount Total";#N/A,#N/A,FALSE,"FAB UN CSG ";#N/A,#N/A,FALSE,"FAB UN PPG";#N/A,#N/A,FALSE,"FAB UN CIG";#N/A,#N/A,FALSE,"FAB UN IDEN";#N/A,#N/A,FALSE,"FAB UN FWT";#N/A,#N/A,FALSE,"CSS MFG";#N/A,#N/A,FALSE,"CSS Distr";#N/A,#N/A,FALSE,"CSG 6-Up Charts";#N/A,#N/A,FALSE,"CIG MFG";#N/A,#N/A,FALSE,"IDEN MFG";#N/A,#N/A,FALSE,"IDEN 6-Up Charts  ";#N/A,#N/A,FALSE,"FWT MFG";#N/A,#N/A,FALSE,"FWT 6-Up Charts ";#N/A,#N/A,FALSE,"PCS Inventory";#N/A,#N/A,FALSE,"CIG Inventory";#N/A,#N/A,FALSE,"IDEN Inventory";#N/A,#N/A,FALSE,"CE JAG Inventory";#N/A,#N/A,FALSE,"Capital Expenditures";#N/A,#N/A,FALSE,"FM CSG";#N/A,#N/A,FALSE,"NSAD ASP CGS";#N/A,#N/A,FALSE,"FM CIG";#N/A,#N/A,FALSE,"NSAD ASP CIG";#N/A,#N/A,FALSE,"FM iDEN";#N/A,#N/A,FALSE,"NSAD IDEN";#N/A,#N/A,FALSE,"PCS Credit";#N/A,#N/A,FALSE,"R&amp;D  Report";#N/A,#N/A,FALSE,"CSG Mrg Analysis";#N/A,#N/A,FALSE,"CIG Mrg Analysis";#N/A,#N/A,FALSE,"IDEN Mrg Analysis"}</definedName>
    <definedName name="wrn.Alles." hidden="1">{"Alles",#N/A,FALSE,"H A Ü"}</definedName>
    <definedName name="wrn.ancg." hidden="1">{"summary",#N/A,FALSE,"summary";"liabsumm",#N/A,FALSE,"liabsumm";"gl",#N/A,FALSE,"gl";"gl2",#N/A,FALSE,"gl2";"exp",#N/A,FALSE,"exp";"ancg_amort",#N/A,FALSE,"ancg_amort";"recon",#N/A,FALSE,"recon"}</definedName>
    <definedName name="wrn.Appendix._.for._.Quote."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wrn.AR._.Meeting._.Schedule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ARK._.JURIS._.FAC._.CALC." hidden="1">{"ARK_JURIS_FAC",#N/A,FALSE,"Ark_Fuel&amp;Rev"}</definedName>
    <definedName name="wrn.ARK._.JURIS._.FUEL._.COST." hidden="1">{"ARK_JURIS_FUEL",#N/A,FALSE,"Ark_Fuel&amp;Rev"}</definedName>
    <definedName name="wrn.ATOKA._.FAC._.CALC." hidden="1">{"ATOKA_FAC",#N/A,FALSE,"Atoka"}</definedName>
    <definedName name="wrn.August._.1._.2003._.Rate._.Change." localSheetId="13"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localSheetId="0"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ckup._.Corporate." hidden="1">{#N/A,#N/A,FALSE,"BACK UP CORPORATE"}</definedName>
    <definedName name="wrn.Backup._.Corporate._1" hidden="1">{#N/A,#N/A,FALSE,"BACK UP CORPORATE"}</definedName>
    <definedName name="wrn.Backup._.Corporate._2" hidden="1">{#N/A,#N/A,FALSE,"BACK UP CORPORATE"}</definedName>
    <definedName name="wrn.Backup._.Corporate._3" hidden="1">{#N/A,#N/A,FALSE,"BACK UP CORPORATE"}</definedName>
    <definedName name="wrn.Backup._.Corporate._4" hidden="1">{#N/A,#N/A,FALSE,"BACK UP CORPORATE"}</definedName>
    <definedName name="wrn.Backup._.Corporate._5" hidden="1">{#N/A,#N/A,FALSE,"BACK UP CORPORATE"}</definedName>
    <definedName name="wrn.Balance._.Sheet._.with._.details." hidden="1">{"Balance Sheet",#N/A,FALSE,"Balance";"Balance Sheet Details",#N/A,FALSE,"Balance"}</definedName>
    <definedName name="wrn.Basic." localSheetId="13" hidden="1">{#N/A,#N/A,FALSE,"O&amp;M by processes";#N/A,#N/A,FALSE,"Elec Act vs Bud";#N/A,#N/A,FALSE,"G&amp;A";#N/A,#N/A,FALSE,"BGS";#N/A,#N/A,FALSE,"Res Cost"}</definedName>
    <definedName name="wrn.Basic." localSheetId="0" hidden="1">{#N/A,#N/A,FALSE,"O&amp;M by processes";#N/A,#N/A,FALSE,"Elec Act vs Bud";#N/A,#N/A,FALSE,"G&amp;A";#N/A,#N/A,FALSE,"BGS";#N/A,#N/A,FALSE,"Res Cost"}</definedName>
    <definedName name="wrn.Basic." hidden="1">{#N/A,#N/A,FALSE,"O&amp;M by processes";#N/A,#N/A,FALSE,"Elec Act vs Bud";#N/A,#N/A,FALSE,"G&amp;A";#N/A,#N/A,FALSE,"BGS";#N/A,#N/A,FALSE,"Res Cost"}</definedName>
    <definedName name="wrn.Business._.Plan."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wrn.BY._.YEAR." hidden="1">{#N/A,#N/A,FALSE,"Total";#N/A,#N/A,FALSE,"ASNS";#N/A,#N/A,FALSE,"PNCNS";#N/A,#N/A,FALSE,"DSNS";#N/A,#N/A,FALSE,"TNS"}</definedName>
    <definedName name="wrn.calcs." hidden="1">{"calcs1",#N/A,FALSE,"Calcs";"calcs2",#N/A,FALSE,"Calcs"}</definedName>
    <definedName name="wrn.CBd750" hidden="1">{"CBd750-IP(FAS87)",#N/A,FALSE,"CBd750";"CBd750-Dyn(FAS87)",#N/A,FALSE,"CBd750";"CBd750-IP(G/L)",#N/A,FALSE,"CBd750";"CBd750-Dyn(G/L)",#N/A,FALSE,"CBd750";"CBd750-Both(Amort)",#N/A,FALSE,"CBd750"}</definedName>
    <definedName name="wrn.ChartSet." localSheetId="13" hidden="1">{#N/A,#N/A,FALSE,"Elec Deliv";#N/A,#N/A,FALSE,"Atlantic Pie";#N/A,#N/A,FALSE,"Bay Pie";#N/A,#N/A,FALSE,"New Castle Pie";#N/A,#N/A,FALSE,"Transmission Pie"}</definedName>
    <definedName name="wrn.ChartSet." localSheetId="0" hidden="1">{#N/A,#N/A,FALSE,"Elec Deliv";#N/A,#N/A,FALSE,"Atlantic Pie";#N/A,#N/A,FALSE,"Bay Pie";#N/A,#N/A,FALSE,"New Castle Pie";#N/A,#N/A,FALSE,"Transmission Pie"}</definedName>
    <definedName name="wrn.ChartSet." hidden="1">{#N/A,#N/A,FALSE,"Elec Deliv";#N/A,#N/A,FALSE,"Atlantic Pie";#N/A,#N/A,FALSE,"Bay Pie";#N/A,#N/A,FALSE,"New Castle Pie";#N/A,#N/A,FALSE,"Transmission Pie"}</definedName>
    <definedName name="wrn.Chemical._.Summary." hidden="1">{"US Chemical Summary",#N/A,FALSE,"USChem";"Foreign Chemical Summary",#N/A,FALSE,"ForChem"}</definedName>
    <definedName name="wrn.CIG."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Back._.up._.Files." hidden="1">{#N/A,#N/A,FALSE,"BACK UP CIG"}</definedName>
    <definedName name="wrn.CIG._.Back._.up._.Files._1" hidden="1">{#N/A,#N/A,FALSE,"BACK UP CIG"}</definedName>
    <definedName name="wrn.CIG._.Back._.up._.Files._2" hidden="1">{#N/A,#N/A,FALSE,"BACK UP CIG"}</definedName>
    <definedName name="wrn.CIG._.Back._.up._.Files._3" hidden="1">{#N/A,#N/A,FALSE,"BACK UP CIG"}</definedName>
    <definedName name="wrn.CIG._.Back._.up._.Files._4" hidden="1">{#N/A,#N/A,FALSE,"BACK UP CIG"}</definedName>
    <definedName name="wrn.CIG._.Back._.up._.Files._5" hidden="1">{#N/A,#N/A,FALSE,"BACK UP CIG"}</definedName>
    <definedName name="wrn.CIG.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PG._.All._.Sheets." hidden="1">{#N/A,#N/A,FALSE,"Cover";#N/A,#N/A,FALSE,"Commentary";#N/A,#N/A,FALSE,"key ind";#N/A,#N/A,FALSE,"CIG RSB";#N/A,#N/A,FALSE,"4-up charts p.1";#N/A,#N/A,FALSE,"4-up charts p.2";#N/A,#N/A,FALSE,"Q1 Markets";#N/A,#N/A,FALSE,"Annual Mkts";#N/A,#N/A,FALSE," rate of ? qtr";#N/A,#N/A,FALSE,"Detail Rel rate of ? ";#N/A,#N/A,FALSE,"Q1 Products";#N/A,#N/A,FALSE,"Annual Products";#N/A,#N/A,FALSE,"SMUG";#N/A,#N/A,FALSE,"IDL Budgets";#N/A,#N/A,FALSE,"HC Trend";#N/A,#N/A,FALSE,"Functional HC ";#N/A,#N/A,FALSE,"Capital Expd";#N/A,#N/A,FALSE,"Capital CO";#N/A,#N/A,FALSE,"Inventory"}</definedName>
    <definedName name="wrn.CIPG._.Black._.and._.White."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wrn.CIPG._.Color._.Charts." hidden="1">{#N/A,#N/A,FALSE,"4-up charts p.1";#N/A,#N/A,FALSE,"4-up charts p.2";#N/A,#N/A,FALSE," rate of ? qtr";#N/A,#N/A,FALSE,"Detail Rel rate of ? ";#N/A,#N/A,FALSE,"Inventory"}</definedName>
    <definedName name="wrn.ClientReport." hidden="1">{"Summary",#N/A,FALSE,"Summary";"Liabsumm",#N/A,FALSE,"Liabsumm";"Assets",#N/A,FALSE,"Assets";"GL",#N/A,FALSE,"GL";"GL2",#N/A,FALSE,"GL2";"amort",#N/A,FALSE,"amort";"Recon",#N/A,FALSE,"Recon";"FAS1321",#N/A,FALSE,"FAS1321";"FAS1322",#N/A,FALSE,"FAS1322"}</definedName>
    <definedName name="wrn.company."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wrn.Complete_Package."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rn.CONOCO._.FAC." hidden="1">{"CONOCO_FAC",#N/A,FALSE,"Conoco FAC"}</definedName>
    <definedName name="wrn.Cover_financials." hidden="1">{"Factsheet",#N/A,FALSE,"Fact";"Earnings",#N/A,FALSE,"Earnings";"BalanceSheet",#N/A,FALSE,"BalanceSheet";"Change in Cash",#N/A,FALSE,"CashFlow"}</definedName>
    <definedName name="wrn.cwip." hidden="1">{"CWIP2",#N/A,FALSE,"CWIP";"CWIP3",#N/A,FALSE,"CWIP"}</definedName>
    <definedName name="wrn.cwipa" hidden="1">{"CWIP2",#N/A,FALSE,"CWIP";"CWIP3",#N/A,FALSE,"CWIP"}</definedName>
    <definedName name="wrn.Data._.dump." localSheetId="13" hidden="1">{"Input Data",#N/A,FALSE,"Input";"Income and Cash Flow",#N/A,FALSE,"Calculations"}</definedName>
    <definedName name="wrn.Data._.dump." localSheetId="0" hidden="1">{"Input Data",#N/A,FALSE,"Input";"Income and Cash Flow",#N/A,FALSE,"Calculations"}</definedName>
    <definedName name="wrn.Data._.dump." hidden="1">{"Input Data",#N/A,FALSE,"Input";"Income and Cash Flow",#N/A,FALSE,"Calculations"}</definedName>
    <definedName name="wrn.Deferral._.Forecast." localSheetId="13" hidden="1">{"Summary Deferral Forecast",#N/A,FALSE,"Deferral Forecast";"BGS Deferral Forecast",#N/A,FALSE,"BGS Deferral";"NNC Deferral Forecast",#N/A,FALSE,"NNC Deferral";"MTCDeferralForecast",#N/A,FALSE,"MTC Deferral";"SBC Deferral Forecast",#N/A,FALSE,"SBC Deferral"}</definedName>
    <definedName name="wrn.Deferral._.Forecast." localSheetId="0" hidden="1">{"Summary Deferral Forecast",#N/A,FALSE,"Deferral Forecast";"BGS Deferral Forecast",#N/A,FALSE,"BGS Deferral";"NNC Deferral Forecast",#N/A,FALSE,"NNC Deferral";"MTCDeferralForecast",#N/A,FALSE,"MTC Deferral";"SBC Deferral Forecast",#N/A,FALSE,"SBC Deferral"}</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Earn._.Model._.with._.Detail." hidden="1">{"Earnings_Summary",#N/A,FALSE,"Earnings Model";"Earnings EP Detail",#N/A,FALSE,"Earnings Model";"Earnings RM Detail",#N/A,FALSE,"Earnings Model"}</definedName>
    <definedName name="wrn.Earnings._.Test."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oy." hidden="1">{"p1_0650",#N/A,FALSE,"disc1_0650";"p3_0650",#N/A,FALSE,"disc2_0650";"p1_0700",#N/A,FALSE,"disc1_0700";"p3_0700",#N/A,FALSE,"disc2_0700";"p1_0725",#N/A,FALSE,"disc1_0725";"p3_0725",#N/A,FALSE,"disc2_0725";"p2_0650",#N/A,FALSE,"pna1_0650";"p4_0650",#N/A,FALSE,"pna2_0650";"p2_0700",#N/A,FALSE,"pna1_0700";"p4_0700",#N/A,FALSE,"pna2_0700";"p2_0725",#N/A,FALSE,"pna1_0725";"p4_0725",#N/A,FALSE,"pna2_0725";"p5_0700",#N/A,FALSE,"apbo_plan_ANC_0700";"p6_0700",#N/A,FALSE,"apbo_plan_pppi_0700";"p5_0725",#N/A,FALSE,"apbo_plan_ANC_0725";"p6_0725",#N/A,FALSE,"apbo_plan_pppi_0725";"p5_0650",#N/A,FALSE,"apbo_plan_ANC_0650";"p6_0650",#N/A,FALSE,"apbo_plan_pppi_0650"}</definedName>
    <definedName name="wrn.eoy_disc." hidden="1">{"pna_disc_p1",#N/A,FALSE,"pna_disc_p1";"apbo_plan",#N/A,FALSE,"apbo_plan";"anc_disc_p1",#N/A,FALSE,"anc_disc_p1";"anc_disc_p2",#N/A,FALSE,"anc_disc_p2";"pna_disc_p2",#N/A,FALSE,"pna_disc_p2"}</definedName>
    <definedName name="wrn.EOY_Disc2" hidden="1">{"F132_1_6.50",#N/A,FALSE,"FAS132_7.25%";"F132_AML_6.50",#N/A,FALSE,"FAS132_7.25%";"F132_2_6.50",#N/A,FALSE,"FAS132_7.25%";"F132_AML_7.25",#N/A,FALSE,"FAS132_7.25%";"F132_2_7.25",#N/A,FALSE,"FAS132_7.25%";"F132_1_7.25",#N/A,FALSE,"FAS132_7.25%";"F132_AML_7.00",#N/A,FALSE,"FAS132_7.25%";"F132_2_7.00",#N/A,FALSE,"FAS132_7.25%";"F132_1_7.00",#N/A,FALSE,"FAS132_7.25%"}</definedName>
    <definedName name="wrn.eoypages." hidden="1">{"AR4",#N/A,FALSE,"act_liab_anc";"AR5",#N/A,FALSE,"act_liab_anc";"AR8",#N/A,FALSE,"act_liab_pppi";"AR9",#N/A,FALSE,"act_liab_pppi";"AR6",#N/A,FALSE,"inact_liab_anc";"AR7",#N/A,FALSE,"inact_liab_anc";"AR11",#N/A,FALSE,"inact_liab_pppi";"AR10",#N/A,FALSE,"inact_liab_pppi";"AR12",#N/A,FALSE,"risk_liab"}</definedName>
    <definedName name="wrn.EP._.DCF._.Valuation._.by._.Segment." hidden="1">{"US EP DCF Valuation",#N/A,FALSE,"USE&amp;P ";"Can EP DCF Valuation",#N/A,FALSE,"Can E&amp;P";"Eur EP DCF Valuation",#N/A,FALSE,"Eur E&amp;P";"ASPAC EP DCF Valuation",#N/A,FALSE,"Asia-Pac E&amp;P";"NonCon EP DCF Valuation",#N/A,FALSE,"Non-Con E&amp;P"}</definedName>
    <definedName name="wrn.ep._.details." hidden="1">{"us ep earnings",#N/A,FALSE,"US E&amp;P";"us ep price vol detail",#N/A,FALSE,"US E&amp;P";"fareast ep earnings",#N/A,FALSE,"Far East E&amp;P";"fareast ep price vol detail",#N/A,FALSE,"Far East E&amp;P";"other EP earnings",#N/A,FALSE,"Other E&amp;P";"other EP price vol detail",#N/A,FALSE,"Other E&amp;P"}</definedName>
    <definedName name="wrn.EP._.Earns._.Detail._.by._.Segment."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wrn.Estimated._.Tax._.Annualized._.Method." hidden="1">{#N/A,#N/A,FALSE,"Summary";#N/A,#N/A,FALSE,"Adj to Option C";#N/A,#N/A,FALSE,"Dividend Analysis";#N/A,#N/A,FALSE,"Reserve Analysis";#N/A,#N/A,FALSE,"Depreciation";#N/A,#N/A,FALSE,"Other Tax Adj"}</definedName>
    <definedName name="wrn.ET._.Schedules." hidden="1">{"ET Schedule 7",#N/A,FALSE,"Plant Adjustments";"ET Schedule 9",#N/A,FALSE,"SterlingStip";"ET Schedule 10",#N/A,FALSE,"Plant Adjustments";"ET Schedule 13",#N/A,FALSE,"Plant Adjustments";"ET Schedule 16",#N/A,FALSE,"DeferredTaxes"}</definedName>
    <definedName name="wrn.FAC._.SUMMARY." hidden="1">{"FAC_SUMMARY",#N/A,FALSE,"Summaries"}</definedName>
    <definedName name="wrn.Falcons._.Divisions." hidden="1">{#N/A,#N/A,TRUE,"Fiber_Optic_Cable_Input ";#N/A,#N/A,TRUE,"Specialty_Fiber_Devices_Input";#N/A,#N/A,TRUE,"Optical_Fiber_Apparatus_Input"}</definedName>
    <definedName name="wrn.Falcons._.Standalone." hidden="1">{#N/A,#N/A,TRUE,"Falcons_Standalone";#N/A,#N/A,TRUE,"Target_Input";#N/A,#N/A,TRUE,"Target_Calendarized"}</definedName>
    <definedName name="wrn.FAS132." hidden="1">{"Disc_part1",#N/A,FALSE,"FAS132";"Disc_part2",#N/A,FALSE,"FAS132"}</definedName>
    <definedName name="wrn.Fas132.2" hidden="1">{"Disc_part1",#N/A,FALSE,"FAS132";"Disc_part2",#N/A,FALSE,"FAS132"}</definedName>
    <definedName name="wrn.FERC._.FAC._.CALC." hidden="1">{"FERC_FAC",#N/A,FALSE,"FERC_Fuel&amp;Rev"}</definedName>
    <definedName name="wrn.FERC._.WEATHER._.and._.JURIS._.FUEL." hidden="1">{"FERC_WEATHER_AND_FUEL",#N/A,FALSE,"FERC_Fuel&amp;Rev"}</definedName>
    <definedName name="wrn.Filing." localSheetId="13"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localSheetId="0"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nal._.Copies." hidden="1">{"PPPI FAS87",#N/A,FALSE,"PPPI";"GroupA",#N/A,FALSE,"GroupA";"GroupB",#N/A,FALSE,"GroupB";"GainLoss",#N/A,FALSE,"GainLoss1"}</definedName>
    <definedName name="wrn.FinalCopies." hidden="1">{"FinalAll-Dyn",#N/A,TRUE,"Total";"FinalPens-Dyn",#N/A,TRUE,"Pensions";"FinalOPEB-Dyn",#N/A,TRUE,"OPEB";"FinalAllRound-Dyn",#N/A,TRUE,"Total";"FinalAll-IP",#N/A,TRUE,"Total";"FinalPens-IP",#N/A,TRUE,"Pensions";"FinalAllRound-IP",#N/A,TRUE,"Total"}</definedName>
    <definedName name="wrn.Financials." hidden="1">{"Earnings",#N/A,FALSE,"Earnings";"BalanceSheet",#N/A,FALSE,"BalanceSheet";"Change in Cash",#N/A,FALSE,"CashFlow";"normalengs",#N/A,FALSE,"NormalEngs";"upstream normal per Bbl",#N/A,FALSE,"NormEngUp";"CAPEXsum",#N/A,FALSE,"CAPEX Sum"}</definedName>
    <definedName name="wrn.FOC._.Detail." hidden="1">{#N/A,#N/A,TRUE,"FOC_Product_Assumptions"}</definedName>
    <definedName name="wrn.For._.filling._.out._.assessments." localSheetId="13" hidden="1">{"Print Empty Template",#N/A,FALSE,"Input"}</definedName>
    <definedName name="wrn.For._.filling._.out._.assessments." localSheetId="0" hidden="1">{"Print Empty Template",#N/A,FALSE,"Input"}</definedName>
    <definedName name="wrn.For._.filling._.out._.assessments." hidden="1">{"Print Empty Template",#N/A,FALSE,"Input"}</definedName>
    <definedName name="wrn.For._.IR." hidden="1">{"Earnings",#N/A,TRUE,"Earnings";"qtr for IR",#N/A,TRUE,"Quarters";"balancesheet",#N/A,TRUE,"BalanceSheet";"change in cash",#N/A,TRUE,"CashFlow";"oil and gas earnings",#N/A,TRUE,"Oil and Gas Results";"price and vol detail",#N/A,TRUE,"Oil and Gas Results";"capexsum",#N/A,TRUE,"CAPEX Sum"}</definedName>
    <definedName name="wrn.for._.IR._.review." hidden="1">{"Earnings",#N/A,FALSE,"Earnings";"BalanceSheet",#N/A,FALSE,"BalanceSheet";"ChangeinCash",#N/A,FALSE,"CashFlow";"IR Production Sum",#N/A,FALSE,"E&amp;P Summary";"IR EPCost Sum",#N/A,FALSE,"E&amp;P Summary"}</definedName>
    <definedName name="wrn.For._.Merge." hidden="1">{"Earnings",#N/A,FALSE,"Earnings";"balancesheet",#N/A,FALSE,"BalanceSheet";"change in cash",#N/A,FALSE,"CashFlow";"oil and gas results",#N/A,FALSE,"Oil and Gas Earnings";"foreign oil and gas results",#N/A,FALSE,"Foreign O&amp;G";"oil and gas details",#N/A,FALSE,"Foreign O&amp;G";"capexsum",#N/A,FALSE,"CAPEX Sum"}</definedName>
    <definedName name="wrn.For._.Report." hidden="1">{"Factsheet",#N/A,FALSE,"Fact";"Earnings",#N/A,FALSE,"Earnings";"BalanceSheet",#N/A,FALSE,"BalanceSheet";"Change in Cash",#N/A,FALSE,"CashFlow";"Q Rating",#N/A,FALSE,"Q-Rating";"Dupont",#N/A,FALSE,"Dupont"}</definedName>
    <definedName name="wrn.Full._.Model."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rn.full._.print."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Report." hidden="1">{"Assumptions",#N/A,FALSE,"Sheet1";"Main Report",#N/A,FALSE,"Sheet1";"Results",#N/A,FALSE,"Sheet1";"Advances",#N/A,FALSE,"Sheet1"}</definedName>
    <definedName name="wrn.go." hidden="1">{"wp_h4.2",#N/A,FALSE,"WP_H4.2";"wp_h4.3",#N/A,FALSE,"WP_H4.3"}</definedName>
    <definedName name="wrn.HAReport." hidden="1">{"Input1",#N/A,FALSE,"Input";"Input2",#N/A,FALSE,"Input";"Input3",#N/A,FALSE,"Input2";"Calc1",#N/A,FALSE,"Calcs";"Calc2",#N/A,FALSE,"Calcs";"Liabsumm",#N/A,FALSE,"Liabsumm";"Summary",#N/A,FALSE,"Summary";"GL",#N/A,FALSE,"GL";"GL2",#N/A,FALSE,"GL2";"amort",#N/A,FALSE,"amort";"Recon",#N/A,FALSE,"Recon";"FAS1321",#N/A,FALSE,"FAS1321";"FAS1322",#N/A,FALSE,"FAS1322"}</definedName>
    <definedName name="wrn.HASTAX." hidden="1">{#N/A,#N/A,FALSE,"Hastax"}</definedName>
    <definedName name="wrn.Headcount." hidden="1">{#N/A,#N/A,FALSE,"Headcount_PCS ";#N/A,#N/A,FALSE,"Headcount CIG";#N/A,#N/A,FALSE,"Headcount iDEN";#N/A,#N/A,FALSE,"JAG PLANT TREND"}</definedName>
    <definedName name="wrn.Headcount._1" hidden="1">{#N/A,#N/A,FALSE,"Headcount_PCS ";#N/A,#N/A,FALSE,"Headcount CIG";#N/A,#N/A,FALSE,"Headcount iDEN";#N/A,#N/A,FALSE,"JAG PLANT TREND"}</definedName>
    <definedName name="wrn.Headcount._2" hidden="1">{#N/A,#N/A,FALSE,"Headcount_PCS ";#N/A,#N/A,FALSE,"Headcount CIG";#N/A,#N/A,FALSE,"Headcount iDEN";#N/A,#N/A,FALSE,"JAG PLANT TREND"}</definedName>
    <definedName name="wrn.Headcount._3" hidden="1">{#N/A,#N/A,FALSE,"Headcount_PCS ";#N/A,#N/A,FALSE,"Headcount CIG";#N/A,#N/A,FALSE,"Headcount iDEN";#N/A,#N/A,FALSE,"JAG PLANT TREND"}</definedName>
    <definedName name="wrn.Headcount._4" hidden="1">{#N/A,#N/A,FALSE,"Headcount_PCS ";#N/A,#N/A,FALSE,"Headcount CIG";#N/A,#N/A,FALSE,"Headcount iDEN";#N/A,#N/A,FALSE,"JAG PLANT TREND"}</definedName>
    <definedName name="wrn.Headcount._5" hidden="1">{#N/A,#N/A,FALSE,"Headcount_PCS ";#N/A,#N/A,FALSE,"Headcount CIG";#N/A,#N/A,FALSE,"Headcount iDEN";#N/A,#N/A,FALSE,"JAG PLANT TREND"}</definedName>
    <definedName name="wrn.HLP._.Detail." localSheetId="13" hidden="1">{"2002 - 2006 Detail Income Statement",#N/A,FALSE,"TUB Income Statement wo DW";"BGS Deferral",#N/A,FALSE,"BGS Deferral";"NNC Deferral",#N/A,FALSE,"NNC Deferral";"MTC Deferral",#N/A,FALSE,"MTC Deferral";#N/A,#N/A,FALSE,"Schedule D"}</definedName>
    <definedName name="wrn.HLP._.Detail." localSheetId="0" hidden="1">{"2002 - 2006 Detail Income Statement",#N/A,FALSE,"TUB Income Statement wo DW";"BGS Deferral",#N/A,FALSE,"BGS Deferral";"NNC Deferral",#N/A,FALSE,"NNC Deferral";"MTC Deferral",#N/A,FALSE,"MTC Deferral";#N/A,#N/A,FALSE,"Schedule D"}</definedName>
    <definedName name="wrn.HLP._.Detail." hidden="1">{"2002 - 2006 Detail Income Statement",#N/A,FALSE,"TUB Income Statement wo DW";"BGS Deferral",#N/A,FALSE,"BGS Deferral";"NNC Deferral",#N/A,FALSE,"NNC Deferral";"MTC Deferral",#N/A,FALSE,"MTC Deferral";#N/A,#N/A,FALSE,"Schedule D"}</definedName>
    <definedName name="wrn.IDEN."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Back._.up._.Files." hidden="1">{#N/A,#N/A,FALSE,"BACK UP Balance FDM";#N/A,#N/A,FALSE,"BACK UP ASP nsad"}</definedName>
    <definedName name="wrn.iDEN._.Back._.up._.Files._1" hidden="1">{#N/A,#N/A,FALSE,"BACK UP Balance FDM";#N/A,#N/A,FALSE,"BACK UP ASP nsad"}</definedName>
    <definedName name="wrn.iDEN._.Back._.up._.Files._2" hidden="1">{#N/A,#N/A,FALSE,"BACK UP Balance FDM";#N/A,#N/A,FALSE,"BACK UP ASP nsad"}</definedName>
    <definedName name="wrn.iDEN._.Back._.up._.Files._3" hidden="1">{#N/A,#N/A,FALSE,"BACK UP Balance FDM";#N/A,#N/A,FALSE,"BACK UP ASP nsad"}</definedName>
    <definedName name="wrn.iDEN._.Back._.up._.Files._4" hidden="1">{#N/A,#N/A,FALSE,"BACK UP Balance FDM";#N/A,#N/A,FALSE,"BACK UP ASP nsad"}</definedName>
    <definedName name="wrn.iDEN._.Back._.up._.Files._5" hidden="1">{#N/A,#N/A,FALSE,"BACK UP Balance FDM";#N/A,#N/A,FALSE,"BACK UP ASP nsad"}</definedName>
    <definedName name="wrn.IDEN.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nput._.and._.output." hidden="1">{"EBITDA",#N/A,TRUE,"P&amp;L Net of Disc Ops";"output net of disc ops",#N/A,TRUE,"Revenue";"input",#N/A,TRUE,"Revenue";"output",#N/A,TRUE,"DC";"Input",#N/A,TRUE,"DC";"MTN and MCN",#N/A,TRUE,"Margin";"output detail line items",#N/A,TRUE,"SGA";"personnel by year",#N/A,TRUE,"Payroll";#N/A,#N/A,TRUE,"CapEx"}</definedName>
    <definedName name="wrn.Input._.pages." hidden="1">{"Input1",#N/A,FALSE,"Input";"Input2",#N/A,FALSE,"Input";"Input3",#N/A,FALSE,"Input"}</definedName>
    <definedName name="wrn.IPO._.Valuation." hidden="1">{"assumptions",#N/A,FALSE,"Scenario 1";"valuation",#N/A,FALSE,"Scenario 1"}</definedName>
    <definedName name="wrn.IR._.Review."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wrn.Jeff._.Standalone." hidden="1">{#N/A,#N/A,TRUE,"Acquirer_Cases_Input";#N/A,#N/A,TRUE,"Acquirer_Input";#N/A,#N/A,TRUE,"Acquirer"}</definedName>
    <definedName name="wrn.Kontenverteilung." hidden="1">{"Kontenverteilung",#N/A,FALSE,"H A Ü"}</definedName>
    <definedName name="wrn.LBO._.Summary." hidden="1">{"LBO Summary",#N/A,FALSE,"Summary"}</definedName>
    <definedName name="wrn.Long._.Report." hidden="1">{#N/A,#N/A,TRUE,"Cover";#N/A,#N/A,TRUE,"Header (ld)";#N/A,#N/A,TRUE,"T&amp;O By Region";#N/A,#N/A,TRUE,"Region Charts ";#N/A,#N/A,TRUE,"T&amp;O London";#N/A,#N/A,TRUE,"AD Report";#N/A,#N/A,TRUE,"Var by OU"}</definedName>
    <definedName name="wrn.matdtl." hidden="1">{"MATALL",#N/A,FALSE,"Sheet4";"matclass",#N/A,FALSE,"Sheet4"}</definedName>
    <definedName name="wrn.matdtla" hidden="1">{"MATALL",#N/A,FALSE,"Sheet4";"matclass",#N/A,FALSE,"Sheet4"}</definedName>
    <definedName name="wrn.MBRS." hidden="1">{#N/A,#N/A,FALSE,"MBR PCS";#N/A,#N/A,FALSE,"MBR CIG";#N/A,#N/A,FALSE,"MBR iDEN";#N/A,#N/A,FALSE,"MBR_FWT";#N/A,#N/A,FALSE,"MBR TOTAL"}</definedName>
    <definedName name="wrn.MBRS._1" hidden="1">{#N/A,#N/A,FALSE,"MBR PCS";#N/A,#N/A,FALSE,"MBR CIG";#N/A,#N/A,FALSE,"MBR iDEN";#N/A,#N/A,FALSE,"MBR_FWT";#N/A,#N/A,FALSE,"MBR TOTAL"}</definedName>
    <definedName name="wrn.MBRS._2" hidden="1">{#N/A,#N/A,FALSE,"MBR PCS";#N/A,#N/A,FALSE,"MBR CIG";#N/A,#N/A,FALSE,"MBR iDEN";#N/A,#N/A,FALSE,"MBR_FWT";#N/A,#N/A,FALSE,"MBR TOTAL"}</definedName>
    <definedName name="wrn.MBRS._3" hidden="1">{#N/A,#N/A,FALSE,"MBR PCS";#N/A,#N/A,FALSE,"MBR CIG";#N/A,#N/A,FALSE,"MBR iDEN";#N/A,#N/A,FALSE,"MBR_FWT";#N/A,#N/A,FALSE,"MBR TOTAL"}</definedName>
    <definedName name="wrn.MBRS._4" hidden="1">{#N/A,#N/A,FALSE,"MBR PCS";#N/A,#N/A,FALSE,"MBR CIG";#N/A,#N/A,FALSE,"MBR iDEN";#N/A,#N/A,FALSE,"MBR_FWT";#N/A,#N/A,FALSE,"MBR TOTAL"}</definedName>
    <definedName name="wrn.MBRS._5" hidden="1">{#N/A,#N/A,FALSE,"MBR PCS";#N/A,#N/A,FALSE,"MBR CIG";#N/A,#N/A,FALSE,"MBR iDEN";#N/A,#N/A,FALSE,"MBR_FWT";#N/A,#N/A,FALSE,"MBR TOTAL"}</definedName>
    <definedName name="wrn.MFR."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new." hidden="1">{"Balance Sheet",#N/A,FALSE,"Balance";"Balance Sheet Details",#N/A,FALSE,"Balance";"Change in Cash",#N/A,FALSE,"Cashflow"}</definedName>
    <definedName name="wrn.NSS."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2"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3"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4"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5"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OK._.FUEL._.COMPARISON." hidden="1">{"OK_FUEL_COMPARISON",#N/A,FALSE,"Ok_Fuel&amp;Rev"}</definedName>
    <definedName name="wrn.OK._.JURIS._.FAC._.CALCULATION." hidden="1">{"OK_JURIS_FAC",#N/A,FALSE,"Ok_Fuel&amp;Rev"}</definedName>
    <definedName name="wrn.OK._.JURIS._.FUEL._.COST." hidden="1">{"OK_JURIS_FUEL",#N/A,FALSE,"Ok_Fuel&amp;Rev"}</definedName>
    <definedName name="wrn.OKLA._.PRO._.FORMA._.FUEL." hidden="1">{"OK_PRO_FORMA_FUEL",#N/A,FALSE,"Ok_Fuel&amp;Rev"}</definedName>
    <definedName name="wrn.OMPA._.FAC." hidden="1">{"OMPA_FAC",#N/A,FALSE,"OMPA FAC"}</definedName>
    <definedName name="wrn.OTHER._.DATA." hidden="1">{"OTHER_DATA",#N/A,FALSE,"Ok_Fuel&amp;Rev"}</definedName>
    <definedName name="wrn.Outlook._.Report." hidden="1">{#N/A,#N/A,FALSE,"Outlook for Month ";#N/A,#N/A,FALSE,"Risk for Month ";#N/A,#N/A,FALSE,"Upside for Month"}</definedName>
    <definedName name="wrn.PCS."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CSG_PPG."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PJOURNAL._.ENTRY." hidden="1">{"PPDEFERREDBAL",#N/A,FALSE,"PRIOR PERIOD ADJMT";#N/A,#N/A,FALSE,"PRIOR PERIOD ADJMT";"PPJOURNALENTRY",#N/A,FALSE,"PRIOR PERIOD ADJMT"}</definedName>
    <definedName name="wrn.pppi." hidden="1">{"summary",#N/A,FALSE,"summary";"liabsumm",#N/A,FALSE,"liabsumm";"gl",#N/A,FALSE,"gl";"gl2",#N/A,FALSE,"gl2";"exp",#N/A,FALSE,"exp";"pppi_amort",#N/A,FALSE,"pppi_amort";"pppi_apbo_plan",#N/A,FALSE,"pppi_apbo_plan";"recon",#N/A,FALSE,"recon";"eoy_p1",#N/A,FALSE,"eoy_p1";"eoy_p2",#N/A,FALSE,"eoy_p2";"pppi_actliab",#N/A,FALSE,"pppi_actliab";"pppi_inactliab",#N/A,FALSE,"pppi_inactliab"}</definedName>
    <definedName name="wrn.Price._.Details."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rn.Print" hidden="1">{#N/A,#N/A,FALSE,"Input Data Sheet";#N/A,#N/A,FALSE,"NAV rollforward";#N/A,#N/A,FALSE,"Capital Roll - Spokes";#N/A,#N/A,FALSE,"Hastax"}</definedName>
    <definedName name="wrn.Print." hidden="1">{#N/A,#N/A,FALSE,"By Month";#N/A,#N/A,FALSE,"Rev By Month";"Print1",#N/A,FALSE,"NA Parts Reporting";"Print2",#N/A,FALSE,"NA Parts Reporting";"Print3",#N/A,FALSE,"NA Parts Reporting"}</definedName>
    <definedName name="wrn.Print._.All." hidden="1">{#N/A,#N/A,TRUE,"Input Data Sheet";#N/A,#N/A,TRUE,"Turnover";#N/A,#N/A,TRUE,"NSAR";#N/A,#N/A,TRUE,"NAV Rollforward";#N/A,#N/A,TRUE,"Ratios-HUB";#N/A,#N/A,TRUE,"Ratios-Marathon";#N/A,#N/A,TRUE,"Ratios - Traditional";#N/A,#N/A,TRUE,"Ratios - Classic";#N/A,#N/A,TRUE,"Ratios - Medallion Class A";#N/A,#N/A,TRUE,"Ratios - Medallion Class B";#N/A,#N/A,TRUE,"Share Proof-Marathon";#N/A,#N/A,TRUE,"Share Proof-Traditional";#N/A,#N/A,TRUE,"Share Proof - Classic";#N/A,#N/A,TRUE,"Share Proof - Medallion A";#N/A,#N/A,TRUE,"Share Proof - Medallion B";#N/A,#N/A,TRUE,"Per Share-Marathon";#N/A,#N/A,TRUE,"Per Share-Traditional";#N/A,#N/A,TRUE,"Per Share-Classic";#N/A,#N/A,TRUE,"Per Share-Medallion A";#N/A,#N/A,TRUE,"Per Share-Medallion B";#N/A,#N/A,TRUE,"Capital Roll - Hub";#N/A,#N/A,TRUE,"Capital Roll - Spokes";#N/A,#N/A,TRUE,"Hastax"}</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Classic." hidden="1">{#N/A,#N/A,FALSE,"Ratios - Classic";#N/A,#N/A,FALSE,"Share Proof - Classic";#N/A,#N/A,FALSE,"Per Share-Classic"}</definedName>
    <definedName name="wrn.Print._.Hub." hidden="1">{#N/A,#N/A,FALSE,"Input Data Sheet";#N/A,#N/A,FALSE,"Turnover";#N/A,#N/A,FALSE,"NSAR";#N/A,#N/A,FALSE,"Ratios-HUB";#N/A,#N/A,FALSE,"Capital Roll - Hub"}</definedName>
    <definedName name="wrn.Print._.Marathon." hidden="1">{#N/A,#N/A,FALSE,"Ratios-Marathon";#N/A,#N/A,FALSE,"Share Proof-Marathon";#N/A,#N/A,FALSE,"Per Share-Marathon"}</definedName>
    <definedName name="wrn.Print._.Medallion." hidden="1">{#N/A,#N/A,FALSE,"Ratios - Medallion Class A";#N/A,#N/A,FALSE,"Ratios - Medallion Class B";#N/A,#N/A,FALSE,"Share Proof - Medallion A";#N/A,#N/A,FALSE,"Share Proof - Medallion B";#N/A,#N/A,FALSE,"Per Share-Medallion A";#N/A,#N/A,FALSE,"Per Share-Medallion B"}</definedName>
    <definedName name="wrn.Print._.Spokes." hidden="1">{#N/A,#N/A,FALSE,"Input Data Sheet";#N/A,#N/A,FALSE,"NAV rollforward";#N/A,#N/A,FALSE,"Capital Roll - Spokes";#N/A,#N/A,FALSE,"Hastax"}</definedName>
    <definedName name="wrn.Print._.Traditional." hidden="1">{#N/A,#N/A,FALSE,"Ratios - Traditional";#N/A,#N/A,FALSE,"Share Proof-Traditional";#N/A,#N/A,FALSE,"Per Share-Traditional"}</definedName>
    <definedName name="wrn.print_all."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rn.Printall."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rn.PrintIt." hidden="1">{"Page1",#N/A,FALSE,"Page1";"Page2",#N/A,FALSE,"Page2";"Page3",#N/A,FALSE,"Pages34";"Page3b",#N/A,FALSE,"Pages34"}</definedName>
    <definedName name="wrn.PRIOR._.PERIOD._.ADJMT." hidden="1">{#N/A,#N/A,FALSE,"PRIOR PERIOD ADJMT"}</definedName>
    <definedName name="wrn.Production." hidden="1">{"Production",#N/A,FALSE,"Electric O&amp;M Functionalization"}</definedName>
    <definedName name="wrn.purch._.acct." hidden="1">{"Pre76 purch acct",#N/A,FALSE,"Input";"ACPI purch acct",#N/A,FALSE,"Input";"25 Yr Purch Acct",#N/A,FALSE,"Input";"RBEP Purch Acct.",#N/A,FALSE,"Input"}</definedName>
    <definedName name="wrn.QUARTER." hidden="1">{#N/A,#N/A,FALSE,"QTR Total";#N/A,#N/A,FALSE,"QTR ASNS";#N/A,#N/A,FALSE,"QTR PNCNS";#N/A,#N/A,FALSE,"QTR DSNS";#N/A,#N/A,FALSE,"QTR TNS"}</definedName>
    <definedName name="wrn.Relevant." hidden="1">{#N/A,#N/A,FALSE,"Title Page";#N/A,#N/A,FALSE,"Conclusions";#N/A,#N/A,FALSE,"Assum.";#N/A,#N/A,FALSE,"Sun  DCF-WC-Dep";#N/A,#N/A,FALSE,"MarketValue";#N/A,#N/A,FALSE,"BalSheet";#N/A,#N/A,FALSE,"WACC";#N/A,#N/A,FALSE,"PC+ Info.";#N/A,#N/A,FALSE,"PC+Info_2"}</definedName>
    <definedName name="wrn.Relevant1." hidden="1">{#N/A,#N/A,FALSE,"Title Page";#N/A,#N/A,FALSE,"Conclusions";#N/A,#N/A,FALSE,"Assum.";#N/A,#N/A,FALSE,"Sun  DCF-WC-Dep";#N/A,#N/A,FALSE,"MarketValue";#N/A,#N/A,FALSE,"BalSheet";#N/A,#N/A,FALSE,"WACC";#N/A,#N/A,FALSE,"PC+ Info.";#N/A,#N/A,FALSE,"PC+Info_2"}</definedName>
    <definedName name="wrn.Report." localSheetId="13" hidden="1">{#N/A,#N/A,FALSE,"Work performed";#N/A,#N/A,FALSE,"Resources"}</definedName>
    <definedName name="wrn.Report." localSheetId="0" hidden="1">{#N/A,#N/A,FALSE,"Work performed";#N/A,#N/A,FALSE,"Resources"}</definedName>
    <definedName name="wrn.Report." hidden="1">{#N/A,#N/A,FALSE,"Work performed";#N/A,#N/A,FALSE,"Resources"}</definedName>
    <definedName name="wrn.Revenue._.Analysis." localSheetId="13"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localSheetId="0"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s." hidden="1">{"Base_rev",#N/A,FALSE,"Proj_IS_Base";"Projrev",#N/A,FALSE,"Proj_IS_wOTLC";"Delta",#N/A,FALSE,"Delta Rev_PV"}</definedName>
    <definedName name="wrn.Riverwood_comp_model." hidden="1">{#N/A,#N/A,FALSE,"Che-Ga";#N/A,#N/A,FALSE,"Iv-Sm";#N/A,#N/A,FALSE,"So-We";#N/A,#N/A,FALSE,"Me-Po";#N/A,#N/A,FALSE,"Be-Bo";#N/A,#N/A,FALSE,"Cha-Ki";#N/A,#N/A,FALSE,"In";#N/A,#N/A,FALSE,"Schedule 23";#N/A,#N/A,FALSE,"Schedule 22";#N/A,#N/A,FALSE,"WACC"}</definedName>
    <definedName name="wrn.RM._.with._.details." hidden="1">{"US RM Earnings Summary",#N/A,FALSE,"US R&amp;M";"US RM Realization Data",#N/A,FALSE,"US R&amp;M";"For RM Earnings Detail",#N/A,FALSE,"Foreign R&amp;M";"For RM Real and Vol Detail",#N/A,FALSE,"Foreign R&amp;M"}</definedName>
    <definedName name="wrn.rprt." hidden="1">{#N/A,#N/A,FALSE,"A";#N/A,#N/A,FALSE,"B-1";#N/A,#N/A,FALSE,"WACC";#N/A,#N/A,FALSE,"C-1 ";#N/A,#N/A,FALSE,"C-2";#N/A,#N/A,FALSE,"D-1";#N/A,#N/A,FALSE,"D-2";#N/A,#N/A,FALSE,"D-3"}</definedName>
    <definedName name="wrn.RPT." hidden="1">{#N/A,#N/A,FALSE,"TOTFINAL";#N/A,#N/A,FALSE,"FINPLAN";#N/A,#N/A,FALSE,"TOTMOTADJ";#N/A,#N/A,FALSE,"tieEQ";#N/A,#N/A,FALSE,"G";#N/A,#N/A,FALSE,"ELIMS";#N/A,#N/A,FALSE,"NEXTEL ADJ";#N/A,#N/A,FALSE,"MIMS";#N/A,#N/A,FALSE,"LMPS";#N/A,#N/A,FALSE,"CNSS";#N/A,#N/A,FALSE,"CSS";#N/A,#N/A,FALSE,"MCG";#N/A,#N/A,FALSE,"AECS";#N/A,#N/A,FALSE,"SPS";#N/A,#N/A,FALSE,"CORP"}</definedName>
    <definedName name="wrn.Saldenliste." hidden="1">{"Saldenliste",#N/A,FALSE,"H A Ü"}</definedName>
    <definedName name="wrn.Short._.Report." hidden="1">{#N/A,#N/A,TRUE,"Cover";#N/A,#N/A,TRUE,"Header (eu)";#N/A,#N/A,TRUE,"Region Charts";#N/A,#N/A,TRUE,"T&amp;O By Region";#N/A,#N/A,TRUE,"AD Report"}</definedName>
    <definedName name="wrn.SPA._.FAC." hidden="1">{"SPA_FAC",#N/A,FALSE,"OMPA SPA FAC"}</definedName>
    <definedName name="wrn.Steves._.Model." hidden="1">{#N/A,#N/A,FALSE,"Income Statement";#N/A,#N/A,FALSE,"Quarter IS";#N/A,#N/A,FALSE,"US E&amp;P";#N/A,#N/A,FALSE,"International E&amp;P";#N/A,#N/A,FALSE,"Chemicals"}</definedName>
    <definedName name="wrn.sum." hidden="1">{"Opsys",#N/A,FALSE,"NPV_OPsys";"NT",#N/A,FALSE,"NPV_NT";"DevP",#N/A,FALSE,"NPV_DevPdt";"Office",#N/A,FALSE,"NPV_Office"}</definedName>
    <definedName name="wrn.Summary._.Report_Ern_BS_CF." hidden="1">{"Fact Sheet",#N/A,FALSE,"Fact";"Earnings_Summary",#N/A,FALSE,"Earnings Model";"Balance Sheet",#N/A,FALSE,"Balance";"Change in Cash",#N/A,FALSE,"Cashflow";"normalengs",#N/A,FALSE,"NormalEngs";"NormalGrowth",#N/A,FALSE,"NormalGrowth"}</definedName>
    <definedName name="wrn.SUP."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2."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orting._.Calculations." localSheetId="13" hidden="1">{#N/A,#N/A,FALSE,"Work performed";#N/A,#N/A,FALSE,"Resources"}</definedName>
    <definedName name="wrn.Supporting._.Calculations." localSheetId="0" hidden="1">{#N/A,#N/A,FALSE,"Work performed";#N/A,#N/A,FALSE,"Resources"}</definedName>
    <definedName name="wrn.Supporting._.Calculations." hidden="1">{#N/A,#N/A,FALSE,"Work performed";#N/A,#N/A,FALSE,"Resources"}</definedName>
    <definedName name="wrn.Tax._.Accrual." localSheetId="13" hidden="1">{#N/A,#N/A,TRUE,"TAXPROV";#N/A,#N/A,TRUE,"FLOWTHRU";#N/A,#N/A,TRUE,"SCHEDULE M'S";#N/A,#N/A,TRUE,"PLANT M'S";#N/A,#N/A,TRUE,"TAXJE"}</definedName>
    <definedName name="wrn.Tax._.Accrual." localSheetId="0" hidden="1">{#N/A,#N/A,TRUE,"TAXPROV";#N/A,#N/A,TRUE,"FLOWTHRU";#N/A,#N/A,TRUE,"SCHEDULE M'S";#N/A,#N/A,TRUE,"PLANT M'S";#N/A,#N/A,TRUE,"TAXJE"}</definedName>
    <definedName name="wrn.Tax._.Accrual." hidden="1">{#N/A,#N/A,TRUE,"TAXPROV";#N/A,#N/A,TRUE,"FLOWTHRU";#N/A,#N/A,TRUE,"SCHEDULE M'S";#N/A,#N/A,TRUE,"PLANT M'S";#N/A,#N/A,TRUE,"TAXJE"}</definedName>
    <definedName name="wrn.test." hidden="1">{"test",#N/A,FALSE,"Dividend"}</definedName>
    <definedName name="wrn.Transmission." hidden="1">{"Transmission",#N/A,FALSE,"Electric O&amp;M Functionalization"}</definedName>
    <definedName name="wrn.US._.EP._.with._.Price._.and._.Vol._.Detail." hidden="1">{"US EP Earn and Prof Analysis",#N/A,FALSE,"USE&amp;P ";"US EP Price Vol Detail",#N/A,FALSE,"USE&amp;P "}</definedName>
    <definedName name="wrn.Val_Report." hidden="1">{"Summary CY",#N/A,FALSE,"Summary";"Summary PY",#N/A,FALSE,"Summary";"recon_funded_status",#N/A,FALSE,"Accounting";"PE",#N/A,FALSE,"Accounting";"EXPE",#N/A,FALSE,"Accounting";"EXPAS",#N/A,FALSE,"Accounting";"EXPL",#N/A,FALSE,"Accounting"}</definedName>
    <definedName name="wrn.Val_Report.2" hidden="1">{"Summary CY",#N/A,FALSE,"Summary";"Summary PY",#N/A,FALSE,"Summary";"recon_funded_status",#N/A,FALSE,"Accounting";"PE",#N/A,FALSE,"Accounting";"EXPE",#N/A,FALSE,"Accounting";"EXPAS",#N/A,FALSE,"Accounting";"EXPL",#N/A,FALSE,"Accounting"}</definedName>
    <definedName name="wrn.Val_Report2" hidden="1">{"CUR",#N/A,FALSE,"Summary";"recon",#N/A,FALSE,"Accounting";"PE",#N/A,FALSE,"Accounting";"EXPE",#N/A,FALSE,"Accounting";"EXPAS",#N/A,FALSE,"Accounting";"EXPL",#N/A,FALSE,"Accounting"}</definedName>
    <definedName name="wrn.Valuation._.Worksheets."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WEATHER._.AND._.YR._.END._.CUST._.ADJ." hidden="1">{"WEATHER_CUSTOMERS",#N/A,FALSE,"Ok_Fuel&amp;Rev"}</definedName>
    <definedName name="wrn.WORKCAP." hidden="1">{"WCCWCLL",#N/A,FALSE,"Sheet3";"PP",#N/A,FALSE,"Sheet3";"MAT1",#N/A,FALSE,"Sheet3";"MAT2",#N/A,FALSE,"Sheet3"}</definedName>
    <definedName name="wrn.Workfile." hidden="1">{"PPPI FAS87 Workfile",#N/A,FALSE,"Input";"GroupBWorkfile",#N/A,FALSE,"Input";"GroupAWorkfile",#N/A,FALSE,"Input";"GainLoss",#N/A,FALSE,"GainLoss1"}</definedName>
    <definedName name="wrn.WorkfileCopies." hidden="1">{"PensWorkfile-Dyn",#N/A,TRUE,"Pensions";"PenWorkFile-IP",#N/A,TRUE,"Pensions";"OPEBWorkfile-Dyn",#N/A,TRUE,"OPEB";"OPEBWorkfile-IP",#N/A,TRUE,"OPEB";"Total-Dyn",#N/A,TRUE,"Total";"Total-IP",#N/A,TRUE,"Total"}</definedName>
    <definedName name="wrn_1" hidden="1">{#N/A,#N/A,FALSE,"Balance SPS";#N/A,#N/A,FALSE,"P&amp;L_SPS"}</definedName>
    <definedName name="wrn_2" hidden="1">{#N/A,#N/A,FALSE,"Balance SPS";#N/A,#N/A,FALSE,"P&amp;L_SPS"}</definedName>
    <definedName name="wrn_3" hidden="1">{#N/A,#N/A,FALSE,"Balance SPS";#N/A,#N/A,FALSE,"P&amp;L_SPS"}</definedName>
    <definedName name="wrn_4" hidden="1">{#N/A,#N/A,FALSE,"Balance SPS";#N/A,#N/A,FALSE,"P&amp;L_SPS"}</definedName>
    <definedName name="wrn_5" hidden="1">{#N/A,#N/A,FALSE,"Balance SPS";#N/A,#N/A,FALSE,"P&amp;L_SPS"}</definedName>
    <definedName name="wrn1.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_1" hidden="1">{#N/A,#N/A,FALSE,"MBR PCS";#N/A,#N/A,FALSE,"MBR CIG";#N/A,#N/A,FALSE,"MBR iDEN";#N/A,#N/A,FALSE,"MBR_FWT";#N/A,#N/A,FALSE,"MBR TOTAL"}</definedName>
    <definedName name="wrn1_2" hidden="1">{#N/A,#N/A,FALSE,"MBR PCS";#N/A,#N/A,FALSE,"MBR CIG";#N/A,#N/A,FALSE,"MBR iDEN";#N/A,#N/A,FALSE,"MBR_FWT";#N/A,#N/A,FALSE,"MBR TOTAL"}</definedName>
    <definedName name="wrn1_3" hidden="1">{#N/A,#N/A,FALSE,"MBR PCS";#N/A,#N/A,FALSE,"MBR CIG";#N/A,#N/A,FALSE,"MBR iDEN";#N/A,#N/A,FALSE,"MBR_FWT";#N/A,#N/A,FALSE,"MBR TOTAL"}</definedName>
    <definedName name="wrn1_4" hidden="1">{#N/A,#N/A,FALSE,"MBR PCS";#N/A,#N/A,FALSE,"MBR CIG";#N/A,#N/A,FALSE,"MBR iDEN";#N/A,#N/A,FALSE,"MBR_FWT";#N/A,#N/A,FALSE,"MBR TOTAL"}</definedName>
    <definedName name="wrn1_5" hidden="1">{#N/A,#N/A,FALSE,"MBR PCS";#N/A,#N/A,FALSE,"MBR CIG";#N/A,#N/A,FALSE,"MBR iDEN";#N/A,#N/A,FALSE,"MBR_FWT";#N/A,#N/A,FALSE,"MBR TOTAL"}</definedName>
    <definedName name="wrn2.report" hidden="1">{#N/A,#N/A,FALSE,"P&amp;L";#N/A,#N/A,FALSE,"DL Worksheet";#N/A,#N/A,FALSE,"Ind. Cell";#N/A,#N/A,FALSE,"Capital";#N/A,#N/A,FALSE,"Tooling";#N/A,#N/A,FALSE,"LRP"}</definedName>
    <definedName name="wrna"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2"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3"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4"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5"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c"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e" hidden="1">{#N/A,#N/A,FALSE,"Headcount_PCS ";#N/A,#N/A,FALSE,"Headcount CIG";#N/A,#N/A,FALSE,"Headcount iDEN";#N/A,#N/A,FALSE,"JAG PLANT TREND"}</definedName>
    <definedName name="wrne_1" hidden="1">{#N/A,#N/A,FALSE,"Headcount_PCS ";#N/A,#N/A,FALSE,"Headcount CIG";#N/A,#N/A,FALSE,"Headcount iDEN";#N/A,#N/A,FALSE,"JAG PLANT TREND"}</definedName>
    <definedName name="wrne_2" hidden="1">{#N/A,#N/A,FALSE,"Headcount_PCS ";#N/A,#N/A,FALSE,"Headcount CIG";#N/A,#N/A,FALSE,"Headcount iDEN";#N/A,#N/A,FALSE,"JAG PLANT TREND"}</definedName>
    <definedName name="wrne_3" hidden="1">{#N/A,#N/A,FALSE,"Headcount_PCS ";#N/A,#N/A,FALSE,"Headcount CIG";#N/A,#N/A,FALSE,"Headcount iDEN";#N/A,#N/A,FALSE,"JAG PLANT TREND"}</definedName>
    <definedName name="wrne_4" hidden="1">{#N/A,#N/A,FALSE,"Headcount_PCS ";#N/A,#N/A,FALSE,"Headcount CIG";#N/A,#N/A,FALSE,"Headcount iDEN";#N/A,#N/A,FALSE,"JAG PLANT TREND"}</definedName>
    <definedName name="wrne_5" hidden="1">{#N/A,#N/A,FALSE,"Headcount_PCS ";#N/A,#N/A,FALSE,"Headcount CIG";#N/A,#N/A,FALSE,"Headcount iDEN";#N/A,#N/A,FALSE,"JAG PLANT TREND"}</definedName>
    <definedName name="wsxxx" hidden="1">{#N/A,#N/A,FALSE,"Total";#N/A,#N/A,FALSE,"ASNS";#N/A,#N/A,FALSE,"PNCNS";#N/A,#N/A,FALSE,"DSNS";#N/A,#N/A,FALSE,"TNS"}</definedName>
    <definedName name="wsxxxx" hidden="1">{#N/A,#N/A,FALSE,"QTR Total";#N/A,#N/A,FALSE,"QTR ASNS";#N/A,#N/A,FALSE,"QTR PNCNS";#N/A,#N/A,FALSE,"QTR DSNS";#N/A,#N/A,FALSE,"QTR TNS"}</definedName>
    <definedName name="wvu.Assumptions." hidden="1">{TRUE,TRUE,-1.25,-15.5,484.5,253.5,FALSE,FALSE,TRUE,TRUE,0,1,#N/A,1,3,14.8947368421053,2,3,FALSE,TRUE,3,TRUE,1,TRUE,80,"Swvu.Assumptions.","ACwvu.Assumptions.",#N/A,FALSE,FALSE,0.65,0.5,1.25,1,1,"","",TRUE,FALSE,FALSE,FALSE,1,#N/A,1,1,"=R1C1:R64C13",FALSE,"Rwvu.Assumptions.",#N/A,FALSE,FALSE,FALSE,1,#N/A,#N/A,FALSE,FALSE,TRUE,TRUE,TRUE}</definedName>
    <definedName name="wvu.capexsum." hidden="1">{TRUE,TRUE,-1.25,-15.5,604.5,343.5,FALSE,FALSE,TRUE,TRUE,0,1,2,1,4,1,3,4,TRUE,TRUE,3,TRUE,1,TRUE,85,"Swvu.capexsum.","ACwvu.capexsum.",#N/A,FALSE,FALSE,0.75,0.75,1,1,2,"","",TRUE,FALSE,FALSE,FALSE,1,100,#N/A,#N/A,"=R1C1:R24C12",FALSE,#N/A,#N/A,FALSE,FALSE,FALSE,1,#N/A,#N/A,FALSE,FALSE,TRUE,TRUE,TRUE}</definedName>
    <definedName name="wvu.DATABASE."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earnings." hidden="1">{TRUE,TRUE,-1.25,-15.5,604.5,343.5,FALSE,FALSE,TRUE,TRUE,0,1,2,1,5,1,4,4,TRUE,TRUE,3,TRUE,1,TRUE,85,"Swvu.earnings.","ACwvu.earnings.",#N/A,FALSE,FALSE,0.75,0.75,1,1,2,"","",TRUE,FALSE,FALSE,FALSE,1,#N/A,1,1,"=R1C1:R39C12",FALSE,#N/A,#N/A,FALSE,FALSE,FALSE,1,#N/A,#N/A,FALSE,FALSE,TRUE,TRUE,TRUE}</definedName>
    <definedName name="wvu.foreign._.oil._.and._.gas._.results."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wvu.normal._.growth." hidden="1">{TRUE,TRUE,-1.25,-15.5,604.5,343.5,FALSE,FALSE,TRUE,TRUE,0,1,#N/A,1,#N/A,11.0357142857143,23.5294117647059,1,FALSE,FALSE,3,TRUE,1,FALSE,100,"Swvu.normal._.growth.","ACwvu.normal._.growth.",#N/A,FALSE,FALSE,0.75,0.75,1,1,1,"","",TRUE,FALSE,FALSE,FALSE,1,#N/A,1,1,"=R1C1:R20C3",FALSE,#N/A,#N/A,FALSE,FALSE,FALSE,1,#N/A,#N/A,FALSE,FALSE,TRUE,TRUE,TRUE}</definedName>
    <definedName name="wvu.oil._.and._.gas._.details." hidden="1">{TRUE,TRUE,-1.25,-15.5,604.5,343.5,FALSE,FALSE,TRUE,TRUE,0,1,#N/A,1,35,14.1666666666667,3,3,FALSE,TRUE,3,TRUE,1,TRUE,85,"Swvu.oil._.and._.gas._.details.","ACwvu.oil._.and._.gas._.details.",#N/A,FALSE,FALSE,0.75,0.75,1,1,1,"","",TRUE,FALSE,FALSE,FALSE,1,#N/A,1,1,"=R1C1:R59C11","=R1:R3",#N/A,#N/A,FALSE,FALSE,FALSE,1,#N/A,#N/A,FALSE,FALSE,TRUE,TRUE,TRUE}</definedName>
    <definedName name="wvu.OP."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qtr._.earnings._.model." hidden="1">{TRUE,TRUE,-1.25,-15.5,604.5,343.5,FALSE,FALSE,TRUE,TRUE,0,1,5,1,5,1,4,4,TRUE,TRUE,3,TRUE,1,TRUE,80,"Swvu.qtr._.earnings._.model.","ACwvu.qtr._.earnings._.model.",#N/A,FALSE,FALSE,0.65,0.5,1.25,1,2,"","",TRUE,FALSE,FALSE,FALSE,1,#N/A,1,1,"=R1C1:R36C16",FALSE,#N/A,#N/A,FALSE,FALSE,FALSE,1,#N/A,#N/A,FALSE,FALSE,TRUE,TRUE,TRUE}</definedName>
    <definedName name="wvu.qtr._.for._.IR." hidden="1">{TRUE,TRUE,-1.25,-15.5,604.5,343.5,FALSE,FALSE,TRUE,TRUE,0,1,2,1,13,1,4,4,TRUE,TRUE,3,TRUE,1,TRUE,80,"Swvu.qtr._.for._.IR.","ACwvu.qtr._.for._.IR.",#N/A,FALSE,FALSE,0.65,0.5,1.25,1,2,"","",TRUE,FALSE,FALSE,FALSE,1,#N/A,1,1,"=R1C1:R33C11",FALSE,#N/A,#N/A,FALSE,FALSE,FALSE,1,#N/A,#N/A,FALSE,FALSE,TRUE,TRUE,TRUE}</definedName>
    <definedName name="wvu.Table."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wvu.WP1." hidden="1">{TRUE,TRUE,-1.25,-15.5,484.5,279.75,FALSE,FALSE,TRUE,TRUE,0,3,#N/A,1,#N/A,6.54545454545454,15.55,1,FALSE,FALSE,3,TRUE,1,FALSE,100,"Swvu.WP1.","ACwvu.WP1.",1,FALSE,FALSE,0.25,0.25,0.25,0.25,1,"","&amp;L&amp;D &amp;T NBW&amp;C&amp;P&amp;R&amp;F",FALSE,FALSE,FALSE,FALSE,1,100,#N/A,#N/A,FALSE,FALSE,#N/A,#N/A,FALSE,FALSE}</definedName>
    <definedName name="ww" hidden="1">{"Alles",#N/A,FALSE,"H A Ü"}</definedName>
    <definedName name="ww.Rele" hidden="1">{#N/A,#N/A,FALSE,"Title Page";#N/A,#N/A,FALSE,"Conclusions";#N/A,#N/A,FALSE,"Assum.";#N/A,#N/A,FALSE,"Sun  DCF-WC-Dep";#N/A,#N/A,FALSE,"MarketValue";#N/A,#N/A,FALSE,"BalSheet";#N/A,#N/A,FALSE,"WACC";#N/A,#N/A,FALSE,"PC+ Info.";#N/A,#N/A,FALSE,"PC+Info_2"}</definedName>
    <definedName name="www" hidden="1">{"Kontenverteilung",#N/A,FALSE,"H A Ü"}</definedName>
    <definedName name="XREF_COLUMN_1" hidden="1">#REF!</definedName>
    <definedName name="XREF_COLUMN_2" hidden="1">#REF!</definedName>
    <definedName name="XREF_COLUMN_3" hidden="1">#REF!</definedName>
    <definedName name="XREF_COLUMN_4" hidden="1">#REF!</definedName>
    <definedName name="XREF_COLUMN_5" hidden="1">#REF!</definedName>
    <definedName name="XRefActiveRow" hidden="1">#REF!</definedName>
    <definedName name="XRefColumnsCount" hidden="1">5</definedName>
    <definedName name="XRefCopy1" hidden="1">#REF!</definedName>
    <definedName name="XRefCopy1Row" hidden="1">#REF!</definedName>
    <definedName name="XRefCopy2" hidden="1">#REF!</definedName>
    <definedName name="XRefCopy2Row" hidden="1">#REF!</definedName>
    <definedName name="XRefCopy3" hidden="1">#REF!</definedName>
    <definedName name="XRefCopy3Row" hidden="1">#REF!</definedName>
    <definedName name="XRefCopy4" hidden="1">#REF!</definedName>
    <definedName name="XRefCopy4Row" hidden="1">#REF!</definedName>
    <definedName name="XRefCopy5" hidden="1">#REF!</definedName>
    <definedName name="XRefCopy5Row" hidden="1">#REF!</definedName>
    <definedName name="XRefCopy6" hidden="1">#REF!</definedName>
    <definedName name="XRefCopy6Row" hidden="1">#REF!</definedName>
    <definedName name="XRefCopy7" hidden="1">#REF!</definedName>
    <definedName name="XRefCopy7Row" hidden="1">#REF!</definedName>
    <definedName name="XRefCopyRangeCount" hidden="1">6</definedName>
    <definedName name="XRefPaste1" hidden="1">#REF!</definedName>
    <definedName name="XRefPaste10" hidden="1">#REF!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Row" hidden="1">#REF!</definedName>
    <definedName name="XRefPaste2" hidden="1">#REF!</definedName>
    <definedName name="XRefPaste2Row" hidden="1">#REF!</definedName>
    <definedName name="XRefPaste3Row" hidden="1">#REF!</definedName>
    <definedName name="XRefPaste4" hidden="1">#REF!</definedName>
    <definedName name="XRefPaste4Row" hidden="1">#REF!</definedName>
    <definedName name="XRefPaste5Row" hidden="1">#REF!</definedName>
    <definedName name="XRefPaste6" hidden="1">#REF!</definedName>
    <definedName name="XRefPaste6Row" hidden="1">#REF!</definedName>
    <definedName name="XRefPaste7" hidden="1">#REF!</definedName>
    <definedName name="XRefPaste7Row" hidden="1">#REF!</definedName>
    <definedName name="XRefPaste8" hidden="1">#REF!</definedName>
    <definedName name="XRefPaste8Row" hidden="1">#REF!</definedName>
    <definedName name="XRefPaste9" hidden="1">#REF!</definedName>
    <definedName name="XRefPaste9Row" hidden="1">#REF!</definedName>
    <definedName name="XRefPasteRangeCount" hidden="1">15</definedName>
    <definedName name="xxx" localSheetId="13" hidden="1">{#N/A,#N/A,FALSE,"O&amp;M by processes";#N/A,#N/A,FALSE,"Elec Act vs Bud";#N/A,#N/A,FALSE,"G&amp;A";#N/A,#N/A,FALSE,"BGS";#N/A,#N/A,FALSE,"Res Cost"}</definedName>
    <definedName name="xxx" localSheetId="0" hidden="1">{#N/A,#N/A,FALSE,"O&amp;M by processes";#N/A,#N/A,FALSE,"Elec Act vs Bud";#N/A,#N/A,FALSE,"G&amp;A";#N/A,#N/A,FALSE,"BGS";#N/A,#N/A,FALSE,"Res Cost"}</definedName>
    <definedName name="xxx" hidden="1">{#N/A,#N/A,FALSE,"O&amp;M by processes";#N/A,#N/A,FALSE,"Elec Act vs Bud";#N/A,#N/A,FALSE,"G&amp;A";#N/A,#N/A,FALSE,"BGS";#N/A,#N/A,FALSE,"Res Cost"}</definedName>
    <definedName name="xxxx" localSheetId="13" hidden="1">{#N/A,#N/A,FALSE,"O&amp;M by processes";#N/A,#N/A,FALSE,"Elec Act vs Bud";#N/A,#N/A,FALSE,"G&amp;A";#N/A,#N/A,FALSE,"BGS";#N/A,#N/A,FALSE,"Res Cost"}</definedName>
    <definedName name="xxxx" localSheetId="0" hidden="1">{#N/A,#N/A,FALSE,"O&amp;M by processes";#N/A,#N/A,FALSE,"Elec Act vs Bud";#N/A,#N/A,FALSE,"G&amp;A";#N/A,#N/A,FALSE,"BGS";#N/A,#N/A,FALSE,"Res Cost"}</definedName>
    <definedName name="xxxx" hidden="1">{#N/A,#N/A,FALSE,"O&amp;M by processes";#N/A,#N/A,FALSE,"Elec Act vs Bud";#N/A,#N/A,FALSE,"G&amp;A";#N/A,#N/A,FALSE,"BGS";#N/A,#N/A,FALSE,"Res Cost"}</definedName>
    <definedName name="xxxxxx"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y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rtyretyreyt" hidden="1">{TRUE,TRUE,-1.25,-15.5,604.5,343.5,FALSE,FALSE,TRUE,TRUE,0,1,2,1,4,1,3,4,TRUE,TRUE,3,TRUE,1,TRUE,85,"Swvu.capexsum.","ACwvu.capexsum.",#N/A,FALSE,FALSE,0.75,0.75,1,1,2,"","",TRUE,FALSE,FALSE,FALSE,1,100,#N/A,#N/A,"=R1C1:R24C12",FALSE,#N/A,#N/A,FALSE,FALSE,FALSE,1,#N/A,#N/A,FALSE,FALSE,TRUE,TRUE,TRUE}</definedName>
    <definedName name="yuiuyi" hidden="1">{#N/A,#N/A,FALSE,"P&amp;L";#N/A,#N/A,FALSE,"DL Worksheet";#N/A,#N/A,FALSE,"Ind. Cell";#N/A,#N/A,FALSE,"Capital";#N/A,#N/A,FALSE,"Tooling";#N/A,#N/A,FALSE,"LRP"}</definedName>
    <definedName name="yyy" hidden="1">{#N/A,#N/A,FALSE,"QTR Total";#N/A,#N/A,FALSE,"QTR ASNS";#N/A,#N/A,FALSE,"QTR PNCNS";#N/A,#N/A,FALSE,"QTR DSNS";#N/A,#N/A,FALSE,"QTR TNS"}</definedName>
    <definedName name="Z_28948E05_8F34_4F1E_96FB_A80A6A844600_.wvu.Cols" localSheetId="8" hidden="1">#REF!</definedName>
    <definedName name="Z_28948E05_8F34_4F1E_96FB_A80A6A844600_.wvu.Cols" localSheetId="9" hidden="1">#REF!</definedName>
    <definedName name="Z_28948E05_8F34_4F1E_96FB_A80A6A844600_.wvu.Cols" localSheetId="10" hidden="1">#REF!</definedName>
    <definedName name="Z_28948E05_8F34_4F1E_96FB_A80A6A844600_.wvu.Cols" localSheetId="11" hidden="1">#REF!</definedName>
    <definedName name="Z_28948E05_8F34_4F1E_96FB_A80A6A844600_.wvu.Cols" localSheetId="12" hidden="1">#REF!</definedName>
    <definedName name="Z_28948E05_8F34_4F1E_96FB_A80A6A844600_.wvu.Cols" localSheetId="13" hidden="1">#REF!</definedName>
    <definedName name="Z_28948E05_8F34_4F1E_96FB_A80A6A844600_.wvu.PrintArea" localSheetId="8" hidden="1">'8a-ADIT Projection'!$B$1:$G$53</definedName>
    <definedName name="Z_28948E05_8F34_4F1E_96FB_A80A6A844600_.wvu.PrintArea" localSheetId="9" hidden="1">'8b-ADIT Projection Proration'!$B$1:$H$74</definedName>
    <definedName name="Z_28948E05_8F34_4F1E_96FB_A80A6A844600_.wvu.PrintArea" localSheetId="10" hidden="1">'8c- ADIT BOY'!$B$1:$H$105</definedName>
    <definedName name="Z_28948E05_8F34_4F1E_96FB_A80A6A844600_.wvu.PrintArea" localSheetId="11" hidden="1">'8d- ADIT EOY'!$B$1:$H$108</definedName>
    <definedName name="Z_28948E05_8F34_4F1E_96FB_A80A6A844600_.wvu.PrintArea" localSheetId="12" hidden="1">'8e-ADIT True-up'!$B$1:$G$48</definedName>
    <definedName name="Z_28948E05_8F34_4F1E_96FB_A80A6A844600_.wvu.PrintArea" localSheetId="13" hidden="1">'8f-ADIT True-up Proration'!$B$1:$F$74</definedName>
    <definedName name="Z_63011E91_4609_4523_98FE_FD252E915668_.wvu.Cols" localSheetId="8" hidden="1">#REF!</definedName>
    <definedName name="Z_63011E91_4609_4523_98FE_FD252E915668_.wvu.Cols" localSheetId="9" hidden="1">#REF!</definedName>
    <definedName name="Z_63011E91_4609_4523_98FE_FD252E915668_.wvu.Cols" localSheetId="10" hidden="1">#REF!</definedName>
    <definedName name="Z_63011E91_4609_4523_98FE_FD252E915668_.wvu.Cols" localSheetId="11" hidden="1">#REF!</definedName>
    <definedName name="Z_63011E91_4609_4523_98FE_FD252E915668_.wvu.Cols" localSheetId="12" hidden="1">#REF!</definedName>
    <definedName name="Z_63011E91_4609_4523_98FE_FD252E915668_.wvu.Cols" localSheetId="13" hidden="1">#REF!</definedName>
    <definedName name="Z_63011E91_4609_4523_98FE_FD252E915668_.wvu.PrintArea" localSheetId="8" hidden="1">'8a-ADIT Projection'!$B$1:$G$53</definedName>
    <definedName name="Z_63011E91_4609_4523_98FE_FD252E915668_.wvu.PrintArea" localSheetId="9" hidden="1">'8b-ADIT Projection Proration'!$B$1:$H$74</definedName>
    <definedName name="Z_63011E91_4609_4523_98FE_FD252E915668_.wvu.PrintArea" localSheetId="10" hidden="1">'8c- ADIT BOY'!$B$1:$H$105</definedName>
    <definedName name="Z_63011E91_4609_4523_98FE_FD252E915668_.wvu.PrintArea" localSheetId="11" hidden="1">'8d- ADIT EOY'!$B$1:$H$108</definedName>
    <definedName name="Z_63011E91_4609_4523_98FE_FD252E915668_.wvu.PrintArea" localSheetId="12" hidden="1">'8e-ADIT True-up'!$B$1:$G$48</definedName>
    <definedName name="Z_63011E91_4609_4523_98FE_FD252E915668_.wvu.PrintArea" localSheetId="13" hidden="1">'8f-ADIT True-up Proration'!$B$1:$F$74</definedName>
    <definedName name="Z_6928E596_79BD_4CEC_9F0D_07E62D69B2A5_.wvu.Cols" localSheetId="8" hidden="1">#REF!</definedName>
    <definedName name="Z_6928E596_79BD_4CEC_9F0D_07E62D69B2A5_.wvu.Cols" localSheetId="9" hidden="1">#REF!</definedName>
    <definedName name="Z_6928E596_79BD_4CEC_9F0D_07E62D69B2A5_.wvu.Cols" localSheetId="10" hidden="1">#REF!</definedName>
    <definedName name="Z_6928E596_79BD_4CEC_9F0D_07E62D69B2A5_.wvu.Cols" localSheetId="11" hidden="1">#REF!</definedName>
    <definedName name="Z_6928E596_79BD_4CEC_9F0D_07E62D69B2A5_.wvu.Cols" localSheetId="12" hidden="1">#REF!</definedName>
    <definedName name="Z_6928E596_79BD_4CEC_9F0D_07E62D69B2A5_.wvu.Cols" localSheetId="13" hidden="1">#REF!</definedName>
    <definedName name="Z_6928E596_79BD_4CEC_9F0D_07E62D69B2A5_.wvu.PrintArea" localSheetId="8" hidden="1">'8a-ADIT Projection'!$B$1:$G$53</definedName>
    <definedName name="Z_6928E596_79BD_4CEC_9F0D_07E62D69B2A5_.wvu.PrintArea" localSheetId="9" hidden="1">'8b-ADIT Projection Proration'!$B$1:$H$74</definedName>
    <definedName name="Z_6928E596_79BD_4CEC_9F0D_07E62D69B2A5_.wvu.PrintArea" localSheetId="10" hidden="1">'8c- ADIT BOY'!$B$1:$H$105</definedName>
    <definedName name="Z_6928E596_79BD_4CEC_9F0D_07E62D69B2A5_.wvu.PrintArea" localSheetId="11" hidden="1">'8d- ADIT EOY'!$B$1:$H$108</definedName>
    <definedName name="Z_6928E596_79BD_4CEC_9F0D_07E62D69B2A5_.wvu.PrintArea" localSheetId="12" hidden="1">'8e-ADIT True-up'!$B$1:$G$48</definedName>
    <definedName name="Z_6928E596_79BD_4CEC_9F0D_07E62D69B2A5_.wvu.PrintArea" localSheetId="13" hidden="1">'8f-ADIT True-up Proration'!$B$1:$F$74</definedName>
    <definedName name="Z_71B42B22_A376_44B5_B0C1_23FC1AA3DBA2_.wvu.Cols" localSheetId="8" hidden="1">#REF!</definedName>
    <definedName name="Z_71B42B22_A376_44B5_B0C1_23FC1AA3DBA2_.wvu.Cols" localSheetId="9" hidden="1">#REF!</definedName>
    <definedName name="Z_71B42B22_A376_44B5_B0C1_23FC1AA3DBA2_.wvu.Cols" localSheetId="10" hidden="1">#REF!</definedName>
    <definedName name="Z_71B42B22_A376_44B5_B0C1_23FC1AA3DBA2_.wvu.Cols" localSheetId="11" hidden="1">#REF!</definedName>
    <definedName name="Z_71B42B22_A376_44B5_B0C1_23FC1AA3DBA2_.wvu.Cols" localSheetId="12" hidden="1">#REF!</definedName>
    <definedName name="Z_71B42B22_A376_44B5_B0C1_23FC1AA3DBA2_.wvu.Cols" localSheetId="13" hidden="1">#REF!</definedName>
    <definedName name="Z_71B42B22_A376_44B5_B0C1_23FC1AA3DBA2_.wvu.PrintArea" localSheetId="8" hidden="1">'8a-ADIT Projection'!$B$1:$G$53</definedName>
    <definedName name="Z_71B42B22_A376_44B5_B0C1_23FC1AA3DBA2_.wvu.PrintArea" localSheetId="9" hidden="1">'8b-ADIT Projection Proration'!$B$1:$H$74</definedName>
    <definedName name="Z_71B42B22_A376_44B5_B0C1_23FC1AA3DBA2_.wvu.PrintArea" localSheetId="10" hidden="1">'8c- ADIT BOY'!$B$1:$H$105</definedName>
    <definedName name="Z_71B42B22_A376_44B5_B0C1_23FC1AA3DBA2_.wvu.PrintArea" localSheetId="11" hidden="1">'8d- ADIT EOY'!$B$1:$H$108</definedName>
    <definedName name="Z_71B42B22_A376_44B5_B0C1_23FC1AA3DBA2_.wvu.PrintArea" localSheetId="12" hidden="1">'8e-ADIT True-up'!$B$1:$G$48</definedName>
    <definedName name="Z_71B42B22_A376_44B5_B0C1_23FC1AA3DBA2_.wvu.PrintArea" localSheetId="13" hidden="1">'8f-ADIT True-up Proration'!$B$1:$F$74</definedName>
    <definedName name="Z_8FBB4DC9_2D51_4AB9_80D8_F8474B404C29_.wvu.Cols" localSheetId="8" hidden="1">#REF!</definedName>
    <definedName name="Z_8FBB4DC9_2D51_4AB9_80D8_F8474B404C29_.wvu.Cols" localSheetId="9" hidden="1">#REF!</definedName>
    <definedName name="Z_8FBB4DC9_2D51_4AB9_80D8_F8474B404C29_.wvu.Cols" localSheetId="10" hidden="1">#REF!</definedName>
    <definedName name="Z_8FBB4DC9_2D51_4AB9_80D8_F8474B404C29_.wvu.Cols" localSheetId="11" hidden="1">#REF!</definedName>
    <definedName name="Z_8FBB4DC9_2D51_4AB9_80D8_F8474B404C29_.wvu.Cols" localSheetId="12" hidden="1">#REF!</definedName>
    <definedName name="Z_8FBB4DC9_2D51_4AB9_80D8_F8474B404C29_.wvu.Cols" localSheetId="13" hidden="1">#REF!</definedName>
    <definedName name="Z_8FBB4DC9_2D51_4AB9_80D8_F8474B404C29_.wvu.PrintArea" localSheetId="8" hidden="1">'8a-ADIT Projection'!$B$1:$G$53</definedName>
    <definedName name="Z_8FBB4DC9_2D51_4AB9_80D8_F8474B404C29_.wvu.PrintArea" localSheetId="9" hidden="1">'8b-ADIT Projection Proration'!$B$1:$H$74</definedName>
    <definedName name="Z_8FBB4DC9_2D51_4AB9_80D8_F8474B404C29_.wvu.PrintArea" localSheetId="10" hidden="1">'8c- ADIT BOY'!$B$1:$H$105</definedName>
    <definedName name="Z_8FBB4DC9_2D51_4AB9_80D8_F8474B404C29_.wvu.PrintArea" localSheetId="11" hidden="1">'8d- ADIT EOY'!$B$1:$H$108</definedName>
    <definedName name="Z_8FBB4DC9_2D51_4AB9_80D8_F8474B404C29_.wvu.PrintArea" localSheetId="12" hidden="1">'8e-ADIT True-up'!$B$1:$G$48</definedName>
    <definedName name="Z_8FBB4DC9_2D51_4AB9_80D8_F8474B404C29_.wvu.PrintArea" localSheetId="13" hidden="1">'8f-ADIT True-up Proration'!$B$1:$F$74</definedName>
    <definedName name="Z_B647CB7F_C846_4278_B6B1_1EF7F3C004F5_.wvu.Cols" localSheetId="8" hidden="1">#REF!</definedName>
    <definedName name="Z_B647CB7F_C846_4278_B6B1_1EF7F3C004F5_.wvu.Cols" localSheetId="9" hidden="1">#REF!</definedName>
    <definedName name="Z_B647CB7F_C846_4278_B6B1_1EF7F3C004F5_.wvu.Cols" localSheetId="10" hidden="1">#REF!</definedName>
    <definedName name="Z_B647CB7F_C846_4278_B6B1_1EF7F3C004F5_.wvu.Cols" localSheetId="11" hidden="1">#REF!</definedName>
    <definedName name="Z_B647CB7F_C846_4278_B6B1_1EF7F3C004F5_.wvu.Cols" localSheetId="12" hidden="1">#REF!</definedName>
    <definedName name="Z_B647CB7F_C846_4278_B6B1_1EF7F3C004F5_.wvu.Cols" localSheetId="13" hidden="1">#REF!</definedName>
    <definedName name="Z_B647CB7F_C846_4278_B6B1_1EF7F3C004F5_.wvu.PrintArea" localSheetId="8" hidden="1">'8a-ADIT Projection'!$B$1:$G$53</definedName>
    <definedName name="Z_B647CB7F_C846_4278_B6B1_1EF7F3C004F5_.wvu.PrintArea" localSheetId="9" hidden="1">'8b-ADIT Projection Proration'!$B$1:$H$74</definedName>
    <definedName name="Z_B647CB7F_C846_4278_B6B1_1EF7F3C004F5_.wvu.PrintArea" localSheetId="10" hidden="1">'8c- ADIT BOY'!$B$1:$H$105</definedName>
    <definedName name="Z_B647CB7F_C846_4278_B6B1_1EF7F3C004F5_.wvu.PrintArea" localSheetId="11" hidden="1">'8d- ADIT EOY'!$B$1:$H$108</definedName>
    <definedName name="Z_B647CB7F_C846_4278_B6B1_1EF7F3C004F5_.wvu.PrintArea" localSheetId="12" hidden="1">'8e-ADIT True-up'!$B$1:$G$48</definedName>
    <definedName name="Z_B647CB7F_C846_4278_B6B1_1EF7F3C004F5_.wvu.PrintArea" localSheetId="13" hidden="1">'8f-ADIT True-up Proration'!$B$1:$F$74</definedName>
    <definedName name="Z_DC91DEF3_837B_4BB9_A81E_3B78C5914E6C_.wvu.Cols" localSheetId="8" hidden="1">#REF!</definedName>
    <definedName name="Z_DC91DEF3_837B_4BB9_A81E_3B78C5914E6C_.wvu.Cols" localSheetId="9" hidden="1">#REF!</definedName>
    <definedName name="Z_DC91DEF3_837B_4BB9_A81E_3B78C5914E6C_.wvu.Cols" localSheetId="10" hidden="1">#REF!</definedName>
    <definedName name="Z_DC91DEF3_837B_4BB9_A81E_3B78C5914E6C_.wvu.Cols" localSheetId="11" hidden="1">#REF!</definedName>
    <definedName name="Z_DC91DEF3_837B_4BB9_A81E_3B78C5914E6C_.wvu.Cols" localSheetId="12" hidden="1">#REF!</definedName>
    <definedName name="Z_DC91DEF3_837B_4BB9_A81E_3B78C5914E6C_.wvu.Cols" localSheetId="13" hidden="1">#REF!</definedName>
    <definedName name="Z_DC91DEF3_837B_4BB9_A81E_3B78C5914E6C_.wvu.PrintArea" localSheetId="8" hidden="1">'8a-ADIT Projection'!$B$1:$G$53</definedName>
    <definedName name="Z_DC91DEF3_837B_4BB9_A81E_3B78C5914E6C_.wvu.PrintArea" localSheetId="9" hidden="1">'8b-ADIT Projection Proration'!$B$1:$H$74</definedName>
    <definedName name="Z_DC91DEF3_837B_4BB9_A81E_3B78C5914E6C_.wvu.PrintArea" localSheetId="10" hidden="1">'8c- ADIT BOY'!$B$1:$H$105</definedName>
    <definedName name="Z_DC91DEF3_837B_4BB9_A81E_3B78C5914E6C_.wvu.PrintArea" localSheetId="11" hidden="1">'8d- ADIT EOY'!$B$1:$H$108</definedName>
    <definedName name="Z_DC91DEF3_837B_4BB9_A81E_3B78C5914E6C_.wvu.PrintArea" localSheetId="12" hidden="1">'8e-ADIT True-up'!$B$1:$G$48</definedName>
    <definedName name="Z_DC91DEF3_837B_4BB9_A81E_3B78C5914E6C_.wvu.PrintArea" localSheetId="13" hidden="1">'8f-ADIT True-up Proration'!$B$1:$F$74</definedName>
    <definedName name="Z_F04A2B9A_C6FE_4FEB_AD1E_2CF9AC309BE4_.wvu.PrintArea" localSheetId="1" hidden="1">'1-Project Rev Req'!$A$1:$Q$102</definedName>
    <definedName name="Z_F04A2B9A_C6FE_4FEB_AD1E_2CF9AC309BE4_.wvu.PrintArea" localSheetId="3" hidden="1">'3-Project True-up'!$A$1:$L$31</definedName>
    <definedName name="Z_F04A2B9A_C6FE_4FEB_AD1E_2CF9AC309BE4_.wvu.PrintArea" localSheetId="4" hidden="1">'4- Rate Base'!$A$1:$L$69</definedName>
    <definedName name="Z_F04A2B9A_C6FE_4FEB_AD1E_2CF9AC309BE4_.wvu.PrintArea" localSheetId="0" hidden="1">'Attachment O'!$A$1:$K$282</definedName>
    <definedName name="Z_FAAD9AAC_1337_43AB_BF1F_CCF9DFCF5B78_.wvu.Cols" localSheetId="8" hidden="1">#REF!</definedName>
    <definedName name="Z_FAAD9AAC_1337_43AB_BF1F_CCF9DFCF5B78_.wvu.Cols" localSheetId="9" hidden="1">#REF!</definedName>
    <definedName name="Z_FAAD9AAC_1337_43AB_BF1F_CCF9DFCF5B78_.wvu.Cols" localSheetId="10" hidden="1">#REF!</definedName>
    <definedName name="Z_FAAD9AAC_1337_43AB_BF1F_CCF9DFCF5B78_.wvu.Cols" localSheetId="11" hidden="1">#REF!</definedName>
    <definedName name="Z_FAAD9AAC_1337_43AB_BF1F_CCF9DFCF5B78_.wvu.Cols" localSheetId="12" hidden="1">#REF!</definedName>
    <definedName name="Z_FAAD9AAC_1337_43AB_BF1F_CCF9DFCF5B78_.wvu.Cols" localSheetId="13" hidden="1">#REF!</definedName>
    <definedName name="Z_FAAD9AAC_1337_43AB_BF1F_CCF9DFCF5B78_.wvu.PrintArea" localSheetId="8" hidden="1">'8a-ADIT Projection'!$B$1:$G$53</definedName>
    <definedName name="Z_FAAD9AAC_1337_43AB_BF1F_CCF9DFCF5B78_.wvu.PrintArea" localSheetId="9" hidden="1">'8b-ADIT Projection Proration'!$B$1:$H$74</definedName>
    <definedName name="Z_FAAD9AAC_1337_43AB_BF1F_CCF9DFCF5B78_.wvu.PrintArea" localSheetId="10" hidden="1">'8c- ADIT BOY'!$B$1:$H$105</definedName>
    <definedName name="Z_FAAD9AAC_1337_43AB_BF1F_CCF9DFCF5B78_.wvu.PrintArea" localSheetId="11" hidden="1">'8d- ADIT EOY'!$B$1:$H$108</definedName>
    <definedName name="Z_FAAD9AAC_1337_43AB_BF1F_CCF9DFCF5B78_.wvu.PrintArea" localSheetId="12" hidden="1">'8e-ADIT True-up'!$B$1:$G$48</definedName>
    <definedName name="Z_FAAD9AAC_1337_43AB_BF1F_CCF9DFCF5B78_.wvu.PrintArea" localSheetId="13" hidden="1">'8f-ADIT True-up Proration'!$B$1:$F$74</definedName>
    <definedName name="zero">0</definedName>
    <definedName name="Zip" hidden="1">#REF!</definedName>
    <definedName name="zz" hidden="1">{#N/A,#N/A,FALSE,"TOTFINAL";#N/A,#N/A,FALSE,"FINPLAN";#N/A,#N/A,FALSE,"TOTMOTADJ";#N/A,#N/A,FALSE,"tieEQ";#N/A,#N/A,FALSE,"G";#N/A,#N/A,FALSE,"ELIMS";#N/A,#N/A,FALSE,"NEXTEL ADJ";#N/A,#N/A,FALSE,"MIMS";#N/A,#N/A,FALSE,"LMPS";#N/A,#N/A,FALSE,"CNSS";#N/A,#N/A,FALSE,"CSS";#N/A,#N/A,FALSE,"MCG";#N/A,#N/A,FALSE,"AECS";#N/A,#N/A,FALSE,"SPS";#N/A,#N/A,FALSE,"CORP"}</definedName>
    <definedName name="zzz.com" hidden="1">{#N/A,#N/A,FALSE,"Title Page";#N/A,#N/A,FALSE,"Conclusions";#N/A,#N/A,FALSE,"Assum.";#N/A,#N/A,FALSE,"Sun  DCF-WC-Dep";#N/A,#N/A,FALSE,"MarketValue";#N/A,#N/A,FALSE,"BalSheet";#N/A,#N/A,FALSE,"WACC";#N/A,#N/A,FALSE,"PC+ Info.";#N/A,#N/A,FALSE,"PC+Info_2"}</definedName>
    <definedName name="zzzz" hidden="1">{#N/A,#N/A,FALSE,"TOTFINAL";#N/A,#N/A,FALSE,"FINPLAN";#N/A,#N/A,FALSE,"TOTMOTADJ";#N/A,#N/A,FALSE,"tieEQ";#N/A,#N/A,FALSE,"G";#N/A,#N/A,FALSE,"ELIMS";#N/A,#N/A,FALSE,"NEXTEL ADJ";#N/A,#N/A,FALSE,"MIMS";#N/A,#N/A,FALSE,"LMPS";#N/A,#N/A,FALSE,"CNSS";#N/A,#N/A,FALSE,"CSS";#N/A,#N/A,FALSE,"MCG";#N/A,#N/A,FALSE,"AECS";#N/A,#N/A,FALSE,"SPS";#N/A,#N/A,FALSE,"CORP"}</definedName>
  </definedNames>
  <calcPr calcId="191029" iterate="1" iterateCount="4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9" i="1" l="1"/>
  <c r="F20" i="10" l="1"/>
  <c r="G20" i="10" s="1"/>
  <c r="F12" i="10"/>
  <c r="G12" i="10" s="1"/>
  <c r="F19" i="10"/>
  <c r="G19" i="10" s="1"/>
  <c r="F11" i="10"/>
  <c r="G11" i="10" s="1"/>
  <c r="F15" i="10"/>
  <c r="G15" i="10" s="1"/>
  <c r="F18" i="10"/>
  <c r="G18" i="10" s="1"/>
  <c r="F13" i="10"/>
  <c r="G13" i="10" s="1"/>
  <c r="F17" i="10"/>
  <c r="G17" i="10" s="1"/>
  <c r="F21" i="10"/>
  <c r="G21" i="10" s="1"/>
  <c r="F16" i="10"/>
  <c r="G16" i="10" s="1"/>
  <c r="G10" i="10"/>
  <c r="F14" i="10"/>
  <c r="G14" i="10" s="1"/>
  <c r="H41" i="19" l="1"/>
  <c r="G41" i="19"/>
  <c r="C41" i="19"/>
  <c r="C39" i="19"/>
  <c r="G35" i="19"/>
  <c r="G13" i="19" s="1"/>
  <c r="C35" i="19"/>
  <c r="C33" i="19"/>
  <c r="H32" i="19"/>
  <c r="H33" i="19" s="1"/>
  <c r="G32" i="19"/>
  <c r="G33" i="19" s="1"/>
  <c r="K26" i="19"/>
  <c r="K24" i="19"/>
  <c r="J24" i="19"/>
  <c r="C24" i="19"/>
  <c r="E22" i="19"/>
  <c r="G22" i="19" s="1"/>
  <c r="K19" i="19"/>
  <c r="J19" i="19"/>
  <c r="C19" i="19"/>
  <c r="G17" i="19"/>
  <c r="E17" i="19"/>
  <c r="E19" i="19" s="1"/>
  <c r="K14" i="19"/>
  <c r="J14" i="19"/>
  <c r="J26" i="19" s="1"/>
  <c r="G14" i="19"/>
  <c r="C14" i="19"/>
  <c r="C26" i="19" s="1"/>
  <c r="G12" i="19"/>
  <c r="E12" i="19"/>
  <c r="AK32" i="18"/>
  <c r="AI32" i="18"/>
  <c r="AE32" i="18"/>
  <c r="AC32" i="18"/>
  <c r="AG32" i="18" s="1"/>
  <c r="AA32" i="18"/>
  <c r="Y32" i="18"/>
  <c r="W32" i="18"/>
  <c r="S32" i="18"/>
  <c r="Q32" i="18"/>
  <c r="U32" i="18" s="1"/>
  <c r="AK31" i="18"/>
  <c r="AI31" i="18"/>
  <c r="AI33" i="18" s="1"/>
  <c r="AE31" i="18"/>
  <c r="AE33" i="18" s="1"/>
  <c r="AC31" i="18"/>
  <c r="Y31" i="18"/>
  <c r="Y33" i="18" s="1"/>
  <c r="W31" i="18"/>
  <c r="W33" i="18" s="1"/>
  <c r="S31" i="18"/>
  <c r="S33" i="18" s="1"/>
  <c r="Q31" i="18"/>
  <c r="A31" i="18"/>
  <c r="A32" i="18" s="1"/>
  <c r="A33" i="18" s="1"/>
  <c r="A27" i="18"/>
  <c r="AA25" i="18"/>
  <c r="Y25" i="18"/>
  <c r="W25" i="18"/>
  <c r="W27" i="18" s="1"/>
  <c r="S25" i="18"/>
  <c r="S24" i="18"/>
  <c r="U24" i="18" s="1"/>
  <c r="Q24" i="18"/>
  <c r="J24" i="18"/>
  <c r="AA23" i="18"/>
  <c r="H23" i="18"/>
  <c r="S23" i="18" s="1"/>
  <c r="AE23" i="18" s="1"/>
  <c r="F23" i="18"/>
  <c r="F25" i="18" s="1"/>
  <c r="B23" i="18"/>
  <c r="AA20" i="18"/>
  <c r="Y20" i="18"/>
  <c r="W20" i="18"/>
  <c r="S19" i="18"/>
  <c r="Q19" i="18"/>
  <c r="AA18" i="18"/>
  <c r="H18" i="18"/>
  <c r="S18" i="18" s="1"/>
  <c r="F18" i="18"/>
  <c r="Q18" i="18" s="1"/>
  <c r="Q20" i="18" s="1"/>
  <c r="B18" i="18"/>
  <c r="Y15" i="18"/>
  <c r="Y27" i="18" s="1"/>
  <c r="W15" i="18"/>
  <c r="S14" i="18"/>
  <c r="Q14" i="18"/>
  <c r="AA13" i="18"/>
  <c r="AA15" i="18" s="1"/>
  <c r="Q13" i="18"/>
  <c r="H13" i="18"/>
  <c r="S13" i="18" s="1"/>
  <c r="F13" i="18"/>
  <c r="F31" i="18" s="1"/>
  <c r="B13" i="18"/>
  <c r="AA54" i="14"/>
  <c r="R54" i="14"/>
  <c r="I54" i="14"/>
  <c r="X53" i="14"/>
  <c r="AB53" i="14" s="1"/>
  <c r="AC53" i="14" s="1"/>
  <c r="T53" i="14"/>
  <c r="O53" i="14"/>
  <c r="S53" i="14" s="1"/>
  <c r="F53" i="14"/>
  <c r="J53" i="14" s="1"/>
  <c r="K53" i="14" s="1"/>
  <c r="E53" i="14"/>
  <c r="X52" i="14"/>
  <c r="O52" i="14"/>
  <c r="S52" i="14" s="1"/>
  <c r="T52" i="14" s="1"/>
  <c r="F52" i="14"/>
  <c r="J52" i="14" s="1"/>
  <c r="K52" i="14" s="1"/>
  <c r="E52" i="14"/>
  <c r="G52" i="14" s="1"/>
  <c r="X51" i="14"/>
  <c r="AB51" i="14" s="1"/>
  <c r="AC51" i="14" s="1"/>
  <c r="O51" i="14"/>
  <c r="S51" i="14" s="1"/>
  <c r="T51" i="14" s="1"/>
  <c r="F51" i="14"/>
  <c r="J51" i="14" s="1"/>
  <c r="K51" i="14" s="1"/>
  <c r="E51" i="14"/>
  <c r="Y51" i="14" s="1"/>
  <c r="AB50" i="14"/>
  <c r="AC50" i="14" s="1"/>
  <c r="Y50" i="14"/>
  <c r="X50" i="14"/>
  <c r="O50" i="14"/>
  <c r="S50" i="14" s="1"/>
  <c r="T50" i="14" s="1"/>
  <c r="F50" i="14"/>
  <c r="J50" i="14" s="1"/>
  <c r="K50" i="14" s="1"/>
  <c r="E50" i="14"/>
  <c r="Y49" i="14"/>
  <c r="X49" i="14"/>
  <c r="AB49" i="14" s="1"/>
  <c r="AC49" i="14" s="1"/>
  <c r="T49" i="14"/>
  <c r="U49" i="14" s="1"/>
  <c r="S49" i="14"/>
  <c r="O49" i="14"/>
  <c r="P49" i="14" s="1"/>
  <c r="F49" i="14"/>
  <c r="J49" i="14" s="1"/>
  <c r="K49" i="14" s="1"/>
  <c r="E49" i="14"/>
  <c r="AC48" i="14"/>
  <c r="AB48" i="14"/>
  <c r="X48" i="14"/>
  <c r="S48" i="14"/>
  <c r="T48" i="14" s="1"/>
  <c r="O48" i="14"/>
  <c r="P48" i="14" s="1"/>
  <c r="F48" i="14"/>
  <c r="G48" i="14" s="1"/>
  <c r="E48" i="14"/>
  <c r="AC47" i="14"/>
  <c r="X47" i="14"/>
  <c r="AB47" i="14" s="1"/>
  <c r="O47" i="14"/>
  <c r="S47" i="14" s="1"/>
  <c r="T47" i="14" s="1"/>
  <c r="F47" i="14"/>
  <c r="J47" i="14" s="1"/>
  <c r="K47" i="14" s="1"/>
  <c r="E47" i="14"/>
  <c r="AB46" i="14"/>
  <c r="AC46" i="14" s="1"/>
  <c r="X46" i="14"/>
  <c r="U46" i="14"/>
  <c r="T46" i="14"/>
  <c r="S46" i="14"/>
  <c r="P46" i="14"/>
  <c r="O46" i="14"/>
  <c r="F46" i="14"/>
  <c r="J46" i="14" s="1"/>
  <c r="K46" i="14" s="1"/>
  <c r="E46" i="14"/>
  <c r="X45" i="14"/>
  <c r="AB45" i="14" s="1"/>
  <c r="AC45" i="14" s="1"/>
  <c r="V45" i="14"/>
  <c r="U45" i="14"/>
  <c r="T45" i="14"/>
  <c r="O45" i="14"/>
  <c r="S45" i="14" s="1"/>
  <c r="F45" i="14"/>
  <c r="J45" i="14" s="1"/>
  <c r="K45" i="14" s="1"/>
  <c r="E45" i="14"/>
  <c r="X44" i="14"/>
  <c r="AB44" i="14" s="1"/>
  <c r="AC44" i="14" s="1"/>
  <c r="O44" i="14"/>
  <c r="S44" i="14" s="1"/>
  <c r="T44" i="14" s="1"/>
  <c r="F44" i="14"/>
  <c r="J44" i="14" s="1"/>
  <c r="K44" i="14" s="1"/>
  <c r="E44" i="14"/>
  <c r="X43" i="14"/>
  <c r="AB43" i="14" s="1"/>
  <c r="AC43" i="14" s="1"/>
  <c r="O43" i="14"/>
  <c r="S43" i="14" s="1"/>
  <c r="T43" i="14" s="1"/>
  <c r="F43" i="14"/>
  <c r="J43" i="14" s="1"/>
  <c r="K43" i="14" s="1"/>
  <c r="E43" i="14"/>
  <c r="AD42" i="14"/>
  <c r="AB42" i="14"/>
  <c r="AC42" i="14" s="1"/>
  <c r="X42" i="14"/>
  <c r="O42" i="14"/>
  <c r="S42" i="14" s="1"/>
  <c r="F42" i="14"/>
  <c r="E42" i="14"/>
  <c r="Z41" i="14"/>
  <c r="Q41" i="14"/>
  <c r="H41" i="14"/>
  <c r="E41" i="14"/>
  <c r="AA38" i="14"/>
  <c r="R38" i="14"/>
  <c r="I38" i="14"/>
  <c r="X37" i="14"/>
  <c r="AB37" i="14" s="1"/>
  <c r="AC37" i="14" s="1"/>
  <c r="O37" i="14"/>
  <c r="S37" i="14" s="1"/>
  <c r="T37" i="14" s="1"/>
  <c r="F37" i="14"/>
  <c r="J37" i="14" s="1"/>
  <c r="K37" i="14" s="1"/>
  <c r="M37" i="14" s="1"/>
  <c r="E37" i="14"/>
  <c r="X36" i="14"/>
  <c r="AB36" i="14" s="1"/>
  <c r="AC36" i="14" s="1"/>
  <c r="O36" i="14"/>
  <c r="S36" i="14" s="1"/>
  <c r="T36" i="14" s="1"/>
  <c r="F36" i="14"/>
  <c r="J36" i="14" s="1"/>
  <c r="K36" i="14" s="1"/>
  <c r="E36" i="14"/>
  <c r="AB35" i="14"/>
  <c r="AC35" i="14" s="1"/>
  <c r="X35" i="14"/>
  <c r="O35" i="14"/>
  <c r="S35" i="14" s="1"/>
  <c r="T35" i="14" s="1"/>
  <c r="F35" i="14"/>
  <c r="J35" i="14" s="1"/>
  <c r="K35" i="14" s="1"/>
  <c r="L35" i="14" s="1"/>
  <c r="E35" i="14"/>
  <c r="Y34" i="14"/>
  <c r="X34" i="14"/>
  <c r="AB34" i="14" s="1"/>
  <c r="AC34" i="14" s="1"/>
  <c r="U34" i="14"/>
  <c r="S34" i="14"/>
  <c r="T34" i="14" s="1"/>
  <c r="V34" i="14" s="1"/>
  <c r="O34" i="14"/>
  <c r="F34" i="14"/>
  <c r="J34" i="14" s="1"/>
  <c r="K34" i="14" s="1"/>
  <c r="E34" i="14"/>
  <c r="AB33" i="14"/>
  <c r="AC33" i="14" s="1"/>
  <c r="Y33" i="14"/>
  <c r="X33" i="14"/>
  <c r="P33" i="14"/>
  <c r="O33" i="14"/>
  <c r="S33" i="14" s="1"/>
  <c r="T33" i="14" s="1"/>
  <c r="F33" i="14"/>
  <c r="E33" i="14"/>
  <c r="AB32" i="14"/>
  <c r="AC32" i="14" s="1"/>
  <c r="X32" i="14"/>
  <c r="O32" i="14"/>
  <c r="S32" i="14" s="1"/>
  <c r="T32" i="14" s="1"/>
  <c r="F32" i="14"/>
  <c r="J32" i="14" s="1"/>
  <c r="K32" i="14" s="1"/>
  <c r="E32" i="14"/>
  <c r="X31" i="14"/>
  <c r="AB31" i="14" s="1"/>
  <c r="AC31" i="14" s="1"/>
  <c r="O31" i="14"/>
  <c r="S31" i="14" s="1"/>
  <c r="T31" i="14" s="1"/>
  <c r="J31" i="14"/>
  <c r="K31" i="14" s="1"/>
  <c r="L31" i="14" s="1"/>
  <c r="F31" i="14"/>
  <c r="E31" i="14"/>
  <c r="Y30" i="14"/>
  <c r="X30" i="14"/>
  <c r="AB30" i="14" s="1"/>
  <c r="AC30" i="14" s="1"/>
  <c r="AE30" i="14" s="1"/>
  <c r="O30" i="14"/>
  <c r="S30" i="14" s="1"/>
  <c r="T30" i="14" s="1"/>
  <c r="V30" i="14" s="1"/>
  <c r="F30" i="14"/>
  <c r="J30" i="14" s="1"/>
  <c r="K30" i="14" s="1"/>
  <c r="M30" i="14" s="1"/>
  <c r="E30" i="14"/>
  <c r="X29" i="14"/>
  <c r="AB29" i="14" s="1"/>
  <c r="AC29" i="14" s="1"/>
  <c r="O29" i="14"/>
  <c r="S29" i="14" s="1"/>
  <c r="T29" i="14" s="1"/>
  <c r="F29" i="14"/>
  <c r="J29" i="14" s="1"/>
  <c r="K29" i="14" s="1"/>
  <c r="L29" i="14" s="1"/>
  <c r="E29" i="14"/>
  <c r="X28" i="14"/>
  <c r="AB28" i="14" s="1"/>
  <c r="AC28" i="14" s="1"/>
  <c r="O28" i="14"/>
  <c r="S28" i="14" s="1"/>
  <c r="T28" i="14" s="1"/>
  <c r="F28" i="14"/>
  <c r="J28" i="14" s="1"/>
  <c r="K28" i="14" s="1"/>
  <c r="E28" i="14"/>
  <c r="X27" i="14"/>
  <c r="AB27" i="14" s="1"/>
  <c r="AC27" i="14" s="1"/>
  <c r="S27" i="14"/>
  <c r="T27" i="14" s="1"/>
  <c r="O27" i="14"/>
  <c r="F27" i="14"/>
  <c r="J27" i="14" s="1"/>
  <c r="K27" i="14" s="1"/>
  <c r="E27" i="14"/>
  <c r="X26" i="14"/>
  <c r="O26" i="14"/>
  <c r="F26" i="14"/>
  <c r="E26" i="14"/>
  <c r="Z25" i="14"/>
  <c r="Q25" i="14"/>
  <c r="H25" i="14"/>
  <c r="E25" i="14"/>
  <c r="AA22" i="14"/>
  <c r="R22" i="14"/>
  <c r="I22" i="14"/>
  <c r="X21" i="14"/>
  <c r="AB21" i="14" s="1"/>
  <c r="AC21" i="14" s="1"/>
  <c r="O21" i="14"/>
  <c r="S21" i="14" s="1"/>
  <c r="T21" i="14" s="1"/>
  <c r="F21" i="14"/>
  <c r="J21" i="14" s="1"/>
  <c r="K21" i="14" s="1"/>
  <c r="M21" i="14" s="1"/>
  <c r="E21" i="14"/>
  <c r="Y20" i="14"/>
  <c r="X20" i="14"/>
  <c r="AB20" i="14" s="1"/>
  <c r="AC20" i="14" s="1"/>
  <c r="O20" i="14"/>
  <c r="S20" i="14" s="1"/>
  <c r="T20" i="14" s="1"/>
  <c r="F20" i="14"/>
  <c r="J20" i="14" s="1"/>
  <c r="K20" i="14" s="1"/>
  <c r="E20" i="14"/>
  <c r="AB19" i="14"/>
  <c r="AC19" i="14" s="1"/>
  <c r="X19" i="14"/>
  <c r="S19" i="14"/>
  <c r="T19" i="14" s="1"/>
  <c r="O19" i="14"/>
  <c r="F19" i="14"/>
  <c r="J19" i="14" s="1"/>
  <c r="K19" i="14" s="1"/>
  <c r="M19" i="14" s="1"/>
  <c r="E19" i="14"/>
  <c r="X18" i="14"/>
  <c r="AB18" i="14" s="1"/>
  <c r="AC18" i="14" s="1"/>
  <c r="O18" i="14"/>
  <c r="S18" i="14" s="1"/>
  <c r="T18" i="14" s="1"/>
  <c r="V18" i="14" s="1"/>
  <c r="F18" i="14"/>
  <c r="J18" i="14" s="1"/>
  <c r="K18" i="14" s="1"/>
  <c r="L18" i="14" s="1"/>
  <c r="E18" i="14"/>
  <c r="X17" i="14"/>
  <c r="AB17" i="14" s="1"/>
  <c r="AC17" i="14" s="1"/>
  <c r="O17" i="14"/>
  <c r="S17" i="14" s="1"/>
  <c r="T17" i="14" s="1"/>
  <c r="F17" i="14"/>
  <c r="J17" i="14" s="1"/>
  <c r="K17" i="14" s="1"/>
  <c r="E17" i="14"/>
  <c r="AD16" i="14"/>
  <c r="X16" i="14"/>
  <c r="AB16" i="14" s="1"/>
  <c r="AC16" i="14" s="1"/>
  <c r="AE16" i="14" s="1"/>
  <c r="O16" i="14"/>
  <c r="S16" i="14" s="1"/>
  <c r="T16" i="14" s="1"/>
  <c r="F16" i="14"/>
  <c r="J16" i="14" s="1"/>
  <c r="K16" i="14" s="1"/>
  <c r="M16" i="14" s="1"/>
  <c r="E16" i="14"/>
  <c r="X15" i="14"/>
  <c r="AB15" i="14" s="1"/>
  <c r="AC15" i="14" s="1"/>
  <c r="O15" i="14"/>
  <c r="S15" i="14" s="1"/>
  <c r="T15" i="14" s="1"/>
  <c r="F15" i="14"/>
  <c r="J15" i="14" s="1"/>
  <c r="K15" i="14" s="1"/>
  <c r="E15" i="14"/>
  <c r="P15" i="14" s="1"/>
  <c r="X14" i="14"/>
  <c r="AB14" i="14" s="1"/>
  <c r="AC14" i="14" s="1"/>
  <c r="S14" i="14"/>
  <c r="T14" i="14" s="1"/>
  <c r="O14" i="14"/>
  <c r="F14" i="14"/>
  <c r="J14" i="14" s="1"/>
  <c r="K14" i="14" s="1"/>
  <c r="E14" i="14"/>
  <c r="Y14" i="14" s="1"/>
  <c r="AB13" i="14"/>
  <c r="AC13" i="14" s="1"/>
  <c r="X13" i="14"/>
  <c r="S13" i="14"/>
  <c r="T13" i="14" s="1"/>
  <c r="O13" i="14"/>
  <c r="F13" i="14"/>
  <c r="J13" i="14" s="1"/>
  <c r="K13" i="14" s="1"/>
  <c r="L13" i="14" s="1"/>
  <c r="E13" i="14"/>
  <c r="AC12" i="14"/>
  <c r="AE12" i="14" s="1"/>
  <c r="AB12" i="14"/>
  <c r="X12" i="14"/>
  <c r="O12" i="14"/>
  <c r="S12" i="14" s="1"/>
  <c r="T12" i="14" s="1"/>
  <c r="V12" i="14" s="1"/>
  <c r="F12" i="14"/>
  <c r="J12" i="14" s="1"/>
  <c r="K12" i="14" s="1"/>
  <c r="M12" i="14" s="1"/>
  <c r="E12" i="14"/>
  <c r="Y12" i="14" s="1"/>
  <c r="X11" i="14"/>
  <c r="AB11" i="14" s="1"/>
  <c r="AC11" i="14" s="1"/>
  <c r="T11" i="14"/>
  <c r="V11" i="14" s="1"/>
  <c r="O11" i="14"/>
  <c r="S11" i="14" s="1"/>
  <c r="F11" i="14"/>
  <c r="J11" i="14" s="1"/>
  <c r="K11" i="14" s="1"/>
  <c r="M11" i="14" s="1"/>
  <c r="E11" i="14"/>
  <c r="Y11" i="14" s="1"/>
  <c r="A11" i="14"/>
  <c r="A12" i="14" s="1"/>
  <c r="A13" i="14" s="1"/>
  <c r="A14" i="14" s="1"/>
  <c r="A15" i="14" s="1"/>
  <c r="A16" i="14" s="1"/>
  <c r="A17" i="14" s="1"/>
  <c r="A18" i="14" s="1"/>
  <c r="A19" i="14" s="1"/>
  <c r="A20" i="14" s="1"/>
  <c r="A21" i="14" s="1"/>
  <c r="A22" i="14" s="1"/>
  <c r="A25" i="14" s="1"/>
  <c r="A26" i="14" s="1"/>
  <c r="A27" i="14" s="1"/>
  <c r="A28" i="14" s="1"/>
  <c r="A29" i="14" s="1"/>
  <c r="A30" i="14" s="1"/>
  <c r="A31" i="14" s="1"/>
  <c r="A32" i="14" s="1"/>
  <c r="A33" i="14" s="1"/>
  <c r="A34" i="14" s="1"/>
  <c r="A35" i="14" s="1"/>
  <c r="A36" i="14" s="1"/>
  <c r="A37" i="14" s="1"/>
  <c r="A38" i="14" s="1"/>
  <c r="A41" i="14" s="1"/>
  <c r="A42" i="14" s="1"/>
  <c r="A43" i="14" s="1"/>
  <c r="A44" i="14" s="1"/>
  <c r="A45" i="14" s="1"/>
  <c r="A46" i="14" s="1"/>
  <c r="A47" i="14" s="1"/>
  <c r="A48" i="14" s="1"/>
  <c r="A49" i="14" s="1"/>
  <c r="A50" i="14" s="1"/>
  <c r="A51" i="14" s="1"/>
  <c r="A52" i="14" s="1"/>
  <c r="A53" i="14" s="1"/>
  <c r="A54" i="14" s="1"/>
  <c r="X10" i="14"/>
  <c r="O10" i="14"/>
  <c r="F10" i="14"/>
  <c r="J10" i="14" s="1"/>
  <c r="E10" i="14"/>
  <c r="D10" i="14"/>
  <c r="D26" i="14" s="1"/>
  <c r="D42" i="14" s="1"/>
  <c r="A10" i="14"/>
  <c r="E9" i="14"/>
  <c r="D9" i="14"/>
  <c r="D25" i="14" s="1"/>
  <c r="D41" i="14" s="1"/>
  <c r="X3" i="14"/>
  <c r="O3" i="14"/>
  <c r="A3" i="14"/>
  <c r="X2" i="14"/>
  <c r="O2" i="14"/>
  <c r="A2" i="14"/>
  <c r="D22" i="13"/>
  <c r="D28" i="13" s="1"/>
  <c r="D34" i="13" s="1"/>
  <c r="A10" i="13"/>
  <c r="A11" i="13" s="1"/>
  <c r="A12" i="13" s="1"/>
  <c r="A13" i="13" s="1"/>
  <c r="A14" i="13" s="1"/>
  <c r="A15" i="13" s="1"/>
  <c r="A16" i="13" s="1"/>
  <c r="A22" i="13" s="1"/>
  <c r="A23" i="13" s="1"/>
  <c r="A24" i="13" s="1"/>
  <c r="A25" i="13" s="1"/>
  <c r="A28" i="13" s="1"/>
  <c r="A29" i="13" s="1"/>
  <c r="A30" i="13" s="1"/>
  <c r="A31" i="13" s="1"/>
  <c r="A34" i="13" s="1"/>
  <c r="A35" i="13" s="1"/>
  <c r="A36" i="13" s="1"/>
  <c r="A37" i="13" s="1"/>
  <c r="A3" i="13"/>
  <c r="A2" i="13"/>
  <c r="F80" i="12"/>
  <c r="G77" i="12"/>
  <c r="G80" i="12" s="1"/>
  <c r="H29" i="13" s="1"/>
  <c r="F77" i="12"/>
  <c r="E77" i="12"/>
  <c r="E80" i="12" s="1"/>
  <c r="D77" i="12"/>
  <c r="D80" i="12" s="1"/>
  <c r="C77" i="12"/>
  <c r="C80" i="12" s="1"/>
  <c r="E29" i="13" s="1"/>
  <c r="C76" i="12"/>
  <c r="F57" i="12"/>
  <c r="G23" i="13" s="1"/>
  <c r="D57" i="12"/>
  <c r="G54" i="12"/>
  <c r="G57" i="12" s="1"/>
  <c r="F54" i="12"/>
  <c r="E54" i="12"/>
  <c r="E57" i="12" s="1"/>
  <c r="D54" i="12"/>
  <c r="C53" i="12"/>
  <c r="C54" i="12" s="1"/>
  <c r="C57" i="12" s="1"/>
  <c r="E23" i="13" s="1"/>
  <c r="A42" i="12"/>
  <c r="G32" i="12"/>
  <c r="F32" i="12"/>
  <c r="G35" i="13" s="1"/>
  <c r="D32" i="12"/>
  <c r="G29" i="12"/>
  <c r="F29" i="12"/>
  <c r="E29" i="12"/>
  <c r="E32" i="12" s="1"/>
  <c r="D29" i="12"/>
  <c r="C29" i="12"/>
  <c r="C32" i="12" s="1"/>
  <c r="C28" i="12"/>
  <c r="F11" i="12"/>
  <c r="G10" i="12"/>
  <c r="A10" i="12"/>
  <c r="A11" i="12" s="1"/>
  <c r="A12" i="12" s="1"/>
  <c r="A19" i="12" s="1"/>
  <c r="A20" i="12" s="1"/>
  <c r="A21" i="12" s="1"/>
  <c r="A22" i="12" s="1"/>
  <c r="A23" i="12" s="1"/>
  <c r="A24" i="12" s="1"/>
  <c r="A25" i="12" s="1"/>
  <c r="A26" i="12" s="1"/>
  <c r="A27" i="12" s="1"/>
  <c r="A28" i="12" s="1"/>
  <c r="A29" i="12" s="1"/>
  <c r="A30" i="12" s="1"/>
  <c r="A31" i="12" s="1"/>
  <c r="A32" i="12" s="1"/>
  <c r="A46" i="12" s="1"/>
  <c r="A47" i="12" s="1"/>
  <c r="A48" i="12" s="1"/>
  <c r="A49" i="12" s="1"/>
  <c r="A50" i="12" s="1"/>
  <c r="A51" i="12" s="1"/>
  <c r="A52" i="12" s="1"/>
  <c r="A53" i="12" s="1"/>
  <c r="A54" i="12" s="1"/>
  <c r="A55" i="12" s="1"/>
  <c r="A56" i="12" s="1"/>
  <c r="A57" i="12" s="1"/>
  <c r="A67" i="12" s="1"/>
  <c r="A68" i="12" s="1"/>
  <c r="A69" i="12" s="1"/>
  <c r="A70" i="12" s="1"/>
  <c r="A71" i="12" s="1"/>
  <c r="A72" i="12" s="1"/>
  <c r="A73" i="12" s="1"/>
  <c r="A74" i="12" s="1"/>
  <c r="A75" i="12" s="1"/>
  <c r="A76" i="12" s="1"/>
  <c r="A77" i="12" s="1"/>
  <c r="A78" i="12" s="1"/>
  <c r="A79" i="12" s="1"/>
  <c r="A80" i="12" s="1"/>
  <c r="F9" i="12"/>
  <c r="B2" i="12"/>
  <c r="G77" i="11"/>
  <c r="E77" i="11"/>
  <c r="G74" i="11"/>
  <c r="F74" i="11"/>
  <c r="F77" i="11" s="1"/>
  <c r="G28" i="13" s="1"/>
  <c r="E74" i="11"/>
  <c r="D74" i="11"/>
  <c r="D77" i="11" s="1"/>
  <c r="C73" i="11"/>
  <c r="C74" i="11" s="1"/>
  <c r="C77" i="11" s="1"/>
  <c r="D54" i="11"/>
  <c r="G51" i="11"/>
  <c r="G54" i="11" s="1"/>
  <c r="F51" i="11"/>
  <c r="F54" i="11" s="1"/>
  <c r="E51" i="11"/>
  <c r="E54" i="11" s="1"/>
  <c r="D51" i="11"/>
  <c r="C50" i="11"/>
  <c r="C51" i="11" s="1"/>
  <c r="C54" i="11" s="1"/>
  <c r="E22" i="9" s="1"/>
  <c r="A39" i="11"/>
  <c r="E29" i="11"/>
  <c r="G41" i="10" s="1"/>
  <c r="G26" i="11"/>
  <c r="G29" i="11" s="1"/>
  <c r="G8" i="11" s="1"/>
  <c r="F26" i="11"/>
  <c r="F29" i="11" s="1"/>
  <c r="E26" i="11"/>
  <c r="D26" i="11"/>
  <c r="D29" i="11" s="1"/>
  <c r="C25" i="11"/>
  <c r="C26" i="11" s="1"/>
  <c r="C29" i="11" s="1"/>
  <c r="A17" i="11"/>
  <c r="A18" i="11" s="1"/>
  <c r="A19" i="11" s="1"/>
  <c r="A20" i="11" s="1"/>
  <c r="A21" i="11" s="1"/>
  <c r="A22" i="11" s="1"/>
  <c r="A23" i="11" s="1"/>
  <c r="A24" i="11" s="1"/>
  <c r="A25" i="11" s="1"/>
  <c r="A26" i="11" s="1"/>
  <c r="A27" i="11" s="1"/>
  <c r="A28" i="11" s="1"/>
  <c r="A29" i="11" s="1"/>
  <c r="A43" i="11" s="1"/>
  <c r="A44" i="11" s="1"/>
  <c r="A45" i="11" s="1"/>
  <c r="A46" i="11" s="1"/>
  <c r="A47" i="11" s="1"/>
  <c r="A48" i="11" s="1"/>
  <c r="A49" i="11" s="1"/>
  <c r="A50" i="11" s="1"/>
  <c r="A51" i="11" s="1"/>
  <c r="A52" i="11" s="1"/>
  <c r="A53" i="11" s="1"/>
  <c r="A54" i="11" s="1"/>
  <c r="A64" i="11" s="1"/>
  <c r="A65" i="11" s="1"/>
  <c r="A66" i="11" s="1"/>
  <c r="A67" i="11" s="1"/>
  <c r="A68" i="11" s="1"/>
  <c r="A69" i="11" s="1"/>
  <c r="A70" i="11" s="1"/>
  <c r="A71" i="11" s="1"/>
  <c r="A72" i="11" s="1"/>
  <c r="A73" i="11" s="1"/>
  <c r="A74" i="11" s="1"/>
  <c r="A75" i="11" s="1"/>
  <c r="A76" i="11" s="1"/>
  <c r="A77" i="11" s="1"/>
  <c r="A9" i="11"/>
  <c r="A16" i="11" s="1"/>
  <c r="G7" i="11"/>
  <c r="F7" i="11"/>
  <c r="A7" i="11"/>
  <c r="A8" i="11" s="1"/>
  <c r="B2" i="11"/>
  <c r="E53" i="10"/>
  <c r="D53" i="10"/>
  <c r="E52" i="10"/>
  <c r="L52" i="10" s="1"/>
  <c r="D52" i="10"/>
  <c r="J51" i="10"/>
  <c r="H51" i="10"/>
  <c r="E51" i="10"/>
  <c r="L51" i="10" s="1"/>
  <c r="D51" i="10"/>
  <c r="E50" i="10"/>
  <c r="D50" i="10"/>
  <c r="E49" i="10"/>
  <c r="L49" i="10" s="1"/>
  <c r="D49" i="10"/>
  <c r="L48" i="10"/>
  <c r="J48" i="10"/>
  <c r="H48" i="10"/>
  <c r="E48" i="10"/>
  <c r="D48" i="10"/>
  <c r="L47" i="10"/>
  <c r="J47" i="10"/>
  <c r="H47" i="10"/>
  <c r="E47" i="10"/>
  <c r="D47" i="10"/>
  <c r="E46" i="10"/>
  <c r="D46" i="10"/>
  <c r="E45" i="10"/>
  <c r="L45" i="10" s="1"/>
  <c r="D45" i="10"/>
  <c r="L44" i="10"/>
  <c r="J44" i="10"/>
  <c r="H44" i="10"/>
  <c r="E44" i="10"/>
  <c r="D44" i="10"/>
  <c r="L43" i="10"/>
  <c r="J43" i="10"/>
  <c r="H43" i="10"/>
  <c r="E43" i="10"/>
  <c r="D43" i="10"/>
  <c r="E42" i="10"/>
  <c r="D42" i="10"/>
  <c r="E41" i="10"/>
  <c r="D41" i="10"/>
  <c r="E37" i="10"/>
  <c r="D37" i="10"/>
  <c r="E36" i="10"/>
  <c r="L36" i="10" s="1"/>
  <c r="D36" i="10"/>
  <c r="L35" i="10"/>
  <c r="J35" i="10"/>
  <c r="H35" i="10"/>
  <c r="E35" i="10"/>
  <c r="D35" i="10"/>
  <c r="L34" i="10"/>
  <c r="J34" i="10"/>
  <c r="H34" i="10"/>
  <c r="E34" i="10"/>
  <c r="D34" i="10"/>
  <c r="E33" i="10"/>
  <c r="D33" i="10"/>
  <c r="E32" i="10"/>
  <c r="L32" i="10" s="1"/>
  <c r="D32" i="10"/>
  <c r="L31" i="10"/>
  <c r="J31" i="10"/>
  <c r="H31" i="10"/>
  <c r="E31" i="10"/>
  <c r="D31" i="10"/>
  <c r="L30" i="10"/>
  <c r="J30" i="10"/>
  <c r="H30" i="10"/>
  <c r="E30" i="10"/>
  <c r="D30" i="10"/>
  <c r="E29" i="10"/>
  <c r="D29" i="10"/>
  <c r="E28" i="10"/>
  <c r="L28" i="10" s="1"/>
  <c r="D28" i="10"/>
  <c r="L27" i="10"/>
  <c r="J27" i="10"/>
  <c r="H27" i="10"/>
  <c r="E27" i="10"/>
  <c r="D27" i="10"/>
  <c r="L26" i="10"/>
  <c r="J26" i="10"/>
  <c r="H26" i="10"/>
  <c r="E26" i="10"/>
  <c r="D26" i="10"/>
  <c r="I25" i="10"/>
  <c r="E25" i="10"/>
  <c r="D25" i="10"/>
  <c r="L21" i="10"/>
  <c r="J21" i="10"/>
  <c r="H21" i="10"/>
  <c r="E21" i="10"/>
  <c r="D21" i="10"/>
  <c r="E20" i="10"/>
  <c r="D20" i="10"/>
  <c r="D20" i="14" s="1"/>
  <c r="D36" i="14" s="1"/>
  <c r="D52" i="14" s="1"/>
  <c r="E19" i="10"/>
  <c r="L19" i="10" s="1"/>
  <c r="D19" i="10"/>
  <c r="D19" i="14" s="1"/>
  <c r="D35" i="14" s="1"/>
  <c r="D51" i="14" s="1"/>
  <c r="L18" i="10"/>
  <c r="J18" i="10"/>
  <c r="H18" i="10"/>
  <c r="E18" i="10"/>
  <c r="D18" i="10"/>
  <c r="D18" i="14" s="1"/>
  <c r="D34" i="14" s="1"/>
  <c r="D50" i="14" s="1"/>
  <c r="L17" i="10"/>
  <c r="J17" i="10"/>
  <c r="H17" i="10"/>
  <c r="E17" i="10"/>
  <c r="D17" i="10"/>
  <c r="D17" i="14" s="1"/>
  <c r="D33" i="14" s="1"/>
  <c r="D49" i="14" s="1"/>
  <c r="E16" i="10"/>
  <c r="D16" i="10"/>
  <c r="D16" i="14" s="1"/>
  <c r="D32" i="14" s="1"/>
  <c r="D48" i="14" s="1"/>
  <c r="E15" i="10"/>
  <c r="L15" i="10" s="1"/>
  <c r="D15" i="10"/>
  <c r="D15" i="14" s="1"/>
  <c r="D31" i="14" s="1"/>
  <c r="D47" i="14" s="1"/>
  <c r="L14" i="10"/>
  <c r="J14" i="10"/>
  <c r="H14" i="10"/>
  <c r="E14" i="10"/>
  <c r="D14" i="10"/>
  <c r="D14" i="14" s="1"/>
  <c r="D30" i="14" s="1"/>
  <c r="D46" i="14" s="1"/>
  <c r="L13" i="10"/>
  <c r="J13" i="10"/>
  <c r="H13" i="10"/>
  <c r="E13" i="10"/>
  <c r="D13" i="10"/>
  <c r="D13" i="14" s="1"/>
  <c r="D29" i="14" s="1"/>
  <c r="D45" i="14" s="1"/>
  <c r="E12" i="10"/>
  <c r="D12" i="10"/>
  <c r="D12" i="14" s="1"/>
  <c r="D28" i="14" s="1"/>
  <c r="D44" i="14" s="1"/>
  <c r="E11" i="10"/>
  <c r="L11" i="10" s="1"/>
  <c r="D11" i="10"/>
  <c r="D11" i="14" s="1"/>
  <c r="D27" i="14" s="1"/>
  <c r="D43" i="14" s="1"/>
  <c r="A11" i="10"/>
  <c r="A12" i="10" s="1"/>
  <c r="A13" i="10" s="1"/>
  <c r="A14" i="10" s="1"/>
  <c r="A15" i="10" s="1"/>
  <c r="A16" i="10" s="1"/>
  <c r="A17" i="10" s="1"/>
  <c r="A18" i="10" s="1"/>
  <c r="A19" i="10" s="1"/>
  <c r="A20" i="10" s="1"/>
  <c r="A21" i="10" s="1"/>
  <c r="A22" i="10" s="1"/>
  <c r="A25" i="10" s="1"/>
  <c r="A26" i="10" s="1"/>
  <c r="A27" i="10" s="1"/>
  <c r="A28" i="10" s="1"/>
  <c r="A29" i="10" s="1"/>
  <c r="A30" i="10" s="1"/>
  <c r="A31" i="10" s="1"/>
  <c r="A32" i="10" s="1"/>
  <c r="A33" i="10" s="1"/>
  <c r="A34" i="10" s="1"/>
  <c r="A35" i="10" s="1"/>
  <c r="A36" i="10" s="1"/>
  <c r="A37" i="10" s="1"/>
  <c r="A38" i="10" s="1"/>
  <c r="A41" i="10" s="1"/>
  <c r="A42" i="10" s="1"/>
  <c r="A43" i="10" s="1"/>
  <c r="A44" i="10" s="1"/>
  <c r="A45" i="10" s="1"/>
  <c r="A46" i="10" s="1"/>
  <c r="A47" i="10" s="1"/>
  <c r="A48" i="10" s="1"/>
  <c r="A49" i="10" s="1"/>
  <c r="A50" i="10" s="1"/>
  <c r="A51" i="10" s="1"/>
  <c r="A52" i="10" s="1"/>
  <c r="A53" i="10" s="1"/>
  <c r="A54" i="10" s="1"/>
  <c r="L10" i="10"/>
  <c r="J10" i="10"/>
  <c r="H10" i="10"/>
  <c r="E10" i="10"/>
  <c r="A10" i="10"/>
  <c r="K9" i="10"/>
  <c r="L9" i="10" s="1"/>
  <c r="I9" i="10"/>
  <c r="I22" i="10" s="1"/>
  <c r="E9" i="10"/>
  <c r="A3" i="10"/>
  <c r="A2" i="10"/>
  <c r="H35" i="9"/>
  <c r="G35" i="9"/>
  <c r="F35" i="9"/>
  <c r="H34" i="9"/>
  <c r="D30" i="9"/>
  <c r="D36" i="9" s="1"/>
  <c r="H29" i="9"/>
  <c r="D29" i="9"/>
  <c r="D35" i="9" s="1"/>
  <c r="H28" i="9"/>
  <c r="G28" i="9"/>
  <c r="D28" i="9"/>
  <c r="D34" i="9" s="1"/>
  <c r="D24" i="9"/>
  <c r="G23" i="9"/>
  <c r="H22" i="9"/>
  <c r="F22" i="9"/>
  <c r="A10" i="9"/>
  <c r="A11" i="9" s="1"/>
  <c r="A12" i="9" s="1"/>
  <c r="A13" i="9" s="1"/>
  <c r="A14" i="9" s="1"/>
  <c r="A15" i="9" s="1"/>
  <c r="A16" i="9" s="1"/>
  <c r="A22" i="9" s="1"/>
  <c r="A23" i="9" s="1"/>
  <c r="A24" i="9" s="1"/>
  <c r="A25" i="9" s="1"/>
  <c r="A28" i="9" s="1"/>
  <c r="A29" i="9" s="1"/>
  <c r="A30" i="9" s="1"/>
  <c r="A31" i="9" s="1"/>
  <c r="A34" i="9" s="1"/>
  <c r="A35" i="9" s="1"/>
  <c r="A36" i="9" s="1"/>
  <c r="A37" i="9" s="1"/>
  <c r="A3" i="9"/>
  <c r="A2" i="9"/>
  <c r="D11" i="8"/>
  <c r="D13" i="8" s="1"/>
  <c r="C10" i="8"/>
  <c r="A3" i="8"/>
  <c r="A3" i="7"/>
  <c r="F65" i="6"/>
  <c r="G62" i="6" s="1"/>
  <c r="K62" i="6" s="1"/>
  <c r="I230" i="1" s="1"/>
  <c r="G63" i="6"/>
  <c r="J55" i="6"/>
  <c r="J57" i="6" s="1"/>
  <c r="A55" i="6"/>
  <c r="A56" i="6" s="1"/>
  <c r="A57" i="6" s="1"/>
  <c r="A62" i="6" s="1"/>
  <c r="A63" i="6" s="1"/>
  <c r="A64" i="6" s="1"/>
  <c r="A65" i="6" s="1"/>
  <c r="A45" i="6"/>
  <c r="A49" i="6" s="1"/>
  <c r="A51" i="6" s="1"/>
  <c r="A54" i="6" s="1"/>
  <c r="N41" i="6"/>
  <c r="L41" i="6"/>
  <c r="K41" i="6"/>
  <c r="D164" i="1" s="1"/>
  <c r="E24" i="3" s="1"/>
  <c r="J41" i="6"/>
  <c r="I41" i="6"/>
  <c r="H41" i="6"/>
  <c r="G41" i="6"/>
  <c r="F41" i="6"/>
  <c r="E41" i="6"/>
  <c r="D41" i="6"/>
  <c r="D144" i="1" s="1"/>
  <c r="I144" i="1" s="1"/>
  <c r="C41" i="6"/>
  <c r="F28" i="6"/>
  <c r="G28" i="6" s="1"/>
  <c r="H28" i="6" s="1"/>
  <c r="I28" i="6" s="1"/>
  <c r="N22" i="6"/>
  <c r="M22" i="6"/>
  <c r="L22" i="6"/>
  <c r="K22" i="6"/>
  <c r="J22" i="6"/>
  <c r="I22" i="6"/>
  <c r="H22" i="6"/>
  <c r="G22" i="6"/>
  <c r="F22" i="6"/>
  <c r="E22" i="6"/>
  <c r="D22" i="6"/>
  <c r="C22" i="6"/>
  <c r="L9" i="6"/>
  <c r="A3" i="6"/>
  <c r="D59" i="5"/>
  <c r="I58" i="5"/>
  <c r="I57" i="5"/>
  <c r="I56" i="5"/>
  <c r="I55" i="5"/>
  <c r="I54" i="5"/>
  <c r="I53" i="5"/>
  <c r="A52" i="5"/>
  <c r="G48" i="5"/>
  <c r="I42" i="5"/>
  <c r="C42" i="5"/>
  <c r="D33" i="5"/>
  <c r="D32" i="5"/>
  <c r="D31" i="5"/>
  <c r="D30" i="5"/>
  <c r="P23" i="5"/>
  <c r="O23" i="5"/>
  <c r="N23" i="5"/>
  <c r="M23" i="5"/>
  <c r="L23" i="5"/>
  <c r="K23" i="5"/>
  <c r="J23" i="5"/>
  <c r="I23" i="5"/>
  <c r="H23" i="5"/>
  <c r="G23" i="5"/>
  <c r="F23" i="5"/>
  <c r="E23" i="5"/>
  <c r="D23" i="5"/>
  <c r="C23" i="5"/>
  <c r="G3" i="5"/>
  <c r="E45" i="4"/>
  <c r="E47" i="4" s="1"/>
  <c r="E23" i="4"/>
  <c r="D23" i="4"/>
  <c r="H21" i="4"/>
  <c r="F21" i="4"/>
  <c r="H20" i="4"/>
  <c r="F20" i="4"/>
  <c r="F19" i="4"/>
  <c r="H19" i="4" s="1"/>
  <c r="H18" i="4"/>
  <c r="F18" i="4"/>
  <c r="F17" i="4"/>
  <c r="F16" i="4"/>
  <c r="E4" i="4"/>
  <c r="B31" i="3"/>
  <c r="J30" i="3"/>
  <c r="B30" i="3"/>
  <c r="J29" i="3"/>
  <c r="B29" i="3"/>
  <c r="J28" i="3"/>
  <c r="B28" i="3"/>
  <c r="B27" i="3"/>
  <c r="D26" i="3"/>
  <c r="D25" i="3"/>
  <c r="D19" i="3"/>
  <c r="E15" i="3"/>
  <c r="H14" i="3"/>
  <c r="A13" i="3"/>
  <c r="A14" i="3" s="1"/>
  <c r="A15" i="3" s="1"/>
  <c r="A16" i="3" s="1"/>
  <c r="A18" i="3" s="1"/>
  <c r="A19" i="3" s="1"/>
  <c r="A9" i="3"/>
  <c r="A12" i="3" s="1"/>
  <c r="A5" i="3"/>
  <c r="W96" i="2"/>
  <c r="U96" i="2"/>
  <c r="X95" i="2"/>
  <c r="R94" i="2"/>
  <c r="M94" i="2"/>
  <c r="N94" i="2" s="1"/>
  <c r="R93" i="2"/>
  <c r="M93" i="2"/>
  <c r="N93" i="2" s="1"/>
  <c r="R92" i="2"/>
  <c r="M92" i="2"/>
  <c r="N92" i="2" s="1"/>
  <c r="R91" i="2"/>
  <c r="M91" i="2"/>
  <c r="N91" i="2" s="1"/>
  <c r="R90" i="2"/>
  <c r="M90" i="2"/>
  <c r="N90" i="2" s="1"/>
  <c r="R89" i="2"/>
  <c r="M89" i="2"/>
  <c r="N89" i="2" s="1"/>
  <c r="R88" i="2"/>
  <c r="M88" i="2"/>
  <c r="N88" i="2" s="1"/>
  <c r="R87" i="2"/>
  <c r="M87" i="2"/>
  <c r="N87" i="2" s="1"/>
  <c r="R86" i="2"/>
  <c r="M86" i="2"/>
  <c r="N86" i="2" s="1"/>
  <c r="R85" i="2"/>
  <c r="M85" i="2"/>
  <c r="N85" i="2" s="1"/>
  <c r="R84" i="2"/>
  <c r="M84" i="2"/>
  <c r="N84" i="2" s="1"/>
  <c r="R83" i="2"/>
  <c r="M83" i="2"/>
  <c r="N83" i="2" s="1"/>
  <c r="R82" i="2"/>
  <c r="M82" i="2"/>
  <c r="N82" i="2" s="1"/>
  <c r="R81" i="2"/>
  <c r="M81" i="2"/>
  <c r="N81" i="2" s="1"/>
  <c r="R80" i="2"/>
  <c r="M80" i="2"/>
  <c r="N80" i="2" s="1"/>
  <c r="R79" i="2"/>
  <c r="L79" i="2"/>
  <c r="L78" i="2"/>
  <c r="L77" i="2"/>
  <c r="T76" i="2"/>
  <c r="T96" i="2" s="1"/>
  <c r="F64" i="2"/>
  <c r="Q64" i="2" s="1"/>
  <c r="Q63" i="2"/>
  <c r="F63" i="2"/>
  <c r="E6" i="2"/>
  <c r="F65" i="2" s="1"/>
  <c r="Q65" i="2" s="1"/>
  <c r="K261" i="1"/>
  <c r="K259" i="1"/>
  <c r="I251" i="1"/>
  <c r="I240" i="1"/>
  <c r="A239" i="1"/>
  <c r="A240" i="1" s="1"/>
  <c r="A242" i="1" s="1"/>
  <c r="C14" i="1" s="1"/>
  <c r="D232" i="1"/>
  <c r="G231" i="1"/>
  <c r="D231" i="1"/>
  <c r="A231" i="1"/>
  <c r="A232" i="1" s="1"/>
  <c r="A233" i="1" s="1"/>
  <c r="G230" i="1"/>
  <c r="H12" i="3" s="1"/>
  <c r="D230" i="1"/>
  <c r="D225" i="1"/>
  <c r="G223" i="1" s="1"/>
  <c r="D222" i="1"/>
  <c r="D219" i="1"/>
  <c r="G218" i="1"/>
  <c r="G217" i="1"/>
  <c r="A217" i="1"/>
  <c r="A218" i="1" s="1"/>
  <c r="A219" i="1" s="1"/>
  <c r="A222" i="1" s="1"/>
  <c r="A223" i="1" s="1"/>
  <c r="A224" i="1" s="1"/>
  <c r="A225" i="1" s="1"/>
  <c r="A216" i="1"/>
  <c r="G215" i="1"/>
  <c r="A209" i="1"/>
  <c r="A211" i="1" s="1"/>
  <c r="A208" i="1"/>
  <c r="A207" i="1"/>
  <c r="K197" i="1"/>
  <c r="K195" i="1"/>
  <c r="I189" i="1"/>
  <c r="I186" i="1"/>
  <c r="D186" i="1"/>
  <c r="I184" i="1"/>
  <c r="I180" i="1"/>
  <c r="A176" i="1"/>
  <c r="B163" i="1"/>
  <c r="A163" i="1"/>
  <c r="A164" i="1" s="1"/>
  <c r="D24" i="3" s="1"/>
  <c r="A160" i="1"/>
  <c r="D159" i="1"/>
  <c r="C158" i="1"/>
  <c r="D155" i="1"/>
  <c r="D154" i="1"/>
  <c r="D153" i="1"/>
  <c r="D152" i="1"/>
  <c r="D150" i="1"/>
  <c r="D149" i="1"/>
  <c r="A149" i="1"/>
  <c r="A150" i="1" s="1"/>
  <c r="A151" i="1" s="1"/>
  <c r="A152" i="1" s="1"/>
  <c r="A153" i="1" s="1"/>
  <c r="A154" i="1" s="1"/>
  <c r="A155" i="1" s="1"/>
  <c r="A156" i="1" s="1"/>
  <c r="D143" i="1"/>
  <c r="A143" i="1"/>
  <c r="D142" i="1"/>
  <c r="D145" i="1" s="1"/>
  <c r="A142" i="1"/>
  <c r="D141" i="1"/>
  <c r="D137" i="1"/>
  <c r="D136" i="1"/>
  <c r="D135" i="1"/>
  <c r="I135" i="1" s="1"/>
  <c r="F133" i="1"/>
  <c r="D133" i="1"/>
  <c r="I133" i="1" s="1"/>
  <c r="A133" i="1"/>
  <c r="F131" i="1"/>
  <c r="D131" i="1"/>
  <c r="F130" i="1"/>
  <c r="D130" i="1"/>
  <c r="D129" i="1"/>
  <c r="D128" i="1"/>
  <c r="D127" i="1"/>
  <c r="A127" i="1"/>
  <c r="A128" i="1" s="1"/>
  <c r="D126" i="1"/>
  <c r="A126" i="1"/>
  <c r="D125" i="1"/>
  <c r="D124" i="1"/>
  <c r="F123" i="1"/>
  <c r="F124" i="1" s="1"/>
  <c r="D123" i="1"/>
  <c r="D122" i="1"/>
  <c r="K114" i="1"/>
  <c r="K112" i="1"/>
  <c r="D106" i="1"/>
  <c r="D105" i="1"/>
  <c r="A104" i="1"/>
  <c r="A105" i="1" s="1"/>
  <c r="A106" i="1" s="1"/>
  <c r="A107" i="1" s="1"/>
  <c r="A109" i="1" s="1"/>
  <c r="D101" i="1"/>
  <c r="A101" i="1"/>
  <c r="G98" i="1"/>
  <c r="F98" i="1"/>
  <c r="F96" i="1"/>
  <c r="F88" i="1" s="1"/>
  <c r="D96" i="1"/>
  <c r="I96" i="1" s="1"/>
  <c r="D95" i="1"/>
  <c r="D93" i="1"/>
  <c r="D92" i="1"/>
  <c r="D91" i="1"/>
  <c r="D88" i="1"/>
  <c r="I88" i="1" s="1"/>
  <c r="D77" i="1"/>
  <c r="D76" i="1"/>
  <c r="G75" i="1"/>
  <c r="D75" i="1"/>
  <c r="I75" i="1" s="1"/>
  <c r="D74" i="1"/>
  <c r="D82" i="1" s="1"/>
  <c r="A74" i="1"/>
  <c r="A75" i="1" s="1"/>
  <c r="A76" i="1" s="1"/>
  <c r="G73" i="1"/>
  <c r="D73" i="1"/>
  <c r="I73" i="1" s="1"/>
  <c r="A70" i="1"/>
  <c r="A73" i="1" s="1"/>
  <c r="C81" i="1" s="1"/>
  <c r="D69" i="1"/>
  <c r="D85" i="1" s="1"/>
  <c r="D68" i="1"/>
  <c r="A68" i="1"/>
  <c r="A69" i="1" s="1"/>
  <c r="I67" i="1"/>
  <c r="D67" i="1"/>
  <c r="D66" i="1"/>
  <c r="I206" i="1" s="1"/>
  <c r="I209" i="1" s="1"/>
  <c r="I211" i="1" s="1"/>
  <c r="G122" i="1" s="1"/>
  <c r="G105" i="1" s="1"/>
  <c r="I105" i="1" s="1"/>
  <c r="A66" i="1"/>
  <c r="A67" i="1" s="1"/>
  <c r="D65" i="1"/>
  <c r="I65" i="1" s="1"/>
  <c r="D58" i="1"/>
  <c r="D116" i="1" s="1"/>
  <c r="D199" i="1" s="1"/>
  <c r="D263" i="1" s="1"/>
  <c r="K56" i="1"/>
  <c r="K53" i="1"/>
  <c r="I51" i="1"/>
  <c r="I50" i="1"/>
  <c r="I38" i="1"/>
  <c r="D40" i="1" s="1"/>
  <c r="I18" i="1"/>
  <c r="I17" i="1"/>
  <c r="D16" i="1"/>
  <c r="I16" i="1" s="1"/>
  <c r="C16" i="1"/>
  <c r="A16" i="1"/>
  <c r="A17" i="1" s="1"/>
  <c r="A18" i="1" s="1"/>
  <c r="A19" i="1" s="1"/>
  <c r="D15" i="1"/>
  <c r="I15" i="1" s="1"/>
  <c r="C15" i="1"/>
  <c r="I14" i="1"/>
  <c r="I19" i="1" s="1"/>
  <c r="D14" i="1"/>
  <c r="A14" i="1"/>
  <c r="AE27" i="14" l="1"/>
  <c r="AD27" i="14"/>
  <c r="V43" i="14"/>
  <c r="U43" i="14"/>
  <c r="AE51" i="14"/>
  <c r="AD51" i="14"/>
  <c r="K22" i="10"/>
  <c r="V13" i="14"/>
  <c r="Y29" i="14"/>
  <c r="P34" i="14"/>
  <c r="P42" i="14"/>
  <c r="Y48" i="14"/>
  <c r="H20" i="18"/>
  <c r="P12" i="14"/>
  <c r="P20" i="14"/>
  <c r="AD46" i="14"/>
  <c r="J18" i="18"/>
  <c r="J20" i="18" s="1"/>
  <c r="J23" i="18"/>
  <c r="J25" i="18" s="1"/>
  <c r="D233" i="1"/>
  <c r="P28" i="14"/>
  <c r="Q23" i="18"/>
  <c r="D138" i="1"/>
  <c r="D104" i="1" s="1"/>
  <c r="D107" i="1" s="1"/>
  <c r="AD53" i="14"/>
  <c r="F15" i="18"/>
  <c r="F27" i="18" s="1"/>
  <c r="I83" i="1"/>
  <c r="U11" i="14"/>
  <c r="P29" i="14"/>
  <c r="AC18" i="18"/>
  <c r="AK33" i="18"/>
  <c r="D156" i="1"/>
  <c r="P36" i="14"/>
  <c r="U31" i="18"/>
  <c r="U33" i="18" s="1"/>
  <c r="AM31" i="18"/>
  <c r="F20" i="18"/>
  <c r="D70" i="1"/>
  <c r="F32" i="18"/>
  <c r="AM32" i="18"/>
  <c r="H9" i="14"/>
  <c r="G9" i="10"/>
  <c r="G22" i="10" s="1"/>
  <c r="G12" i="14"/>
  <c r="G17" i="14"/>
  <c r="G18" i="14"/>
  <c r="M18" i="14"/>
  <c r="E19" i="3"/>
  <c r="E23" i="3" s="1"/>
  <c r="D163" i="1"/>
  <c r="L11" i="14"/>
  <c r="G21" i="14"/>
  <c r="L21" i="14"/>
  <c r="M13" i="14"/>
  <c r="M52" i="14"/>
  <c r="L52" i="14"/>
  <c r="M46" i="14"/>
  <c r="L46" i="14"/>
  <c r="J48" i="14"/>
  <c r="K48" i="14" s="1"/>
  <c r="G49" i="14"/>
  <c r="G50" i="14"/>
  <c r="M34" i="14"/>
  <c r="L34" i="14"/>
  <c r="G30" i="14"/>
  <c r="G29" i="14"/>
  <c r="G34" i="14"/>
  <c r="G36" i="14"/>
  <c r="E29" i="9"/>
  <c r="E23" i="9"/>
  <c r="E6" i="11"/>
  <c r="A77" i="1"/>
  <c r="A78" i="1" s="1"/>
  <c r="A81" i="1" s="1"/>
  <c r="A82" i="1" s="1"/>
  <c r="A83" i="1" s="1"/>
  <c r="A84" i="1" s="1"/>
  <c r="A85" i="1" s="1"/>
  <c r="A86" i="1" s="1"/>
  <c r="A91" i="1" s="1"/>
  <c r="A92" i="1" s="1"/>
  <c r="A93" i="1" s="1"/>
  <c r="A94" i="1" s="1"/>
  <c r="A95" i="1" s="1"/>
  <c r="C84" i="1"/>
  <c r="G136" i="1"/>
  <c r="I136" i="1" s="1"/>
  <c r="I137" i="1" s="1"/>
  <c r="G123" i="1"/>
  <c r="G129" i="1"/>
  <c r="I129" i="1" s="1"/>
  <c r="I122" i="1"/>
  <c r="C82" i="1"/>
  <c r="C85" i="1"/>
  <c r="E28" i="3"/>
  <c r="B23" i="3"/>
  <c r="A20" i="3"/>
  <c r="A21" i="3" s="1"/>
  <c r="A22" i="3" s="1"/>
  <c r="A23" i="3" s="1"/>
  <c r="A24" i="3" s="1"/>
  <c r="A25" i="3" s="1"/>
  <c r="A26" i="3" s="1"/>
  <c r="A27" i="3" s="1"/>
  <c r="A28" i="3" s="1"/>
  <c r="A29" i="3" s="1"/>
  <c r="A30" i="3" s="1"/>
  <c r="A31" i="3" s="1"/>
  <c r="A33" i="3" s="1"/>
  <c r="A35" i="3" s="1"/>
  <c r="A36" i="3" s="1"/>
  <c r="A37" i="3" s="1"/>
  <c r="A38" i="3" s="1"/>
  <c r="A39" i="3" s="1"/>
  <c r="A40" i="3" s="1"/>
  <c r="E34" i="13"/>
  <c r="E34" i="9"/>
  <c r="F41" i="10"/>
  <c r="F54" i="10" s="1"/>
  <c r="E36" i="9" s="1"/>
  <c r="AE20" i="14"/>
  <c r="AD20" i="14"/>
  <c r="M78" i="2"/>
  <c r="N78" i="2" s="1"/>
  <c r="R78" i="2"/>
  <c r="K63" i="6"/>
  <c r="I231" i="1" s="1"/>
  <c r="E231" i="1"/>
  <c r="F13" i="3" s="1"/>
  <c r="J13" i="3" s="1"/>
  <c r="V16" i="14"/>
  <c r="U16" i="14"/>
  <c r="J25" i="10"/>
  <c r="I38" i="10"/>
  <c r="I46" i="1"/>
  <c r="D41" i="1"/>
  <c r="D46" i="1"/>
  <c r="I45" i="1"/>
  <c r="D45" i="1"/>
  <c r="I47" i="1"/>
  <c r="I81" i="1"/>
  <c r="AE11" i="14"/>
  <c r="AD11" i="14"/>
  <c r="M27" i="14"/>
  <c r="L27" i="14"/>
  <c r="D47" i="1"/>
  <c r="C83" i="1"/>
  <c r="E216" i="1"/>
  <c r="G216" i="1" s="1"/>
  <c r="G219" i="1" s="1"/>
  <c r="I219" i="1" s="1"/>
  <c r="G66" i="1"/>
  <c r="J28" i="2"/>
  <c r="G9" i="12"/>
  <c r="H23" i="9"/>
  <c r="H23" i="13"/>
  <c r="D78" i="1"/>
  <c r="E230" i="1"/>
  <c r="F12" i="3" s="1"/>
  <c r="J12" i="3" s="1"/>
  <c r="I59" i="5"/>
  <c r="D98" i="1" s="1"/>
  <c r="I98" i="1" s="1"/>
  <c r="Y19" i="14"/>
  <c r="P19" i="14"/>
  <c r="G19" i="14"/>
  <c r="V44" i="14"/>
  <c r="U44" i="14"/>
  <c r="F125" i="1"/>
  <c r="G54" i="10"/>
  <c r="H41" i="10"/>
  <c r="H50" i="10"/>
  <c r="L50" i="10"/>
  <c r="J50" i="10"/>
  <c r="G34" i="9"/>
  <c r="F8" i="11"/>
  <c r="I41" i="10"/>
  <c r="E22" i="13"/>
  <c r="F9" i="10"/>
  <c r="F22" i="10" s="1"/>
  <c r="E24" i="9" s="1"/>
  <c r="F29" i="13"/>
  <c r="E10" i="12"/>
  <c r="F29" i="9"/>
  <c r="AE17" i="14"/>
  <c r="AD17" i="14"/>
  <c r="P44" i="14"/>
  <c r="Y47" i="14"/>
  <c r="G47" i="14"/>
  <c r="P47" i="14"/>
  <c r="M77" i="2"/>
  <c r="N77" i="2" s="1"/>
  <c r="G16" i="4"/>
  <c r="H16" i="4" s="1"/>
  <c r="D34" i="5"/>
  <c r="D35" i="5" s="1"/>
  <c r="D36" i="5" s="1"/>
  <c r="D37" i="5" s="1"/>
  <c r="D38" i="5" s="1"/>
  <c r="D39" i="5" s="1"/>
  <c r="D40" i="5" s="1"/>
  <c r="D41" i="5" s="1"/>
  <c r="J9" i="10"/>
  <c r="L46" i="10"/>
  <c r="J46" i="10"/>
  <c r="H46" i="10"/>
  <c r="L53" i="10"/>
  <c r="J53" i="10"/>
  <c r="H53" i="10"/>
  <c r="E7" i="11"/>
  <c r="G25" i="10"/>
  <c r="F28" i="9"/>
  <c r="F28" i="13"/>
  <c r="G29" i="13"/>
  <c r="F10" i="12"/>
  <c r="G29" i="9"/>
  <c r="AE15" i="14"/>
  <c r="AD15" i="14"/>
  <c r="D84" i="1"/>
  <c r="D81" i="1"/>
  <c r="L20" i="10"/>
  <c r="J20" i="10"/>
  <c r="H20" i="10"/>
  <c r="L37" i="10"/>
  <c r="J37" i="10"/>
  <c r="H37" i="10"/>
  <c r="L42" i="10"/>
  <c r="J42" i="10"/>
  <c r="H42" i="10"/>
  <c r="H28" i="13"/>
  <c r="K25" i="10"/>
  <c r="E35" i="13"/>
  <c r="E35" i="9"/>
  <c r="Y15" i="14"/>
  <c r="Y10" i="14"/>
  <c r="P10" i="14"/>
  <c r="G10" i="14"/>
  <c r="D83" i="1"/>
  <c r="M79" i="2"/>
  <c r="N79" i="2" s="1"/>
  <c r="L16" i="10"/>
  <c r="J16" i="10"/>
  <c r="H16" i="10"/>
  <c r="L33" i="10"/>
  <c r="J33" i="10"/>
  <c r="H33" i="10"/>
  <c r="F34" i="13"/>
  <c r="F34" i="9"/>
  <c r="E8" i="11"/>
  <c r="Q9" i="14"/>
  <c r="G22" i="13"/>
  <c r="F6" i="11"/>
  <c r="F9" i="11" s="1"/>
  <c r="G22" i="9"/>
  <c r="G34" i="13"/>
  <c r="V21" i="14"/>
  <c r="U21" i="14"/>
  <c r="F23" i="4"/>
  <c r="L12" i="10"/>
  <c r="L22" i="10" s="1"/>
  <c r="H24" i="9" s="1"/>
  <c r="J12" i="10"/>
  <c r="H12" i="10"/>
  <c r="L29" i="10"/>
  <c r="J29" i="10"/>
  <c r="H29" i="10"/>
  <c r="E28" i="13"/>
  <c r="F25" i="10"/>
  <c r="F38" i="10" s="1"/>
  <c r="E30" i="9" s="1"/>
  <c r="E31" i="9" s="1"/>
  <c r="E28" i="9"/>
  <c r="AE14" i="14"/>
  <c r="AD14" i="14"/>
  <c r="M17" i="14"/>
  <c r="L17" i="14"/>
  <c r="V20" i="14"/>
  <c r="U20" i="14"/>
  <c r="H34" i="13"/>
  <c r="J22" i="14"/>
  <c r="K10" i="14"/>
  <c r="U13" i="14"/>
  <c r="AE19" i="14"/>
  <c r="M28" i="14"/>
  <c r="L28" i="14"/>
  <c r="AE34" i="14"/>
  <c r="AD34" i="14"/>
  <c r="L47" i="14"/>
  <c r="M47" i="14"/>
  <c r="M51" i="14"/>
  <c r="L51" i="14"/>
  <c r="F12" i="12"/>
  <c r="AE21" i="14"/>
  <c r="AD21" i="14"/>
  <c r="V28" i="14"/>
  <c r="U28" i="14"/>
  <c r="U33" i="14"/>
  <c r="V33" i="14"/>
  <c r="G64" i="6"/>
  <c r="H11" i="10"/>
  <c r="H15" i="10"/>
  <c r="H19" i="10"/>
  <c r="H28" i="10"/>
  <c r="H32" i="10"/>
  <c r="H36" i="10"/>
  <c r="H45" i="10"/>
  <c r="H49" i="10"/>
  <c r="H52" i="10"/>
  <c r="H35" i="13"/>
  <c r="G11" i="12"/>
  <c r="O22" i="14"/>
  <c r="S10" i="14"/>
  <c r="Y13" i="14"/>
  <c r="P13" i="14"/>
  <c r="G13" i="14"/>
  <c r="M14" i="14"/>
  <c r="L14" i="14"/>
  <c r="M15" i="14"/>
  <c r="L15" i="14"/>
  <c r="V17" i="14"/>
  <c r="U17" i="14"/>
  <c r="M20" i="14"/>
  <c r="L20" i="14"/>
  <c r="F22" i="14"/>
  <c r="E24" i="13" s="1"/>
  <c r="E25" i="13" s="1"/>
  <c r="V48" i="14"/>
  <c r="U48" i="14"/>
  <c r="V51" i="14"/>
  <c r="U51" i="14"/>
  <c r="G17" i="4"/>
  <c r="H17" i="4" s="1"/>
  <c r="J11" i="10"/>
  <c r="J15" i="10"/>
  <c r="J19" i="10"/>
  <c r="J28" i="10"/>
  <c r="J32" i="10"/>
  <c r="J36" i="10"/>
  <c r="K41" i="10"/>
  <c r="K54" i="10" s="1"/>
  <c r="J45" i="10"/>
  <c r="J49" i="10"/>
  <c r="J52" i="10"/>
  <c r="F35" i="13"/>
  <c r="E11" i="12"/>
  <c r="F23" i="13"/>
  <c r="E9" i="12"/>
  <c r="G15" i="14"/>
  <c r="G20" i="14"/>
  <c r="AE28" i="14"/>
  <c r="AD28" i="14"/>
  <c r="V32" i="14"/>
  <c r="U32" i="14"/>
  <c r="V36" i="14"/>
  <c r="U36" i="14"/>
  <c r="D21" i="14"/>
  <c r="D37" i="14" s="1"/>
  <c r="D53" i="14" s="1"/>
  <c r="D24" i="13"/>
  <c r="F22" i="13"/>
  <c r="AB10" i="14"/>
  <c r="X22" i="14"/>
  <c r="AD13" i="14"/>
  <c r="V15" i="14"/>
  <c r="U15" i="14"/>
  <c r="L16" i="14"/>
  <c r="AE18" i="14"/>
  <c r="AD18" i="14"/>
  <c r="V19" i="14"/>
  <c r="U19" i="14"/>
  <c r="V35" i="14"/>
  <c r="U35" i="14"/>
  <c r="M45" i="14"/>
  <c r="L45" i="14"/>
  <c r="V52" i="14"/>
  <c r="U52" i="14"/>
  <c r="AE25" i="18"/>
  <c r="AK23" i="18"/>
  <c r="AK25" i="18" s="1"/>
  <c r="Z9" i="14"/>
  <c r="H22" i="13"/>
  <c r="G6" i="11"/>
  <c r="G9" i="11" s="1"/>
  <c r="AE13" i="14"/>
  <c r="V14" i="14"/>
  <c r="U14" i="14"/>
  <c r="AD31" i="14"/>
  <c r="AE31" i="14"/>
  <c r="AD33" i="14"/>
  <c r="AE33" i="14"/>
  <c r="M43" i="14"/>
  <c r="L43" i="14"/>
  <c r="AE48" i="14"/>
  <c r="AD48" i="14"/>
  <c r="AB52" i="14"/>
  <c r="AC52" i="14" s="1"/>
  <c r="Y52" i="14"/>
  <c r="Y18" i="14"/>
  <c r="Y21" i="14"/>
  <c r="O38" i="14"/>
  <c r="S26" i="14"/>
  <c r="G31" i="14"/>
  <c r="P31" i="14"/>
  <c r="Y31" i="14"/>
  <c r="Y42" i="14"/>
  <c r="G42" i="14"/>
  <c r="AE42" i="14"/>
  <c r="U47" i="14"/>
  <c r="V47" i="14"/>
  <c r="M48" i="14"/>
  <c r="L48" i="14"/>
  <c r="M50" i="14"/>
  <c r="L50" i="14"/>
  <c r="G24" i="19"/>
  <c r="Y27" i="14"/>
  <c r="P27" i="14"/>
  <c r="G27" i="14"/>
  <c r="V27" i="14"/>
  <c r="M32" i="14"/>
  <c r="L32" i="14"/>
  <c r="G32" i="14"/>
  <c r="P32" i="14"/>
  <c r="Y32" i="14"/>
  <c r="AE35" i="14"/>
  <c r="AD35" i="14"/>
  <c r="AE36" i="14"/>
  <c r="AD36" i="14"/>
  <c r="V37" i="14"/>
  <c r="U37" i="14"/>
  <c r="F54" i="14"/>
  <c r="E36" i="13" s="1"/>
  <c r="J42" i="14"/>
  <c r="Y53" i="14"/>
  <c r="P53" i="14"/>
  <c r="G53" i="14"/>
  <c r="AE53" i="14"/>
  <c r="J31" i="18"/>
  <c r="F33" i="18"/>
  <c r="S20" i="18"/>
  <c r="AE18" i="18"/>
  <c r="Q25" i="18"/>
  <c r="AC23" i="18"/>
  <c r="U23" i="18"/>
  <c r="U25" i="18" s="1"/>
  <c r="L12" i="14"/>
  <c r="U12" i="14"/>
  <c r="AD12" i="14"/>
  <c r="G16" i="14"/>
  <c r="P16" i="14"/>
  <c r="Y16" i="14"/>
  <c r="P18" i="14"/>
  <c r="AD19" i="14"/>
  <c r="P21" i="14"/>
  <c r="U27" i="14"/>
  <c r="AE29" i="14"/>
  <c r="AD29" i="14"/>
  <c r="AE37" i="14"/>
  <c r="AD37" i="14"/>
  <c r="O54" i="14"/>
  <c r="AE43" i="14"/>
  <c r="AD43" i="14"/>
  <c r="AE44" i="14"/>
  <c r="AD44" i="14"/>
  <c r="V49" i="14"/>
  <c r="V50" i="14"/>
  <c r="U50" i="14"/>
  <c r="M53" i="14"/>
  <c r="L53" i="14"/>
  <c r="S15" i="18"/>
  <c r="S27" i="18" s="1"/>
  <c r="G11" i="14"/>
  <c r="P11" i="14"/>
  <c r="Y17" i="14"/>
  <c r="Y26" i="14"/>
  <c r="P26" i="14"/>
  <c r="G26" i="14"/>
  <c r="G28" i="14"/>
  <c r="Y28" i="14"/>
  <c r="M29" i="14"/>
  <c r="AE32" i="14"/>
  <c r="M36" i="14"/>
  <c r="L36" i="14"/>
  <c r="Q42" i="14"/>
  <c r="AE45" i="14"/>
  <c r="AD45" i="14"/>
  <c r="AD49" i="14"/>
  <c r="AE49" i="14"/>
  <c r="Q15" i="18"/>
  <c r="Q27" i="18" s="1"/>
  <c r="AC13" i="18"/>
  <c r="G14" i="14"/>
  <c r="P14" i="14"/>
  <c r="P17" i="14"/>
  <c r="U18" i="14"/>
  <c r="L19" i="14"/>
  <c r="F38" i="14"/>
  <c r="E30" i="13" s="1"/>
  <c r="E31" i="13" s="1"/>
  <c r="J26" i="14"/>
  <c r="AB26" i="14"/>
  <c r="X38" i="14"/>
  <c r="M31" i="14"/>
  <c r="S54" i="14"/>
  <c r="T42" i="14"/>
  <c r="Y44" i="14"/>
  <c r="G44" i="14"/>
  <c r="AD47" i="14"/>
  <c r="AE47" i="14"/>
  <c r="U13" i="18"/>
  <c r="U15" i="18" s="1"/>
  <c r="AA31" i="18"/>
  <c r="AA33" i="18" s="1"/>
  <c r="V29" i="14"/>
  <c r="U29" i="14"/>
  <c r="AD30" i="14"/>
  <c r="U30" i="14"/>
  <c r="L30" i="14"/>
  <c r="P30" i="14"/>
  <c r="U31" i="14"/>
  <c r="V31" i="14"/>
  <c r="J33" i="14"/>
  <c r="K33" i="14" s="1"/>
  <c r="G33" i="14"/>
  <c r="M35" i="14"/>
  <c r="X54" i="14"/>
  <c r="M44" i="14"/>
  <c r="L44" i="14"/>
  <c r="L49" i="14"/>
  <c r="M49" i="14"/>
  <c r="AE50" i="14"/>
  <c r="AD50" i="14"/>
  <c r="V53" i="14"/>
  <c r="U53" i="14"/>
  <c r="AA27" i="18"/>
  <c r="Y35" i="14"/>
  <c r="Y46" i="14"/>
  <c r="P50" i="14"/>
  <c r="H15" i="18"/>
  <c r="H27" i="18" s="1"/>
  <c r="AG31" i="18"/>
  <c r="AG33" i="18" s="1"/>
  <c r="AC33" i="18"/>
  <c r="Y37" i="14"/>
  <c r="P37" i="14"/>
  <c r="G37" i="14"/>
  <c r="P52" i="14"/>
  <c r="H31" i="18"/>
  <c r="AD32" i="14"/>
  <c r="Y36" i="14"/>
  <c r="G46" i="14"/>
  <c r="AE13" i="18"/>
  <c r="AG18" i="18"/>
  <c r="AG20" i="18" s="1"/>
  <c r="G19" i="19"/>
  <c r="G26" i="19" s="1"/>
  <c r="Y43" i="14"/>
  <c r="AE46" i="14"/>
  <c r="U18" i="18"/>
  <c r="U20" i="18" s="1"/>
  <c r="Y45" i="14"/>
  <c r="P45" i="14"/>
  <c r="G45" i="14"/>
  <c r="V46" i="14"/>
  <c r="J13" i="18"/>
  <c r="J15" i="18" s="1"/>
  <c r="J27" i="18" s="1"/>
  <c r="H32" i="18"/>
  <c r="H25" i="18"/>
  <c r="AM33" i="18"/>
  <c r="L37" i="14"/>
  <c r="AC54" i="14"/>
  <c r="E14" i="19"/>
  <c r="G23" i="19"/>
  <c r="H35" i="19"/>
  <c r="H12" i="19" s="1"/>
  <c r="G18" i="19"/>
  <c r="G39" i="19"/>
  <c r="Q33" i="18"/>
  <c r="E24" i="19"/>
  <c r="G35" i="14"/>
  <c r="P35" i="14"/>
  <c r="G43" i="14"/>
  <c r="P43" i="14"/>
  <c r="G51" i="14"/>
  <c r="P51" i="14"/>
  <c r="H9" i="10" l="1"/>
  <c r="AI18" i="18"/>
  <c r="AI20" i="18" s="1"/>
  <c r="AC20" i="18"/>
  <c r="L41" i="10"/>
  <c r="H33" i="18"/>
  <c r="AB54" i="14"/>
  <c r="J32" i="18"/>
  <c r="P54" i="14"/>
  <c r="E25" i="9"/>
  <c r="E9" i="11"/>
  <c r="D168" i="1"/>
  <c r="H22" i="10"/>
  <c r="F24" i="9" s="1"/>
  <c r="F25" i="9" s="1"/>
  <c r="E9" i="9" s="1"/>
  <c r="E37" i="9"/>
  <c r="M12" i="19"/>
  <c r="AB38" i="14"/>
  <c r="AC26" i="14"/>
  <c r="AI13" i="18"/>
  <c r="AG13" i="18"/>
  <c r="AG15" i="18" s="1"/>
  <c r="AC15" i="18"/>
  <c r="G38" i="14"/>
  <c r="H26" i="14"/>
  <c r="G22" i="14"/>
  <c r="H10" i="14"/>
  <c r="H11" i="14" s="1"/>
  <c r="H12" i="14" s="1"/>
  <c r="H13" i="14" s="1"/>
  <c r="H14" i="14" s="1"/>
  <c r="H15" i="14" s="1"/>
  <c r="H16" i="14" s="1"/>
  <c r="H17" i="14" s="1"/>
  <c r="H18" i="14" s="1"/>
  <c r="H19" i="14" s="1"/>
  <c r="H20" i="14" s="1"/>
  <c r="H21" i="14" s="1"/>
  <c r="J25" i="2"/>
  <c r="S38" i="14"/>
  <c r="T26" i="14"/>
  <c r="D23" i="13"/>
  <c r="D29" i="13" s="1"/>
  <c r="D35" i="13" s="1"/>
  <c r="D30" i="13"/>
  <c r="D36" i="13" s="1"/>
  <c r="M10" i="14"/>
  <c r="M22" i="14" s="1"/>
  <c r="L10" i="14"/>
  <c r="L22" i="14" s="1"/>
  <c r="K22" i="14"/>
  <c r="L54" i="10"/>
  <c r="H36" i="9" s="1"/>
  <c r="H37" i="9" s="1"/>
  <c r="G11" i="9" s="1"/>
  <c r="AK13" i="18"/>
  <c r="AK15" i="18" s="1"/>
  <c r="AE15" i="18"/>
  <c r="L33" i="14"/>
  <c r="M33" i="14"/>
  <c r="P38" i="14"/>
  <c r="Q26" i="14"/>
  <c r="H42" i="14"/>
  <c r="H43" i="14" s="1"/>
  <c r="H44" i="14" s="1"/>
  <c r="H45" i="14" s="1"/>
  <c r="H46" i="14" s="1"/>
  <c r="H47" i="14" s="1"/>
  <c r="H48" i="14" s="1"/>
  <c r="H49" i="14" s="1"/>
  <c r="H50" i="14" s="1"/>
  <c r="H51" i="14" s="1"/>
  <c r="H52" i="14" s="1"/>
  <c r="H53" i="14" s="1"/>
  <c r="G54" i="14"/>
  <c r="K64" i="6"/>
  <c r="E232" i="1"/>
  <c r="F14" i="3" s="1"/>
  <c r="J14" i="3" s="1"/>
  <c r="J15" i="3" s="1"/>
  <c r="P22" i="14"/>
  <c r="Q10" i="14"/>
  <c r="G23" i="4"/>
  <c r="I54" i="10"/>
  <c r="J41" i="10"/>
  <c r="J54" i="10" s="1"/>
  <c r="G36" i="9" s="1"/>
  <c r="G37" i="9" s="1"/>
  <c r="F11" i="9" s="1"/>
  <c r="D42" i="5"/>
  <c r="D97" i="1" s="1"/>
  <c r="I97" i="1" s="1"/>
  <c r="G38" i="10"/>
  <c r="H25" i="10"/>
  <c r="H38" i="10" s="1"/>
  <c r="F30" i="9" s="1"/>
  <c r="F31" i="9" s="1"/>
  <c r="E10" i="9" s="1"/>
  <c r="H54" i="10"/>
  <c r="F36" i="9" s="1"/>
  <c r="F37" i="9" s="1"/>
  <c r="E11" i="9" s="1"/>
  <c r="G13" i="13"/>
  <c r="G13" i="9"/>
  <c r="I223" i="1"/>
  <c r="K223" i="1" s="1"/>
  <c r="G69" i="1" s="1"/>
  <c r="G68" i="1"/>
  <c r="G126" i="1"/>
  <c r="Q43" i="14"/>
  <c r="Q44" i="14" s="1"/>
  <c r="Q45" i="14" s="1"/>
  <c r="Q46" i="14" s="1"/>
  <c r="Q47" i="14" s="1"/>
  <c r="Q48" i="14" s="1"/>
  <c r="Q49" i="14" s="1"/>
  <c r="Q50" i="14" s="1"/>
  <c r="Q51" i="14" s="1"/>
  <c r="Q52" i="14" s="1"/>
  <c r="Q53" i="14" s="1"/>
  <c r="T54" i="14"/>
  <c r="V42" i="14"/>
  <c r="V54" i="14" s="1"/>
  <c r="U42" i="14"/>
  <c r="Y38" i="14"/>
  <c r="Z26" i="14"/>
  <c r="Z27" i="14" s="1"/>
  <c r="Z28" i="14" s="1"/>
  <c r="Z29" i="14" s="1"/>
  <c r="Z30" i="14" s="1"/>
  <c r="Z31" i="14" s="1"/>
  <c r="Z32" i="14" s="1"/>
  <c r="Z33" i="14" s="1"/>
  <c r="Z34" i="14" s="1"/>
  <c r="Z35" i="14" s="1"/>
  <c r="Z36" i="14" s="1"/>
  <c r="Z37" i="14" s="1"/>
  <c r="AI23" i="18"/>
  <c r="AG23" i="18"/>
  <c r="AG25" i="18" s="1"/>
  <c r="AC25" i="18"/>
  <c r="Z42" i="14"/>
  <c r="Z43" i="14" s="1"/>
  <c r="Z44" i="14" s="1"/>
  <c r="Z45" i="14" s="1"/>
  <c r="Z46" i="14" s="1"/>
  <c r="Z47" i="14" s="1"/>
  <c r="Z48" i="14" s="1"/>
  <c r="Z49" i="14" s="1"/>
  <c r="Z50" i="14" s="1"/>
  <c r="Z51" i="14" s="1"/>
  <c r="Z52" i="14" s="1"/>
  <c r="Z53" i="14" s="1"/>
  <c r="AF42" i="14"/>
  <c r="AF43" i="14" s="1"/>
  <c r="AF44" i="14" s="1"/>
  <c r="AF45" i="14" s="1"/>
  <c r="AF46" i="14" s="1"/>
  <c r="AF47" i="14" s="1"/>
  <c r="AF48" i="14" s="1"/>
  <c r="AF49" i="14" s="1"/>
  <c r="AF50" i="14" s="1"/>
  <c r="AF51" i="14" s="1"/>
  <c r="Y54" i="14"/>
  <c r="E12" i="12"/>
  <c r="Y22" i="14"/>
  <c r="Z10" i="14"/>
  <c r="Z11" i="14" s="1"/>
  <c r="Z12" i="14" s="1"/>
  <c r="H23" i="4"/>
  <c r="D25" i="1" s="1"/>
  <c r="I25" i="1" s="1"/>
  <c r="H25" i="9"/>
  <c r="G9" i="9" s="1"/>
  <c r="I123" i="1"/>
  <c r="J26" i="2" s="1"/>
  <c r="G124" i="1"/>
  <c r="J22" i="10"/>
  <c r="G24" i="9" s="1"/>
  <c r="G25" i="9" s="1"/>
  <c r="F9" i="9" s="1"/>
  <c r="I66" i="1"/>
  <c r="G74" i="1"/>
  <c r="H22" i="19"/>
  <c r="H13" i="19"/>
  <c r="M13" i="19" s="1"/>
  <c r="H39" i="19"/>
  <c r="H18" i="19"/>
  <c r="M18" i="19" s="1"/>
  <c r="H23" i="19"/>
  <c r="M23" i="19" s="1"/>
  <c r="H17" i="19"/>
  <c r="U27" i="18"/>
  <c r="D165" i="1" s="1"/>
  <c r="AE52" i="14"/>
  <c r="AE54" i="14" s="1"/>
  <c r="AD52" i="14"/>
  <c r="AD54" i="14" s="1"/>
  <c r="Z13" i="14"/>
  <c r="Z14" i="14" s="1"/>
  <c r="Z15" i="14"/>
  <c r="Z16" i="14" s="1"/>
  <c r="Z17" i="14" s="1"/>
  <c r="Z18" i="14" s="1"/>
  <c r="Z19" i="14" s="1"/>
  <c r="Z20" i="14" s="1"/>
  <c r="Z21" i="14" s="1"/>
  <c r="D86" i="1"/>
  <c r="G12" i="12"/>
  <c r="L25" i="10"/>
  <c r="L38" i="10" s="1"/>
  <c r="H30" i="9" s="1"/>
  <c r="H31" i="9" s="1"/>
  <c r="G10" i="9" s="1"/>
  <c r="K38" i="10"/>
  <c r="J33" i="18"/>
  <c r="E26" i="19"/>
  <c r="Q11" i="14"/>
  <c r="Q12" i="14" s="1"/>
  <c r="Q13" i="14" s="1"/>
  <c r="Q14" i="14" s="1"/>
  <c r="Q15" i="14" s="1"/>
  <c r="Q16" i="14" s="1"/>
  <c r="Q17" i="14" s="1"/>
  <c r="Q18" i="14" s="1"/>
  <c r="Q19" i="14" s="1"/>
  <c r="Q20" i="14" s="1"/>
  <c r="Q21" i="14" s="1"/>
  <c r="AK18" i="18"/>
  <c r="AE20" i="18"/>
  <c r="H27" i="14"/>
  <c r="H28" i="14" s="1"/>
  <c r="H29" i="14" s="1"/>
  <c r="H30" i="14" s="1"/>
  <c r="H31" i="14" s="1"/>
  <c r="H32" i="14" s="1"/>
  <c r="H33" i="14" s="1"/>
  <c r="H34" i="14" s="1"/>
  <c r="H35" i="14" s="1"/>
  <c r="H36" i="14" s="1"/>
  <c r="H37" i="14" s="1"/>
  <c r="AB22" i="14"/>
  <c r="AC10" i="14"/>
  <c r="S22" i="14"/>
  <c r="T10" i="14"/>
  <c r="J38" i="10"/>
  <c r="G30" i="9" s="1"/>
  <c r="G31" i="9" s="1"/>
  <c r="K26" i="14"/>
  <c r="J38" i="14"/>
  <c r="K42" i="14"/>
  <c r="J54" i="14"/>
  <c r="Q27" i="14"/>
  <c r="Q28" i="14" s="1"/>
  <c r="Q29" i="14" s="1"/>
  <c r="Q30" i="14" s="1"/>
  <c r="Q31" i="14" s="1"/>
  <c r="Q32" i="14" s="1"/>
  <c r="Q33" i="14" s="1"/>
  <c r="Q34" i="14" s="1"/>
  <c r="Q35" i="14" s="1"/>
  <c r="Q36" i="14" s="1"/>
  <c r="Q37" i="14" s="1"/>
  <c r="E37" i="13"/>
  <c r="G12" i="9" l="1"/>
  <c r="J20" i="2"/>
  <c r="G16" i="9"/>
  <c r="AF52" i="14"/>
  <c r="AF53" i="14" s="1"/>
  <c r="H36" i="13" s="1"/>
  <c r="H37" i="13" s="1"/>
  <c r="G11" i="13" s="1"/>
  <c r="N10" i="14"/>
  <c r="N11" i="14" s="1"/>
  <c r="N12" i="14" s="1"/>
  <c r="N13" i="14" s="1"/>
  <c r="N14" i="14" s="1"/>
  <c r="N15" i="14" s="1"/>
  <c r="N16" i="14" s="1"/>
  <c r="N17" i="14" s="1"/>
  <c r="N18" i="14" s="1"/>
  <c r="N19" i="14" s="1"/>
  <c r="N20" i="14" s="1"/>
  <c r="N21" i="14" s="1"/>
  <c r="F24" i="13" s="1"/>
  <c r="F25" i="13" s="1"/>
  <c r="E9" i="13" s="1"/>
  <c r="E12" i="9"/>
  <c r="E16" i="9" s="1"/>
  <c r="E20" i="3"/>
  <c r="AE27" i="18"/>
  <c r="AC38" i="14"/>
  <c r="AD26" i="14"/>
  <c r="AE26" i="14"/>
  <c r="AE38" i="14" s="1"/>
  <c r="F12" i="9"/>
  <c r="T38" i="14"/>
  <c r="U26" i="14"/>
  <c r="V26" i="14"/>
  <c r="V38" i="14" s="1"/>
  <c r="I232" i="1"/>
  <c r="K65" i="6"/>
  <c r="L26" i="14"/>
  <c r="K38" i="14"/>
  <c r="M26" i="14"/>
  <c r="M38" i="14" s="1"/>
  <c r="E25" i="3"/>
  <c r="E29" i="3" s="1"/>
  <c r="D169" i="1"/>
  <c r="H24" i="19"/>
  <c r="M22" i="19"/>
  <c r="M24" i="19" s="1"/>
  <c r="U54" i="14"/>
  <c r="W42" i="14"/>
  <c r="W43" i="14" s="1"/>
  <c r="W44" i="14" s="1"/>
  <c r="W45" i="14" s="1"/>
  <c r="W46" i="14" s="1"/>
  <c r="W47" i="14" s="1"/>
  <c r="W48" i="14" s="1"/>
  <c r="W49" i="14" s="1"/>
  <c r="W50" i="14" s="1"/>
  <c r="W51" i="14" s="1"/>
  <c r="W52" i="14" s="1"/>
  <c r="W53" i="14" s="1"/>
  <c r="G36" i="13" s="1"/>
  <c r="G37" i="13" s="1"/>
  <c r="F11" i="13" s="1"/>
  <c r="AC27" i="18"/>
  <c r="M14" i="19"/>
  <c r="AK20" i="18"/>
  <c r="AK27" i="18" s="1"/>
  <c r="AM18" i="18"/>
  <c r="AM20" i="18" s="1"/>
  <c r="K54" i="14"/>
  <c r="M42" i="14"/>
  <c r="M54" i="14" s="1"/>
  <c r="L42" i="14"/>
  <c r="L54" i="14" s="1"/>
  <c r="AC22" i="14"/>
  <c r="AE10" i="14"/>
  <c r="AE22" i="14" s="1"/>
  <c r="AD10" i="14"/>
  <c r="AD22" i="14" s="1"/>
  <c r="H19" i="19"/>
  <c r="M17" i="19"/>
  <c r="M19" i="19" s="1"/>
  <c r="G127" i="1"/>
  <c r="I126" i="1"/>
  <c r="G142" i="1"/>
  <c r="AG27" i="18"/>
  <c r="H14" i="19"/>
  <c r="I68" i="1"/>
  <c r="G76" i="1"/>
  <c r="I76" i="1" s="1"/>
  <c r="AM13" i="18"/>
  <c r="AM15" i="18" s="1"/>
  <c r="AI15" i="18"/>
  <c r="J18" i="2"/>
  <c r="T22" i="14"/>
  <c r="V10" i="14"/>
  <c r="V22" i="14" s="1"/>
  <c r="U10" i="14"/>
  <c r="U22" i="14" s="1"/>
  <c r="G101" i="1"/>
  <c r="I74" i="1"/>
  <c r="I82" i="1" s="1"/>
  <c r="I124" i="1"/>
  <c r="G125" i="1"/>
  <c r="I125" i="1" s="1"/>
  <c r="AI25" i="18"/>
  <c r="AM23" i="18"/>
  <c r="AM25" i="18" s="1"/>
  <c r="I69" i="1"/>
  <c r="G77" i="1"/>
  <c r="I233" i="1" l="1"/>
  <c r="W10" i="14"/>
  <c r="W11" i="14" s="1"/>
  <c r="W12" i="14" s="1"/>
  <c r="W13" i="14" s="1"/>
  <c r="W14" i="14" s="1"/>
  <c r="W15" i="14" s="1"/>
  <c r="W16" i="14" s="1"/>
  <c r="W17" i="14" s="1"/>
  <c r="W18" i="14" s="1"/>
  <c r="W19" i="14" s="1"/>
  <c r="W20" i="14" s="1"/>
  <c r="W21" i="14" s="1"/>
  <c r="G24" i="13" s="1"/>
  <c r="G25" i="13" s="1"/>
  <c r="F9" i="13" s="1"/>
  <c r="N42" i="14"/>
  <c r="N43" i="14" s="1"/>
  <c r="N44" i="14" s="1"/>
  <c r="N45" i="14" s="1"/>
  <c r="N46" i="14" s="1"/>
  <c r="N47" i="14" s="1"/>
  <c r="N48" i="14" s="1"/>
  <c r="N49" i="14" s="1"/>
  <c r="N50" i="14" s="1"/>
  <c r="N51" i="14" s="1"/>
  <c r="N52" i="14" s="1"/>
  <c r="N53" i="14" s="1"/>
  <c r="F36" i="13" s="1"/>
  <c r="F37" i="13" s="1"/>
  <c r="E11" i="13" s="1"/>
  <c r="G149" i="1"/>
  <c r="I142" i="1"/>
  <c r="G141" i="1"/>
  <c r="I141" i="1" s="1"/>
  <c r="I101" i="1"/>
  <c r="AI27" i="18"/>
  <c r="AD38" i="14"/>
  <c r="AF26" i="14"/>
  <c r="AF27" i="14" s="1"/>
  <c r="AF28" i="14" s="1"/>
  <c r="AF29" i="14" s="1"/>
  <c r="AF30" i="14" s="1"/>
  <c r="AF31" i="14" s="1"/>
  <c r="AF32" i="14" s="1"/>
  <c r="AF33" i="14" s="1"/>
  <c r="AF34" i="14" s="1"/>
  <c r="AF35" i="14" s="1"/>
  <c r="AF36" i="14" s="1"/>
  <c r="AF37" i="14" s="1"/>
  <c r="H30" i="13" s="1"/>
  <c r="H31" i="13" s="1"/>
  <c r="G10" i="13" s="1"/>
  <c r="I77" i="1"/>
  <c r="I78" i="1" s="1"/>
  <c r="F76" i="2" s="1"/>
  <c r="F96" i="2" s="1"/>
  <c r="G132" i="1"/>
  <c r="AM27" i="18"/>
  <c r="I127" i="1"/>
  <c r="G128" i="1"/>
  <c r="D160" i="1"/>
  <c r="U38" i="14"/>
  <c r="W26" i="14"/>
  <c r="W27" i="14" s="1"/>
  <c r="W28" i="14" s="1"/>
  <c r="W29" i="14" s="1"/>
  <c r="W30" i="14" s="1"/>
  <c r="W31" i="14" s="1"/>
  <c r="W32" i="14" s="1"/>
  <c r="W33" i="14" s="1"/>
  <c r="W34" i="14" s="1"/>
  <c r="W35" i="14" s="1"/>
  <c r="W36" i="14" s="1"/>
  <c r="W37" i="14" s="1"/>
  <c r="G30" i="13" s="1"/>
  <c r="G31" i="13" s="1"/>
  <c r="F10" i="13" s="1"/>
  <c r="M26" i="19"/>
  <c r="AF10" i="14"/>
  <c r="AF11" i="14" s="1"/>
  <c r="AF12" i="14" s="1"/>
  <c r="AF13" i="14" s="1"/>
  <c r="AF14" i="14" s="1"/>
  <c r="AF15" i="14" s="1"/>
  <c r="AF16" i="14" s="1"/>
  <c r="AF17" i="14" s="1"/>
  <c r="AF18" i="14" s="1"/>
  <c r="AF19" i="14" s="1"/>
  <c r="AF20" i="14" s="1"/>
  <c r="AF21" i="14" s="1"/>
  <c r="H24" i="13" s="1"/>
  <c r="H25" i="13" s="1"/>
  <c r="G9" i="13" s="1"/>
  <c r="G12" i="13" s="1"/>
  <c r="G16" i="13" s="1"/>
  <c r="I84" i="1"/>
  <c r="J27" i="2"/>
  <c r="J29" i="2" s="1"/>
  <c r="J31" i="2" s="1"/>
  <c r="L31" i="2" s="1"/>
  <c r="G76" i="2" s="1"/>
  <c r="I70" i="1"/>
  <c r="H26" i="19"/>
  <c r="J19" i="2"/>
  <c r="J21" i="2" s="1"/>
  <c r="L38" i="14"/>
  <c r="N26" i="14"/>
  <c r="N27" i="14" s="1"/>
  <c r="N28" i="14" s="1"/>
  <c r="N29" i="14" s="1"/>
  <c r="N30" i="14" s="1"/>
  <c r="N31" i="14" s="1"/>
  <c r="N32" i="14" s="1"/>
  <c r="N33" i="14" s="1"/>
  <c r="N34" i="14" s="1"/>
  <c r="N35" i="14" s="1"/>
  <c r="N36" i="14" s="1"/>
  <c r="N37" i="14" s="1"/>
  <c r="F30" i="13" s="1"/>
  <c r="F31" i="13" s="1"/>
  <c r="E10" i="13" s="1"/>
  <c r="F12" i="13" l="1"/>
  <c r="I86" i="1"/>
  <c r="I85" i="1"/>
  <c r="E12" i="13"/>
  <c r="E16" i="13" s="1"/>
  <c r="G77" i="2"/>
  <c r="I132" i="1"/>
  <c r="G143" i="1"/>
  <c r="I143" i="1" s="1"/>
  <c r="J39" i="2" s="1"/>
  <c r="J40" i="2" s="1"/>
  <c r="L40" i="2" s="1"/>
  <c r="I149" i="1"/>
  <c r="G150" i="1"/>
  <c r="I150" i="1" s="1"/>
  <c r="G130" i="1"/>
  <c r="I130" i="1" s="1"/>
  <c r="G131" i="1"/>
  <c r="I131" i="1" s="1"/>
  <c r="I128" i="1"/>
  <c r="E76" i="2"/>
  <c r="H76" i="2" s="1"/>
  <c r="G70" i="1"/>
  <c r="G86" i="1" l="1"/>
  <c r="I138" i="1"/>
  <c r="I145" i="1"/>
  <c r="F14" i="13"/>
  <c r="F16" i="13" s="1"/>
  <c r="H16" i="13" s="1"/>
  <c r="F14" i="9"/>
  <c r="F16" i="9" s="1"/>
  <c r="H16" i="9" s="1"/>
  <c r="D94" i="1" s="1"/>
  <c r="G152" i="1"/>
  <c r="G106" i="1"/>
  <c r="I106" i="1" s="1"/>
  <c r="H77" i="2"/>
  <c r="G78" i="2"/>
  <c r="L76" i="2"/>
  <c r="E96" i="2"/>
  <c r="O76" i="2" l="1"/>
  <c r="O96" i="2" s="1"/>
  <c r="I104" i="1"/>
  <c r="I107" i="1" s="1"/>
  <c r="J24" i="2"/>
  <c r="J35" i="2" s="1"/>
  <c r="J36" i="2" s="1"/>
  <c r="G94" i="1"/>
  <c r="G168" i="1"/>
  <c r="G95" i="1"/>
  <c r="I95" i="1" s="1"/>
  <c r="L96" i="2"/>
  <c r="I94" i="1"/>
  <c r="D99" i="1"/>
  <c r="D109" i="1" s="1"/>
  <c r="L36" i="2"/>
  <c r="H78" i="2"/>
  <c r="G79" i="2"/>
  <c r="I152" i="1"/>
  <c r="G154" i="1"/>
  <c r="I154" i="1" s="1"/>
  <c r="G155" i="1"/>
  <c r="I155" i="1" s="1"/>
  <c r="G169" i="1" l="1"/>
  <c r="I168" i="1"/>
  <c r="H28" i="3" s="1"/>
  <c r="H29" i="3" s="1"/>
  <c r="H30" i="3" s="1"/>
  <c r="I99" i="1"/>
  <c r="I109" i="1" s="1"/>
  <c r="I174" i="1" s="1"/>
  <c r="I156" i="1"/>
  <c r="D174" i="1"/>
  <c r="D167" i="1"/>
  <c r="G80" i="2"/>
  <c r="H79" i="2"/>
  <c r="I167" i="1" l="1"/>
  <c r="K7" i="3"/>
  <c r="J43" i="2"/>
  <c r="J44" i="2" s="1"/>
  <c r="J46" i="2" s="1"/>
  <c r="G170" i="1"/>
  <c r="I169" i="1"/>
  <c r="H80" i="2"/>
  <c r="G81" i="2"/>
  <c r="K35" i="3"/>
  <c r="J53" i="2"/>
  <c r="J54" i="2" s="1"/>
  <c r="L54" i="2" s="1"/>
  <c r="K39" i="3"/>
  <c r="K16" i="3"/>
  <c r="L44" i="2" l="1"/>
  <c r="L46" i="2" s="1"/>
  <c r="I76" i="2" s="1"/>
  <c r="G82" i="2"/>
  <c r="H81" i="2"/>
  <c r="E27" i="3"/>
  <c r="J27" i="3"/>
  <c r="J31" i="3" s="1"/>
  <c r="K31" i="3" s="1"/>
  <c r="K33" i="3" s="1"/>
  <c r="I77" i="2"/>
  <c r="J76" i="2"/>
  <c r="G83" i="2" l="1"/>
  <c r="H82" i="2"/>
  <c r="K76" i="2"/>
  <c r="I78" i="2"/>
  <c r="J77" i="2"/>
  <c r="K77" i="2" s="1"/>
  <c r="P77" i="2" s="1"/>
  <c r="J78" i="2" l="1"/>
  <c r="K78" i="2" s="1"/>
  <c r="P78" i="2" s="1"/>
  <c r="S78" i="2" s="1"/>
  <c r="V78" i="2" s="1"/>
  <c r="X78" i="2" s="1"/>
  <c r="I79" i="2"/>
  <c r="H83" i="2"/>
  <c r="G84" i="2"/>
  <c r="I80" i="2" l="1"/>
  <c r="J79" i="2"/>
  <c r="K79" i="2" s="1"/>
  <c r="P79" i="2" s="1"/>
  <c r="S79" i="2" s="1"/>
  <c r="V79" i="2" s="1"/>
  <c r="X79" i="2" s="1"/>
  <c r="G85" i="2"/>
  <c r="H84" i="2"/>
  <c r="G86" i="2" l="1"/>
  <c r="H85" i="2"/>
  <c r="I81" i="2"/>
  <c r="J80" i="2"/>
  <c r="K80" i="2" s="1"/>
  <c r="P80" i="2" s="1"/>
  <c r="S80" i="2" s="1"/>
  <c r="V80" i="2" s="1"/>
  <c r="X80" i="2" s="1"/>
  <c r="H86" i="2" l="1"/>
  <c r="G87" i="2"/>
  <c r="I82" i="2"/>
  <c r="J81" i="2"/>
  <c r="K81" i="2" s="1"/>
  <c r="P81" i="2" s="1"/>
  <c r="I83" i="2" l="1"/>
  <c r="J82" i="2"/>
  <c r="K82" i="2" s="1"/>
  <c r="G88" i="2"/>
  <c r="H87" i="2"/>
  <c r="X81" i="2"/>
  <c r="S81" i="2"/>
  <c r="P82" i="2" l="1"/>
  <c r="V81" i="2"/>
  <c r="H88" i="2"/>
  <c r="G89" i="2"/>
  <c r="I84" i="2"/>
  <c r="J83" i="2"/>
  <c r="K83" i="2" s="1"/>
  <c r="P83" i="2" s="1"/>
  <c r="G90" i="2" l="1"/>
  <c r="H89" i="2"/>
  <c r="X83" i="2"/>
  <c r="S83" i="2"/>
  <c r="V83" i="2" s="1"/>
  <c r="X82" i="2"/>
  <c r="S82" i="2"/>
  <c r="I85" i="2"/>
  <c r="J84" i="2"/>
  <c r="K84" i="2" s="1"/>
  <c r="P84" i="2" s="1"/>
  <c r="V82" i="2" l="1"/>
  <c r="X84" i="2"/>
  <c r="S84" i="2"/>
  <c r="V84" i="2" s="1"/>
  <c r="I86" i="2"/>
  <c r="J85" i="2"/>
  <c r="K85" i="2" s="1"/>
  <c r="P85" i="2" s="1"/>
  <c r="H90" i="2"/>
  <c r="G91" i="2"/>
  <c r="I87" i="2" l="1"/>
  <c r="J86" i="2"/>
  <c r="K86" i="2" s="1"/>
  <c r="P86" i="2" s="1"/>
  <c r="X85" i="2"/>
  <c r="S85" i="2"/>
  <c r="V85" i="2" s="1"/>
  <c r="G92" i="2"/>
  <c r="H91" i="2"/>
  <c r="H92" i="2" l="1"/>
  <c r="G93" i="2"/>
  <c r="S86" i="2"/>
  <c r="V86" i="2" s="1"/>
  <c r="X86" i="2"/>
  <c r="I88" i="2"/>
  <c r="J87" i="2"/>
  <c r="K87" i="2" s="1"/>
  <c r="P87" i="2" s="1"/>
  <c r="X87" i="2" l="1"/>
  <c r="S87" i="2"/>
  <c r="V87" i="2" s="1"/>
  <c r="J88" i="2"/>
  <c r="K88" i="2" s="1"/>
  <c r="P88" i="2" s="1"/>
  <c r="I89" i="2"/>
  <c r="G94" i="2"/>
  <c r="H94" i="2" s="1"/>
  <c r="H93" i="2"/>
  <c r="M30" i="6" l="1"/>
  <c r="H96" i="2"/>
  <c r="I90" i="2"/>
  <c r="J89" i="2"/>
  <c r="K89" i="2" s="1"/>
  <c r="P89" i="2" s="1"/>
  <c r="X88" i="2"/>
  <c r="S88" i="2"/>
  <c r="V88" i="2" s="1"/>
  <c r="M31" i="6" l="1"/>
  <c r="M33" i="6"/>
  <c r="M38" i="6"/>
  <c r="M36" i="6"/>
  <c r="M40" i="6"/>
  <c r="M34" i="6"/>
  <c r="M35" i="6"/>
  <c r="M32" i="6"/>
  <c r="M39" i="6"/>
  <c r="M37" i="6"/>
  <c r="X89" i="2"/>
  <c r="S89" i="2"/>
  <c r="V89" i="2" s="1"/>
  <c r="J90" i="2"/>
  <c r="K90" i="2" s="1"/>
  <c r="P90" i="2" s="1"/>
  <c r="I91" i="2"/>
  <c r="M41" i="6" l="1"/>
  <c r="D166" i="1" s="1"/>
  <c r="E26" i="3" s="1"/>
  <c r="E30" i="3" s="1"/>
  <c r="E31" i="3" s="1"/>
  <c r="X90" i="2"/>
  <c r="S90" i="2"/>
  <c r="V90" i="2" s="1"/>
  <c r="I92" i="2"/>
  <c r="J91" i="2"/>
  <c r="K91" i="2" s="1"/>
  <c r="P91" i="2" s="1"/>
  <c r="D170" i="1" l="1"/>
  <c r="D171" i="1" s="1"/>
  <c r="D176" i="1" s="1"/>
  <c r="D191" i="1" s="1"/>
  <c r="X91" i="2"/>
  <c r="S91" i="2"/>
  <c r="V91" i="2" s="1"/>
  <c r="J92" i="2"/>
  <c r="K92" i="2" s="1"/>
  <c r="P92" i="2" s="1"/>
  <c r="I93" i="2"/>
  <c r="I170" i="1" l="1"/>
  <c r="I171" i="1" s="1"/>
  <c r="K36" i="3" s="1"/>
  <c r="K37" i="3" s="1"/>
  <c r="K38" i="3" s="1"/>
  <c r="K40" i="3" s="1"/>
  <c r="I94" i="2"/>
  <c r="J94" i="2" s="1"/>
  <c r="J93" i="2"/>
  <c r="K93" i="2" s="1"/>
  <c r="P93" i="2" s="1"/>
  <c r="X92" i="2"/>
  <c r="S92" i="2"/>
  <c r="V92" i="2" s="1"/>
  <c r="J49" i="2" l="1"/>
  <c r="N97" i="2" s="1"/>
  <c r="I176" i="1"/>
  <c r="I191" i="1" s="1"/>
  <c r="I11" i="1" s="1"/>
  <c r="I23" i="1" s="1"/>
  <c r="I27" i="1" s="1"/>
  <c r="R76" i="2"/>
  <c r="R77" i="2"/>
  <c r="S77" i="2" s="1"/>
  <c r="V77" i="2" s="1"/>
  <c r="X77" i="2" s="1"/>
  <c r="J50" i="2"/>
  <c r="L50" i="2" s="1"/>
  <c r="L56" i="2" s="1"/>
  <c r="M76" i="2" s="1"/>
  <c r="N76" i="2" s="1"/>
  <c r="X93" i="2"/>
  <c r="S93" i="2"/>
  <c r="V93" i="2" s="1"/>
  <c r="J96" i="2"/>
  <c r="K94" i="2"/>
  <c r="R96" i="2" l="1"/>
  <c r="P76" i="2"/>
  <c r="S76" i="2" s="1"/>
  <c r="V76" i="2" s="1"/>
  <c r="X76" i="2" s="1"/>
  <c r="N96" i="2"/>
  <c r="P94" i="2"/>
  <c r="K96" i="2"/>
  <c r="X94" i="2" l="1"/>
  <c r="X96" i="2" s="1"/>
  <c r="S94" i="2"/>
  <c r="P96" i="2"/>
  <c r="P98" i="2" s="1"/>
  <c r="V94" i="2" l="1"/>
  <c r="V96" i="2" s="1"/>
  <c r="S96" i="2"/>
</calcChain>
</file>

<file path=xl/sharedStrings.xml><?xml version="1.0" encoding="utf-8"?>
<sst xmlns="http://schemas.openxmlformats.org/spreadsheetml/2006/main" count="2122" uniqueCount="1160">
  <si>
    <t>Attachment O-GLH</t>
  </si>
  <si>
    <t>Page 1 of 5</t>
  </si>
  <si>
    <t xml:space="preserve">Formula Rate - Non-Levelized </t>
  </si>
  <si>
    <t>Rate Formula Template</t>
  </si>
  <si>
    <t>Utilizing FERC Form 1 Data</t>
  </si>
  <si>
    <t>GridLiance Heartland LLC</t>
  </si>
  <si>
    <t>(1)</t>
  </si>
  <si>
    <t>(2)</t>
  </si>
  <si>
    <t>(3)</t>
  </si>
  <si>
    <t xml:space="preserve"> </t>
  </si>
  <si>
    <t>(4)</t>
  </si>
  <si>
    <t>(5)</t>
  </si>
  <si>
    <t>Line</t>
  </si>
  <si>
    <t>Allocated</t>
  </si>
  <si>
    <t>No.</t>
  </si>
  <si>
    <t>Source</t>
  </si>
  <si>
    <t>Amount</t>
  </si>
  <si>
    <t>GROSS REVENUE REQUIREMENT</t>
  </si>
  <si>
    <t>(Page 3, Line 31)</t>
  </si>
  <si>
    <t xml:space="preserve">REVENUE CREDITS </t>
  </si>
  <si>
    <t>(Note S)</t>
  </si>
  <si>
    <t>Total</t>
  </si>
  <si>
    <t>Allocator</t>
  </si>
  <si>
    <t xml:space="preserve">  Account No. 454</t>
  </si>
  <si>
    <t>TP</t>
  </si>
  <si>
    <t xml:space="preserve">  Account No. 456.1</t>
  </si>
  <si>
    <t xml:space="preserve">  Revenues from Grandfathered Interzonal Transactions </t>
  </si>
  <si>
    <t>(Note R)</t>
  </si>
  <si>
    <t xml:space="preserve">  Revenues from service provided by the ISO at a discount</t>
  </si>
  <si>
    <t>MISO invoices</t>
  </si>
  <si>
    <t xml:space="preserve">TOTAL REVENUE CREDITS </t>
  </si>
  <si>
    <t>(Sum of Lines 2 through 5)</t>
  </si>
  <si>
    <t>6a</t>
  </si>
  <si>
    <t>Adjustment to make Line 6b equal to zero if there is no revenue requirement associated with Schedules 7, 8 &amp; 9</t>
  </si>
  <si>
    <t>6b</t>
  </si>
  <si>
    <t>NET REVENUE REQUIREMENT</t>
  </si>
  <si>
    <t>(Line 1 minus Lines 6 &amp; 6a)   (Note KK)</t>
  </si>
  <si>
    <t>6c</t>
  </si>
  <si>
    <t>Attachment O-GLH True-up Adjustment with Interest</t>
  </si>
  <si>
    <t>DA</t>
  </si>
  <si>
    <t>(Line 6b plus Line 6c)</t>
  </si>
  <si>
    <t xml:space="preserve">DIVISOR </t>
  </si>
  <si>
    <t xml:space="preserve">  Average of 12 coincident system peaks for requirements (RQ) service       </t>
  </si>
  <si>
    <t>(Note A)</t>
  </si>
  <si>
    <t xml:space="preserve">  Plus 12 CP of firm bundled sales over one year not in Line 8</t>
  </si>
  <si>
    <t>(Note B)</t>
  </si>
  <si>
    <t xml:space="preserve">  Plus 12 CP of Network Load not in Line 8</t>
  </si>
  <si>
    <t>(Note C)</t>
  </si>
  <si>
    <t xml:space="preserve">  Less 12 CP of firm P-T-P over one year (enter negative)</t>
  </si>
  <si>
    <t>(Note D)</t>
  </si>
  <si>
    <t xml:space="preserve">  Plus Contract Demand of firm P-T-P over one year</t>
  </si>
  <si>
    <t xml:space="preserve">  Less Contract Demand from Grandfathered Interzonal Transactions over one year (enter negative)</t>
  </si>
  <si>
    <t xml:space="preserve">  Less Contract Demands from service over one year provided by ISO at a discount (enter negative)</t>
  </si>
  <si>
    <t>Divisor (sum Lines 8-14)</t>
  </si>
  <si>
    <t>Annual Cost ($/kW/Yr)</t>
  </si>
  <si>
    <t>(Line 7 / Line 15)</t>
  </si>
  <si>
    <t xml:space="preserve">Network &amp; P-to-P Rate ($/kW/Mo) </t>
  </si>
  <si>
    <t>(Line 16 / 12)</t>
  </si>
  <si>
    <t>Peak Rate</t>
  </si>
  <si>
    <t>Off-Peak Rate</t>
  </si>
  <si>
    <t>Point-To-Point Rate ($/kW/Wk)</t>
  </si>
  <si>
    <t>(Line 16 / 52; Line 16 / 52)</t>
  </si>
  <si>
    <t>Point-To-Point Rate ($/kW/Day)</t>
  </si>
  <si>
    <t>(Line 16 / 260; Line 16 / 365)</t>
  </si>
  <si>
    <t>Capped at weekly rate</t>
  </si>
  <si>
    <t>Point-To-Point Rate ($/MWh)</t>
  </si>
  <si>
    <t>(Line 16 / 4,160; Line 16 / 8,760</t>
  </si>
  <si>
    <t>Capped at weekly</t>
  </si>
  <si>
    <t xml:space="preserve"> times 1,000)</t>
  </si>
  <si>
    <t>and daily rates</t>
  </si>
  <si>
    <t>FERC Annual Charge($/MWh)</t>
  </si>
  <si>
    <t xml:space="preserve">          (Note E)</t>
  </si>
  <si>
    <t>Short Term</t>
  </si>
  <si>
    <t>Long Term</t>
  </si>
  <si>
    <t>Page 2 of 5</t>
  </si>
  <si>
    <t>Transmission</t>
  </si>
  <si>
    <t>Company Total</t>
  </si>
  <si>
    <t xml:space="preserve">                  Allocator (Note JJ)</t>
  </si>
  <si>
    <t>(Col 3 times Col 4)</t>
  </si>
  <si>
    <t>RATE BASE: (Notes Y &amp; BB)</t>
  </si>
  <si>
    <t>GROSS PLANT IN SERVICE</t>
  </si>
  <si>
    <t xml:space="preserve">  Production </t>
  </si>
  <si>
    <t>Attachment 4, Line 14, Col. (b)</t>
  </si>
  <si>
    <t>NA</t>
  </si>
  <si>
    <t xml:space="preserve">  Transmission</t>
  </si>
  <si>
    <t>Attachment 4, Line 14, Col. (c)</t>
  </si>
  <si>
    <t xml:space="preserve">  Distribution </t>
  </si>
  <si>
    <t>Attachment 4, Line 14, Col. (d)</t>
  </si>
  <si>
    <t xml:space="preserve">  General &amp; Intangible</t>
  </si>
  <si>
    <t>Attachment 4, Line 14, Col. (e)</t>
  </si>
  <si>
    <t>W/S</t>
  </si>
  <si>
    <t xml:space="preserve">  Common </t>
  </si>
  <si>
    <t>Attachment 4, Line 14, Col. (f)</t>
  </si>
  <si>
    <t>CE</t>
  </si>
  <si>
    <t>TOTAL GROSS PLANT</t>
  </si>
  <si>
    <t>(Sum of Lines 1 through 5)</t>
  </si>
  <si>
    <t>GP=</t>
  </si>
  <si>
    <t>ACCUMULATED DEPRECIATION</t>
  </si>
  <si>
    <t>Attachment 4, Line 14, Col. (k)</t>
  </si>
  <si>
    <t>Attachment 4, Line 14, Col. (l)</t>
  </si>
  <si>
    <t>Attachment 4, Line 14, Col. (m)</t>
  </si>
  <si>
    <t>Attachment 4, Line 14, Col. (n)</t>
  </si>
  <si>
    <t>Attachment 4, Line 14, Col. (o)</t>
  </si>
  <si>
    <t xml:space="preserve">TOTAL ACCUM. DEPRECIATION </t>
  </si>
  <si>
    <t>(Sum of Lines 7 through 11)</t>
  </si>
  <si>
    <t>NET PLANT IN SERVICE</t>
  </si>
  <si>
    <t>TOTAL NET PLANT</t>
  </si>
  <si>
    <t>(Sum of Lines 13 through 17)</t>
  </si>
  <si>
    <t>NP=</t>
  </si>
  <si>
    <t>18a</t>
  </si>
  <si>
    <t xml:space="preserve">  CWIP Approved by FERC Order</t>
  </si>
  <si>
    <t>Attachment 4, Line 14, Col. (g)   (Note LL)</t>
  </si>
  <si>
    <t xml:space="preserve">ADJUSTMENTS TO RATE BASE </t>
  </si>
  <si>
    <t xml:space="preserve">   Reserved</t>
  </si>
  <si>
    <t>zero</t>
  </si>
  <si>
    <t xml:space="preserve">   ADIT</t>
  </si>
  <si>
    <t>Attachment 8a or 8e, line 8, Col (e)</t>
  </si>
  <si>
    <t xml:space="preserve">  Account No. 255 (enter negative)</t>
  </si>
  <si>
    <t>Attachment 4, Line 28, Col. (h) (Note F)</t>
  </si>
  <si>
    <t>NP</t>
  </si>
  <si>
    <t>23a</t>
  </si>
  <si>
    <t xml:space="preserve">  Unamortized Regulatory Asset </t>
  </si>
  <si>
    <t>Attachment 4, Line 28, Col. (b) (Note GG)</t>
  </si>
  <si>
    <t>23b</t>
  </si>
  <si>
    <t xml:space="preserve">  Unamortized Abandoned Plant  </t>
  </si>
  <si>
    <t>Attachment 4, Line 28, Col. (c) (Notes X &amp; FF)</t>
  </si>
  <si>
    <t>23c</t>
  </si>
  <si>
    <t xml:space="preserve">  Unfunded Reserves (enter negative)</t>
  </si>
  <si>
    <r>
      <t>Attachment 4, Line 31</t>
    </r>
    <r>
      <rPr>
        <sz val="10"/>
        <rFont val="Times New Roman"/>
        <family val="1"/>
      </rPr>
      <t>, Col. h)</t>
    </r>
  </si>
  <si>
    <t xml:space="preserve">TOTAL ADJUSTMENTS </t>
  </si>
  <si>
    <t>(Sum of Lines 19 through 23c)</t>
  </si>
  <si>
    <t xml:space="preserve">LAND HELD FOR FUTURE USE </t>
  </si>
  <si>
    <t>Attachment 4, Line 14, Col. (h) (Note G)</t>
  </si>
  <si>
    <t xml:space="preserve">WORKING CAPITAL </t>
  </si>
  <si>
    <t>(Note H)</t>
  </si>
  <si>
    <t xml:space="preserve">  CWC </t>
  </si>
  <si>
    <t>1/8*(Page 3, Line 8 minus Page 3, Line 7b)</t>
  </si>
  <si>
    <t xml:space="preserve">  Materials &amp; Supplies</t>
  </si>
  <si>
    <t>Attachment 4, Line 14, Col. (i) (Note G)</t>
  </si>
  <si>
    <t xml:space="preserve">  Prepayments (Account 165)</t>
  </si>
  <si>
    <t>Attachment 4, Line 14, Col. (j)</t>
  </si>
  <si>
    <t>GP</t>
  </si>
  <si>
    <t xml:space="preserve">TOTAL WORKING CAPITAL  </t>
  </si>
  <si>
    <t>(Sum of Lines 26 through 28)</t>
  </si>
  <si>
    <t xml:space="preserve">RATE BASE </t>
  </si>
  <si>
    <t>(Sum of Lines 18, 18a, 24, 25 &amp; 29)</t>
  </si>
  <si>
    <t>Page 3 of 5</t>
  </si>
  <si>
    <t>O&amp;M</t>
  </si>
  <si>
    <t>(Note CC)</t>
  </si>
  <si>
    <t xml:space="preserve">  Transmission </t>
  </si>
  <si>
    <t>Attachment 5, Line 13, Col. (a)</t>
  </si>
  <si>
    <t>1a</t>
  </si>
  <si>
    <t xml:space="preserve">Attachment 5, Line 13, Col. (l) </t>
  </si>
  <si>
    <t>1b</t>
  </si>
  <si>
    <t xml:space="preserve">     Less Account 566</t>
  </si>
  <si>
    <t>Attachment 5, Line 13, Col. (b)</t>
  </si>
  <si>
    <t xml:space="preserve">     Less Account 565</t>
  </si>
  <si>
    <t>Attachment 5, Line 13, Col. (c)</t>
  </si>
  <si>
    <t xml:space="preserve">  A&amp;G</t>
  </si>
  <si>
    <t>Attachment 5, Line 13, Col. (d)</t>
  </si>
  <si>
    <t xml:space="preserve">     Less FERC Annual Fees</t>
  </si>
  <si>
    <t>Attachment 5, Line 13, Col. (e)</t>
  </si>
  <si>
    <t xml:space="preserve">     Less EPRI &amp; Reg. Comm. Exp. &amp; Non-safety Ad.  </t>
  </si>
  <si>
    <t>(Note I) Attachment 5, Line 13, Col. (f)</t>
  </si>
  <si>
    <t>5a</t>
  </si>
  <si>
    <t xml:space="preserve">     Plus Transmission Related Reg. Comm. Exp.  </t>
  </si>
  <si>
    <t>(Note I) Attachment 5, Line 13, Col. (g)</t>
  </si>
  <si>
    <t>5b</t>
  </si>
  <si>
    <t xml:space="preserve">     Less PBOP Expense in Year</t>
  </si>
  <si>
    <t>Attachment 7, Line 6</t>
  </si>
  <si>
    <t>5c</t>
  </si>
  <si>
    <t xml:space="preserve">     Plus PBOP Expense Allowed Amount</t>
  </si>
  <si>
    <t>Attachment 7, Line 8</t>
  </si>
  <si>
    <t>356.1</t>
  </si>
  <si>
    <t xml:space="preserve">  Transmission Lease Payments</t>
  </si>
  <si>
    <t>Attachment 5, Line 13, Col (h)</t>
  </si>
  <si>
    <t>7a</t>
  </si>
  <si>
    <t>Account 566</t>
  </si>
  <si>
    <t>7b</t>
  </si>
  <si>
    <t xml:space="preserve">   Amortization of Regulatory Asset</t>
  </si>
  <si>
    <t>(Note GG) Attachment 5, Line 13, Col. (i)</t>
  </si>
  <si>
    <t>7c</t>
  </si>
  <si>
    <t xml:space="preserve">   Miscellaneous Transmission Expense (less Amortization of Regulatory Asset)</t>
  </si>
  <si>
    <t>Attachment 5, Line 13, Col .(j)</t>
  </si>
  <si>
    <t>7d</t>
  </si>
  <si>
    <t>Total Account 566</t>
  </si>
  <si>
    <t>(Line 7b plus Line 7c) Ties to 321.97.b</t>
  </si>
  <si>
    <t>TOTAL O&amp;M</t>
  </si>
  <si>
    <t>(Sum of Lines 1, 3, 5a, 5c, 6, 7, &amp; 7d less Lines 1a, 1b, 2, 4, 5, &amp; 5b)</t>
  </si>
  <si>
    <t>DEPRECIATION EXPENSE</t>
  </si>
  <si>
    <t>(Note BB)</t>
  </si>
  <si>
    <t>Attachment 5, Line 13, Col. (k)</t>
  </si>
  <si>
    <t>Attachment 5, Line 26, Col. (a)</t>
  </si>
  <si>
    <t>Attachment 5, Line 26, Col (l)</t>
  </si>
  <si>
    <t>11a</t>
  </si>
  <si>
    <t xml:space="preserve">  Amortization of Abandoned Plant</t>
  </si>
  <si>
    <t>(Notes X &amp; FF) Attachment 5, Line 26, Col. (b)</t>
  </si>
  <si>
    <t xml:space="preserve">TOTAL DEPRECIATION </t>
  </si>
  <si>
    <t>(Sum of Lines 9 through 11a)</t>
  </si>
  <si>
    <t xml:space="preserve">TAXES OTHER THAN INCOME TAXES </t>
  </si>
  <si>
    <t>(Note J)</t>
  </si>
  <si>
    <t xml:space="preserve">  LABOR RELATED</t>
  </si>
  <si>
    <t xml:space="preserve">          Payroll</t>
  </si>
  <si>
    <t>Attachment 5, Line 26, Col. (c)</t>
  </si>
  <si>
    <t xml:space="preserve">          Highway and vehicle</t>
  </si>
  <si>
    <t>Attachment 5, Line 26, Col. (d)</t>
  </si>
  <si>
    <t xml:space="preserve">  PLANT RELATED</t>
  </si>
  <si>
    <t xml:space="preserve">         Property</t>
  </si>
  <si>
    <t>Attachment 5, Line 26, Col. (e)</t>
  </si>
  <si>
    <t xml:space="preserve">         Gross Receipts</t>
  </si>
  <si>
    <t>Attachment 5, Line 26, Col. (f)</t>
  </si>
  <si>
    <t xml:space="preserve">         Other</t>
  </si>
  <si>
    <t>Attachment 5, Line 26, Col. (g)</t>
  </si>
  <si>
    <t xml:space="preserve">         Payments in lieu of taxes</t>
  </si>
  <si>
    <t>Attachment 5, Line 26, Col. (h)</t>
  </si>
  <si>
    <t>TOTAL OTHER TAXES</t>
  </si>
  <si>
    <t>(Sum of Lines 13 through 19)</t>
  </si>
  <si>
    <t xml:space="preserve">INCOME TAXES          </t>
  </si>
  <si>
    <t xml:space="preserve">     CIT=(T/1-T) * (1-(WCLTD/R)) =</t>
  </si>
  <si>
    <t>(Note K)</t>
  </si>
  <si>
    <t>1 / (1 - T) (T from Line 21)</t>
  </si>
  <si>
    <t>Amortized Investment Tax Credit</t>
  </si>
  <si>
    <t>(enter negative) Attachment 5, Line 26, Col. (i)</t>
  </si>
  <si>
    <t>24a</t>
  </si>
  <si>
    <t>24b</t>
  </si>
  <si>
    <t>Tax Effect of Permanent Differences</t>
  </si>
  <si>
    <t>Attachment 5, Line 26, Col. (k)  (Note II)</t>
  </si>
  <si>
    <t xml:space="preserve">Income Tax Calculation </t>
  </si>
  <si>
    <t xml:space="preserve">ITC adjustment </t>
  </si>
  <si>
    <t>(Line 23 times Line 24)</t>
  </si>
  <si>
    <t>26a</t>
  </si>
  <si>
    <t>(Line 23 times Line 24a)</t>
  </si>
  <si>
    <t>26b</t>
  </si>
  <si>
    <t>Permanent Differences Tax Adjustment</t>
  </si>
  <si>
    <t>(Line 23 times Line 24b)</t>
  </si>
  <si>
    <t xml:space="preserve">Total Income Taxes </t>
  </si>
  <si>
    <t>(Sum of Lines 25 through 26b)</t>
  </si>
  <si>
    <t xml:space="preserve">RETURN </t>
  </si>
  <si>
    <t>Rate Base times Return</t>
  </si>
  <si>
    <t>(Page 2, Line 30 times Page 4, Line 30, Col. (5))</t>
  </si>
  <si>
    <t>REV. REQUIREMENT</t>
  </si>
  <si>
    <t>(Sum of Lines 8, 12, 20, 27 &amp; 28)</t>
  </si>
  <si>
    <t>[Revenue Requirement for facilities included on Page 2, Lines 2, 18a, 23a, &amp; 23b and</t>
  </si>
  <si>
    <t>also included in Attachment GG]</t>
  </si>
  <si>
    <t>30a</t>
  </si>
  <si>
    <t>also included in Attachment MM]</t>
  </si>
  <si>
    <t>30b</t>
  </si>
  <si>
    <t>Attachment 1, line 18</t>
  </si>
  <si>
    <t>Attachment MM-GLH and  Attachment GG-GLH.</t>
  </si>
  <si>
    <t xml:space="preserve">REV. REQUIREMENT TO BE COLLECTED UNDER ATTACHMENT O </t>
  </si>
  <si>
    <t>Page 4 of 5</t>
  </si>
  <si>
    <t xml:space="preserve">                SUPPORTING CALCULATIONS AND NOTES</t>
  </si>
  <si>
    <t>TRANSMISSION PLANT INCLUDED IN ISO RATES</t>
  </si>
  <si>
    <t xml:space="preserve">Total Transmission plant  </t>
  </si>
  <si>
    <t>(Page 2, Line 2, Column 3)</t>
  </si>
  <si>
    <t xml:space="preserve">Less Transmission plant excluded from ISO rates  </t>
  </si>
  <si>
    <t>(Note L)</t>
  </si>
  <si>
    <t xml:space="preserve">Less Transmission plant included in OATT Ancillary Services  </t>
  </si>
  <si>
    <t>(Note M)</t>
  </si>
  <si>
    <t>Transmission plant included in ISO rates</t>
  </si>
  <si>
    <t>(Line 1 minus Lines 2 &amp; 3)</t>
  </si>
  <si>
    <t xml:space="preserve">Percentage of Transmission plant included in ISO Rates  </t>
  </si>
  <si>
    <t xml:space="preserve">(Line 4 divided by Line 1) </t>
  </si>
  <si>
    <t>TP=</t>
  </si>
  <si>
    <t xml:space="preserve"> 6 - 11 </t>
  </si>
  <si>
    <t>WAGES &amp; SALARY ALLOCATOR  (W&amp;S)</t>
  </si>
  <si>
    <t>Form 1 Reference</t>
  </si>
  <si>
    <t>$</t>
  </si>
  <si>
    <t>Allocation</t>
  </si>
  <si>
    <t>354.20.b</t>
  </si>
  <si>
    <t xml:space="preserve">  Transmission  (Note MM)</t>
  </si>
  <si>
    <t>354.21.b</t>
  </si>
  <si>
    <t>354.23.b</t>
  </si>
  <si>
    <t xml:space="preserve">  Other</t>
  </si>
  <si>
    <t>354.24,25,26.b</t>
  </si>
  <si>
    <t>($ / Allocation)</t>
  </si>
  <si>
    <t xml:space="preserve">  Total  (sum lines 12-15) [ If there are no labor dollars, input $1 on line 13 which is then multiplied by the TP allocator on line 13]</t>
  </si>
  <si>
    <t>=</t>
  </si>
  <si>
    <t xml:space="preserve">WS </t>
  </si>
  <si>
    <t xml:space="preserve">COMMON PLANT ALLOCATOR  (CE)  (Notes N and DD) </t>
  </si>
  <si>
    <t>% Electric</t>
  </si>
  <si>
    <t>W&amp;S Allocator</t>
  </si>
  <si>
    <t xml:space="preserve">  Electric </t>
  </si>
  <si>
    <t>200.3.c</t>
  </si>
  <si>
    <t>(Line 17 / Line 20)</t>
  </si>
  <si>
    <t>(Line 16)</t>
  </si>
  <si>
    <t xml:space="preserve">  Gas</t>
  </si>
  <si>
    <t>200.3.d</t>
  </si>
  <si>
    <t>*</t>
  </si>
  <si>
    <t xml:space="preserve">  Water </t>
  </si>
  <si>
    <t>200.3.e</t>
  </si>
  <si>
    <t xml:space="preserve">  Total</t>
  </si>
  <si>
    <t>(Sum of Lines 17 through 19)</t>
  </si>
  <si>
    <t xml:space="preserve"> 21 - 26 </t>
  </si>
  <si>
    <t>RETURN (R)</t>
  </si>
  <si>
    <t>Cost</t>
  </si>
  <si>
    <t>%</t>
  </si>
  <si>
    <t>Weighted</t>
  </si>
  <si>
    <t xml:space="preserve">  Long Term Debt </t>
  </si>
  <si>
    <t>(Note Y, EE) Attachment 5, Line 34</t>
  </si>
  <si>
    <t>=WCLTD</t>
  </si>
  <si>
    <t xml:space="preserve">  Preferred Stock </t>
  </si>
  <si>
    <t>(Note Y, EE)  Attachment 5, Line 35</t>
  </si>
  <si>
    <t xml:space="preserve">  Common Stock</t>
  </si>
  <si>
    <t>(Notes O, Y and EE)  Attachment 5, Line 36</t>
  </si>
  <si>
    <t xml:space="preserve">Total </t>
  </si>
  <si>
    <t>(Sum of Lines 27 through 29)</t>
  </si>
  <si>
    <t>=R</t>
  </si>
  <si>
    <t>REVENUE CREDITS</t>
  </si>
  <si>
    <t>Load</t>
  </si>
  <si>
    <t>ACCOUNT 447 (SALES FOR RESALE)</t>
  </si>
  <si>
    <t>310 -311</t>
  </si>
  <si>
    <t xml:space="preserve">a. Bundled Non-RQ Sales for Resale </t>
  </si>
  <si>
    <t>311.x.h</t>
  </si>
  <si>
    <t>b. Bundled Sales for Resale  included in Divisor on Page 1</t>
  </si>
  <si>
    <t xml:space="preserve">  Total of (a)-(b)</t>
  </si>
  <si>
    <t>(Note P)</t>
  </si>
  <si>
    <t xml:space="preserve">ACCOUNT 454 (RENT FROM ELECTRIC PROPERTY) </t>
  </si>
  <si>
    <t xml:space="preserve">(Note Q) </t>
  </si>
  <si>
    <t>330.x.n (Note T)</t>
  </si>
  <si>
    <t xml:space="preserve">a. Transmission charges for all transmission transactions </t>
  </si>
  <si>
    <t>b. Transmission charges for all transmission transactions included in Divisor on Page 1</t>
  </si>
  <si>
    <t>36a</t>
  </si>
  <si>
    <t xml:space="preserve">c. Transmission charges from Schedules associated with Attachment GG </t>
  </si>
  <si>
    <t>(Note W)</t>
  </si>
  <si>
    <t>36b</t>
  </si>
  <si>
    <t>d. Transmission charges from Schedules associated with Attachment MM</t>
  </si>
  <si>
    <t>(Note AA)</t>
  </si>
  <si>
    <t xml:space="preserve">  Total of (a)-(b)-(c)-(d)</t>
  </si>
  <si>
    <t>(a)</t>
  </si>
  <si>
    <t>(b)</t>
  </si>
  <si>
    <t>(c)</t>
  </si>
  <si>
    <t>(d)</t>
  </si>
  <si>
    <t>Total Income Taxes</t>
  </si>
  <si>
    <t>N/A</t>
  </si>
  <si>
    <t>Page 5 of 5</t>
  </si>
  <si>
    <t>General Note:  References to pages in this formulary rate are indicated as:  (page#, line#, col.#)</t>
  </si>
  <si>
    <t>References to data from FERC Form 1 are indicated as:  #.y.x  (page, line, column)</t>
  </si>
  <si>
    <t>Note</t>
  </si>
  <si>
    <t>Letter</t>
  </si>
  <si>
    <t>A</t>
  </si>
  <si>
    <t>B</t>
  </si>
  <si>
    <t>C</t>
  </si>
  <si>
    <t>D</t>
  </si>
  <si>
    <t>E</t>
  </si>
  <si>
    <t>F</t>
  </si>
  <si>
    <t xml:space="preserve">The balances in Accounts 190, 281, 282 and 283, as adjusted by any amounts in contra accounts identified as regulatory assets or liabilities related to FASB 106 or 109.  Balance of Account 255 is reduced by prior flow through and excluded if the utility chose to utilize amortization of tax credits against taxable income.  Account 281 is not allocated.  </t>
  </si>
  <si>
    <t>G</t>
  </si>
  <si>
    <t>Identified in Form 1 as being only transmission related.</t>
  </si>
  <si>
    <t>H</t>
  </si>
  <si>
    <t>Cash Working Capital assigned to transmission is one-eighth of O&amp;M allocated to transmission at Page 3, Line 8, Column 5 less Page 3, Line 7a.    Prepayments are the electric related prepayments booked to Account No. 165 and reported on Page 111 Line 57 in the Form 1.</t>
  </si>
  <si>
    <t>I</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</si>
  <si>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</si>
  <si>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J</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</si>
  <si>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</si>
  <si>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K</t>
  </si>
  <si>
    <t xml:space="preserve">         Inputs Required:</t>
  </si>
  <si>
    <t>FIT =</t>
  </si>
  <si>
    <t xml:space="preserve">  (Federal Income Tax Rate)</t>
  </si>
  <si>
    <t>SIT=</t>
  </si>
  <si>
    <t xml:space="preserve">  (State Income Tax Rate or Composite SIT)</t>
  </si>
  <si>
    <t>p =</t>
  </si>
  <si>
    <t xml:space="preserve">  (percent of federal income tax deductible for state purposes)</t>
  </si>
  <si>
    <t>L</t>
  </si>
  <si>
    <t>M</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</si>
  <si>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</si>
  <si>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N</t>
  </si>
  <si>
    <t>Enter dollar amounts</t>
  </si>
  <si>
    <t>O</t>
  </si>
  <si>
    <t>P</t>
  </si>
  <si>
    <t>Page 4, Line 33 must equal zero since all short-term power sales must be unbundled and the transmission component reflected in Account No. 456.1.</t>
  </si>
  <si>
    <t>Q</t>
  </si>
  <si>
    <t>R</t>
  </si>
  <si>
    <t>S</t>
  </si>
  <si>
    <t>T</t>
  </si>
  <si>
    <t>U</t>
  </si>
  <si>
    <t>V</t>
  </si>
  <si>
    <r>
      <t>Pursuant to Attachment GG of the MISO Tariff, removes dollar amount of the revenue requirements calculated pursuant to Attachment GG</t>
    </r>
    <r>
      <rPr>
        <sz val="10"/>
        <color rgb="FFFF0000"/>
        <rFont val="Times New Roman"/>
        <family val="1"/>
      </rPr>
      <t>.</t>
    </r>
  </si>
  <si>
    <t>W</t>
  </si>
  <si>
    <t>Removes from revenue credits revenue that are distributed pursuant to Schedules associated with Attachment GG of the MISO Tariff, since the Transmission Owner's Attachment O revenue requirements have already been reduced by the Attachment GG revenue requirements.</t>
  </si>
  <si>
    <t>X</t>
  </si>
  <si>
    <t>Page 2 Line 23b includes any unamortized balances related to the recovery of abandoned plant costs approved by FERC under a separate docket.  Page 3, Line 11a includes the Amortization expense of abandonment costs.  These are shown in the workpapers required pursuant to the Annual Rate Calculation and True-up Procedures.</t>
  </si>
  <si>
    <t>Y</t>
  </si>
  <si>
    <t>Z</t>
  </si>
  <si>
    <t>Pursuant to Attachment MM of the MISO Tariff, removes dollar amount of the revenue requirements calculated pursuant to Attachment MM.</t>
  </si>
  <si>
    <t>AA</t>
  </si>
  <si>
    <t>Removes from revenue credits revenues that are distributed pursuant to Schedules associated with Attachment MM of the MISO Tariff, since the  Transmission Owner's Attachment O revenue requirements have already been reduced by the Attachment MM revenue requirements.</t>
  </si>
  <si>
    <t>BB</t>
  </si>
  <si>
    <t>Plant in Service, Accumulated Depreciation, and Depreciation Expense amounts exclude Asset Retirement Obligation amounts unless authorized by FERC.</t>
  </si>
  <si>
    <t>CC</t>
  </si>
  <si>
    <t>Schedule 10-FERC charges should not be included in O&amp;M recovered under this Attachment O.</t>
  </si>
  <si>
    <t>DD</t>
  </si>
  <si>
    <t>Calculate using a simple average of beginning of year and end of year balances reconciling to FERC Form No. 1 by Page, Line and Column as shown in Column 2.</t>
  </si>
  <si>
    <t>EE</t>
  </si>
  <si>
    <t>Prior to obtaining long term debt, the cost of debt will be the average 3-month LIBOR for the year plus 2.0%.  LIBOR refers to the London Inter Bank Offer Rate from the Federal Reserve Bank of St. Louis's https://fred.stlouisfed.org/. The capital structure and cost of debt will be the weighted for the year if the long term debt is obtained midyear.   However, if prior to obtaining long term debt, the company has short term debt, the cost of debt will be calculated pursuant to Attachment 5, note D.  The capital structure will be 60% equity and 40% debt until any asset is placed in service, then it will be based on the actual capital structure, provided that during any period where the equity component of the actual capital structure is greater than 60%, company will reduce the equity component to a level not to exceed 60%. If the capital structure is reduced to 60% equity, the reduced ATRR as a result of capping the equity portion of GridLiance’s capital structure at 60%, and the difference between these two values shall be provided by the company in its Annual True-up. The amount of debt in the capital structure will be equal to 1 minus the equity percentage.</t>
  </si>
  <si>
    <t>FF</t>
  </si>
  <si>
    <t>Unamortized Abandoned Plant and Amortization of Abandoned Plant will be zero until the Commission accepts or approves recovery of the cost of abandoned plant.  Utility must submit a Section 205 filing to recover the cost of abandoned plant.</t>
  </si>
  <si>
    <t>GG</t>
  </si>
  <si>
    <t xml:space="preserve">Recovery of regulatory asset permitted only for pre-commercial and formation expenses and are subject to FERC approval before any Regulatory Asset amounts are included in rates.  Recovery of any other regulatory assets requires authorization from the Commission. A carrying charge equal to the AFUDC rate will be applied to the regulatory asset prior to the rate year when costs are first recovered. </t>
  </si>
  <si>
    <t>HH</t>
  </si>
  <si>
    <t>Reserved</t>
  </si>
  <si>
    <t>II</t>
  </si>
  <si>
    <t>The Tax Effect of Permanent Differences captures the differences in the income taxes due under the Federal and State calculations and the income taxes calculated in Attachment O-GLH that are not the result of a timing difference.</t>
  </si>
  <si>
    <t>JJ</t>
  </si>
  <si>
    <t xml:space="preserve">DA in the allocator Column means that the cost is directly assigned to transmission consistent with the attached workpapers. </t>
  </si>
  <si>
    <t>KK</t>
  </si>
  <si>
    <t xml:space="preserve">Round to zero if amount shown is not zero and there is no revenue requirement to recover under Schedules 7, 8, and 9 of the MISO OATT.  </t>
  </si>
  <si>
    <t>LL</t>
  </si>
  <si>
    <t>AFUDC ceases when CWIP is recovered in rate base.  No CWIP will be included in rate base on line 18a absent FERC authorization.</t>
  </si>
  <si>
    <t>MM</t>
  </si>
  <si>
    <t xml:space="preserve">It is possible GLH will not have any salaries and wages to report in the FERC Form No. 1 (that is page 4, lines 12-15 are zero), even if GLH has existing transmission assets in service.  If and when this occurs page 4, line 13, column 3 will be input as 1. </t>
  </si>
  <si>
    <t>Attachment 1 (Note J)</t>
  </si>
  <si>
    <t>Page 1 of 3</t>
  </si>
  <si>
    <t>Project Revenue Requirement Worksheet</t>
  </si>
  <si>
    <t>To be completed in conjunction with Attachment O - GLH.</t>
  </si>
  <si>
    <t>(inputs from Attachment O - GLH are rounded to whole dollars)</t>
  </si>
  <si>
    <t>Page, Line, Col.</t>
  </si>
  <si>
    <t>Gross Transmission Plant - Total</t>
  </si>
  <si>
    <t>Attach O, p 2, line 2 col 5 (Note A)</t>
  </si>
  <si>
    <t>Transmission Accumulated Depreciation</t>
  </si>
  <si>
    <t>Attach O, p 2, line 8 col 5</t>
  </si>
  <si>
    <t>CWIP, Regulatory Asset, Abandoned Plant</t>
  </si>
  <si>
    <t>Attach O, p 2, lines 18a, 23a  &amp; 23b (Note B)</t>
  </si>
  <si>
    <t>Net Transmission Plant - Total</t>
  </si>
  <si>
    <t>Line 1 minus Line 1a plus Line 1b</t>
  </si>
  <si>
    <t>O&amp;M TRANSMISSION EXPENSE</t>
  </si>
  <si>
    <t>Total O&amp;M Allocated to Transmission</t>
  </si>
  <si>
    <t>Attach O, p 3, line 8 col 5</t>
  </si>
  <si>
    <t>3a</t>
  </si>
  <si>
    <t>Transmission O&amp;M</t>
  </si>
  <si>
    <t>Attach O, p 3, line 1 col 5</t>
  </si>
  <si>
    <t>3b</t>
  </si>
  <si>
    <t>3c</t>
  </si>
  <si>
    <t>Less: Account 565 included in above, if any</t>
  </si>
  <si>
    <t>Attach O, p 3, line 2 col 5, if any</t>
  </si>
  <si>
    <t>3d</t>
  </si>
  <si>
    <t>Less: Account 566 Amort of Reg Asset included in 3a, if any</t>
  </si>
  <si>
    <t>Attach O, p 3, line 7b col 5, if any</t>
  </si>
  <si>
    <t>3e</t>
  </si>
  <si>
    <t>Adjusted Transmission O&amp;M</t>
  </si>
  <si>
    <t>Line 3a minus Lines 3b thru 3d</t>
  </si>
  <si>
    <t>Annual Allocation Factor for Transmission O&amp;M</t>
  </si>
  <si>
    <t>(Line 3e divided by line 1, col 3)</t>
  </si>
  <si>
    <t>OTHER O&amp;M EXPENSE</t>
  </si>
  <si>
    <t>4a</t>
  </si>
  <si>
    <t>Other O&amp;M Allocated to Transmission</t>
  </si>
  <si>
    <t>Line 3 minus Line 3e</t>
  </si>
  <si>
    <t>4b</t>
  </si>
  <si>
    <t>Annual Allocation Factor for Other O&amp;M</t>
  </si>
  <si>
    <t>Line 4a divided by Line 1, col 3</t>
  </si>
  <si>
    <t>GENERAL, INTANGIBLE AND COMMON (G, I &amp; C) DEPRECIATION EXPENSE</t>
  </si>
  <si>
    <t>5</t>
  </si>
  <si>
    <t>Total G, I &amp; C Depreciation Expense</t>
  </si>
  <si>
    <t>Attach O, p 3, lines 10 &amp; 11, col 5 (Note G)</t>
  </si>
  <si>
    <t>6</t>
  </si>
  <si>
    <t>Annual Allocation Factor for G, I &amp; C Depreciation Expense</t>
  </si>
  <si>
    <t>(line 5 divided by line 1 col 3)</t>
  </si>
  <si>
    <t>TAXES OTHER THAN INCOME TAXES</t>
  </si>
  <si>
    <t>7</t>
  </si>
  <si>
    <t>Total Other Taxes</t>
  </si>
  <si>
    <t>Attach O, p 3, line 20 col 5</t>
  </si>
  <si>
    <t>8</t>
  </si>
  <si>
    <t>Annual Allocation Factor for Other Taxes</t>
  </si>
  <si>
    <t>(line 7 divided by line 1 col 3)</t>
  </si>
  <si>
    <t>9</t>
  </si>
  <si>
    <t>Annual Allocation Factor for Other Expense</t>
  </si>
  <si>
    <t>Sum of line 4b, 6, and 8</t>
  </si>
  <si>
    <t>INCOME TAXES</t>
  </si>
  <si>
    <t>10</t>
  </si>
  <si>
    <t>Attach O, p 3, line 27 col 5</t>
  </si>
  <si>
    <t>11</t>
  </si>
  <si>
    <t>Annual Allocation Factor for Income Taxes</t>
  </si>
  <si>
    <t>(line 10 divided by line 2 col 3)</t>
  </si>
  <si>
    <t>12</t>
  </si>
  <si>
    <t>Return on Rate Base</t>
  </si>
  <si>
    <t>Attach O, p 3, line 28 col 5</t>
  </si>
  <si>
    <t>13</t>
  </si>
  <si>
    <t>Annual Allocation Factor for Return on Rate Base</t>
  </si>
  <si>
    <t>(line 12 divided by line 2 col 3)</t>
  </si>
  <si>
    <t>14</t>
  </si>
  <si>
    <t>Annual Allocation Factor for Return</t>
  </si>
  <si>
    <t>Sum of line 11 and 13 col 4</t>
  </si>
  <si>
    <t>Page 2 of 3</t>
  </si>
  <si>
    <t>Page 3 of 3</t>
  </si>
  <si>
    <t>(14)</t>
  </si>
  <si>
    <t>(15)</t>
  </si>
  <si>
    <t>(16)</t>
  </si>
  <si>
    <t xml:space="preserve"> (16a)</t>
  </si>
  <si>
    <t>(17)</t>
  </si>
  <si>
    <t>(18)</t>
  </si>
  <si>
    <t>(19)</t>
  </si>
  <si>
    <t>(20)</t>
  </si>
  <si>
    <t>Line No.</t>
  </si>
  <si>
    <t xml:space="preserve">Project Name </t>
  </si>
  <si>
    <t>MTEP # or Other Designation</t>
  </si>
  <si>
    <t xml:space="preserve">Project Gross Plant </t>
  </si>
  <si>
    <t>Project Accumulated Depreciation/Amortization</t>
  </si>
  <si>
    <t>Transmission O&amp;M Annual Allocation Factor</t>
  </si>
  <si>
    <t>Annual Allocation for Transmission O&amp;M Expense</t>
  </si>
  <si>
    <t>Annual Allocation for Other Expense</t>
  </si>
  <si>
    <t>Annual Expense Charge</t>
  </si>
  <si>
    <t xml:space="preserve">Project Net Plant </t>
  </si>
  <si>
    <t>Annual Return Charge</t>
  </si>
  <si>
    <t>Project Depreciation/Amortization Expense</t>
  </si>
  <si>
    <t>Annual Revenue Requirement</t>
  </si>
  <si>
    <t>Incentive Return in basis Points</t>
  </si>
  <si>
    <t>Incentive Return</t>
  </si>
  <si>
    <t>Ceiling Rate</t>
  </si>
  <si>
    <t>Competitive Bid Concession</t>
  </si>
  <si>
    <t>Total Annual Revenue Requirement</t>
  </si>
  <si>
    <t>True-Up Adjustment</t>
  </si>
  <si>
    <t>Net Revenue Requirement</t>
  </si>
  <si>
    <t>Page 1 line 4</t>
  </si>
  <si>
    <t>Col. 3 * Col. 5</t>
  </si>
  <si>
    <t>Page 1 line 9</t>
  </si>
  <si>
    <t>Col. 3 * Col. 7</t>
  </si>
  <si>
    <t>Col. 6 + Col. 8)</t>
  </si>
  <si>
    <t>(Col. 10 * Col. 11)</t>
  </si>
  <si>
    <t>(Note E)</t>
  </si>
  <si>
    <t>(Sum Col. 9, 12 &amp; 13)</t>
  </si>
  <si>
    <t>Per FERC order (Note I)</t>
  </si>
  <si>
    <t>(Attach 2, Line 28 * (Col. 15/100)* Col. 10)</t>
  </si>
  <si>
    <t>(Sum Col. 14 &amp; 16)</t>
  </si>
  <si>
    <t>(Note H) (Enter Negative)</t>
  </si>
  <si>
    <t>(Note F)</t>
  </si>
  <si>
    <t xml:space="preserve">Sum Col. 18 &amp; 19 
</t>
  </si>
  <si>
    <t>15a</t>
  </si>
  <si>
    <t>15b</t>
  </si>
  <si>
    <t>15c</t>
  </si>
  <si>
    <t>15d</t>
  </si>
  <si>
    <t>15e</t>
  </si>
  <si>
    <t>15f</t>
  </si>
  <si>
    <t>15g</t>
  </si>
  <si>
    <t>15h</t>
  </si>
  <si>
    <t>15i</t>
  </si>
  <si>
    <t>15j</t>
  </si>
  <si>
    <t>15k</t>
  </si>
  <si>
    <t>15l</t>
  </si>
  <si>
    <t>15m</t>
  </si>
  <si>
    <t>15n</t>
  </si>
  <si>
    <t>15o</t>
  </si>
  <si>
    <t>16</t>
  </si>
  <si>
    <t>Annual Totals</t>
  </si>
  <si>
    <t>Rev. Req. Adj For Attachment O</t>
  </si>
  <si>
    <t>Gross Transmission Plant that is included on page 2 line 2 of Attachment O-GLH (see line 1 col (3)).</t>
  </si>
  <si>
    <t>Inclusive of any CWIP, unamortized abandoned plant and unamortized project-related regulatory asset included in rate base when authorized by FERC order.  Excludes start-up regulatory asset (see line 1b, col. (3)).</t>
  </si>
  <si>
    <t xml:space="preserve">Project Gross Plant is the total capital investment for the project calculated in the same method as the gross plant value in line 1.  This value includes subsequent capital investments required to </t>
  </si>
  <si>
    <t>maintain the facilities to their original capabilities.  Gross plant does not include any CWIP, unamortized abandoned plant or any regulatory asset (see line 15, col. (3)).</t>
  </si>
  <si>
    <t xml:space="preserve">Project Net Plant is the Project Gross Plant Identified in Column 3 less the associated Accumulated Depreciation in col (4).  Net Plant includes any CWIP in rate base, any project related regulatory asset and any </t>
  </si>
  <si>
    <t>Unamortized Abandoned Plant approved by the Commission (see line 15, col. (10)).  Net plant does not include start-up regulatory asset.</t>
  </si>
  <si>
    <t>Project Depreciation Expense is the actual value booked in Attachment O-GLH, Page 3, line 9 that is associated with the specified project.  Project Depreciation Expense includes the amortization of Abandoned Plant.  However, if FERC grants accelerated depreciation for a project the depreciation rate authorized by FERC will be used instead of the rates shown on Attachment 6 for all other projects. Line 15, Col. (13). Includes project related regulatory assets.</t>
  </si>
  <si>
    <t>The Total General and Common Depreciation Expense excludes any depreciation expense directly associated with a project and thereby included in Line 15, col. 13.</t>
  </si>
  <si>
    <t>Requires approval by FERC of incentive return applicable to the specified project(s) (see line 15, col. (15)).</t>
  </si>
  <si>
    <t>This Attachment 1 is a reconciliation or summary of Attachment GG - GLH and Attachment MM - GLH.  The actual calculations for Attachment GG and MM projects used in developing rates will be those calculated in Attachment GG - GLH and Attachment MM - GLH.  Attachment 1 may also consist of other projects, such as those which have received FERC approval for an incentive adder but are not Attachment GG or MM projects.  The incentives associated with those projects will be added to the Attachment O-GLH revenue requirement on Attachment O, page 3, line 30b.</t>
  </si>
  <si>
    <t>Attachment 2</t>
  </si>
  <si>
    <t>Rate Base</t>
  </si>
  <si>
    <t xml:space="preserve">Attachment O-GLH, page 2, line 30, Col.5 </t>
  </si>
  <si>
    <t>100 Basis Point Incentive Return</t>
  </si>
  <si>
    <t>Attachment O-GLH, Notes Y and EE</t>
  </si>
  <si>
    <t xml:space="preserve">  Preferred Stock  </t>
  </si>
  <si>
    <t xml:space="preserve">  Common Stock  (Note A)</t>
  </si>
  <si>
    <t>Cost = Attachment O, Line 29, Cost plus .01</t>
  </si>
  <si>
    <t>Attachment O-GLH, Notes O, Y and EE</t>
  </si>
  <si>
    <t>Sum Lines 3 to 5</t>
  </si>
  <si>
    <t xml:space="preserve">100 Basis Point Incentive Return multiplied by Rate Base </t>
  </si>
  <si>
    <t>Line 1 * Line 6, Col. I</t>
  </si>
  <si>
    <t xml:space="preserve">      WCLTD = Line 3</t>
  </si>
  <si>
    <t xml:space="preserve">       and FIT, SIT &amp; p are as given in footnote K.</t>
  </si>
  <si>
    <t>Amortized Investment Tax Credit (266.8f) (enter negative)</t>
  </si>
  <si>
    <t>Excess Deferred Income Taxes (enter negative)</t>
  </si>
  <si>
    <t>Tax Effect of Permanent Differences  (Note B)</t>
  </si>
  <si>
    <t>Line 10 * Line 7</t>
  </si>
  <si>
    <t>Line 13 * Line 14</t>
  </si>
  <si>
    <t>Line 13 * Line 15</t>
  </si>
  <si>
    <t>Line 13 * Line 16</t>
  </si>
  <si>
    <t>Sum Lines 17 - 20</t>
  </si>
  <si>
    <t>Return and Income Taxes with 100 basis point increase in ROE</t>
  </si>
  <si>
    <t xml:space="preserve">Return    </t>
  </si>
  <si>
    <t>Attach. O, Page 3, Line 28, Col. 5</t>
  </si>
  <si>
    <t xml:space="preserve">Income Tax  </t>
  </si>
  <si>
    <t>Attach. O, Page 3, Line 27, Col. 5</t>
  </si>
  <si>
    <t>Return and Income Taxes without 100 basis point increase in ROE</t>
  </si>
  <si>
    <t>Sum Lines 23 and 24</t>
  </si>
  <si>
    <t>Incremental Return and Income Taxes for 100 basis point increase in ROE</t>
  </si>
  <si>
    <t>Line 22 less Line 25</t>
  </si>
  <si>
    <t>Line 1</t>
  </si>
  <si>
    <t>Incremental Return and Income Taxes for 100 basis point increase in ROE divided by Rate Base</t>
  </si>
  <si>
    <t>Line 26 / Line 27</t>
  </si>
  <si>
    <t xml:space="preserve">Notes: </t>
  </si>
  <si>
    <t>Line 5 includes a 100 basis point increase in ROE that is used only to determine the increase in return and income taxes associated with</t>
  </si>
  <si>
    <t>a 100 basis point increase in ROE.  Any ROE incentive must be approved by the Commission.</t>
  </si>
  <si>
    <t>For example, if the Commission were to grant a 137 basis point ROE incentive, the increase in return and taxes for a 100 basis point</t>
  </si>
  <si>
    <t>increase in ROE would be multiplied by 1.37 on Attachment 1, column 16.</t>
  </si>
  <si>
    <t>The Tax Effect of Permanent Differences captures the differences in the income taxes due under the Federal and State calculations and the income taxes calculated</t>
  </si>
  <si>
    <t xml:space="preserve"> in Attachment O-GLH that are not the result of a timing difference.</t>
  </si>
  <si>
    <t>Attachment 3 (Note 3)</t>
  </si>
  <si>
    <t>Page 1</t>
  </si>
  <si>
    <t>Project True-Up</t>
  </si>
  <si>
    <t>Year</t>
  </si>
  <si>
    <t>Annual True-Up Calculation</t>
  </si>
  <si>
    <t xml:space="preserve">Net </t>
  </si>
  <si>
    <t>MTEP</t>
  </si>
  <si>
    <t>Adjusted</t>
  </si>
  <si>
    <t>Under/(Over)</t>
  </si>
  <si>
    <t>Interest</t>
  </si>
  <si>
    <t>Total True-Up</t>
  </si>
  <si>
    <t>Project</t>
  </si>
  <si>
    <t>Net Revenue</t>
  </si>
  <si>
    <t>Collection</t>
  </si>
  <si>
    <t>Income</t>
  </si>
  <si>
    <t>Adjustment</t>
  </si>
  <si>
    <t>Number</t>
  </si>
  <si>
    <t>Project Name</t>
  </si>
  <si>
    <r>
      <t>Requirement</t>
    </r>
    <r>
      <rPr>
        <vertAlign val="superscript"/>
        <sz val="10"/>
        <color theme="1"/>
        <rFont val="Times New Roman"/>
        <family val="1"/>
      </rPr>
      <t>1</t>
    </r>
  </si>
  <si>
    <r>
      <t>Revenue Received</t>
    </r>
    <r>
      <rPr>
        <vertAlign val="superscript"/>
        <sz val="10"/>
        <color theme="1"/>
        <rFont val="Times New Roman"/>
        <family val="1"/>
      </rPr>
      <t>2</t>
    </r>
  </si>
  <si>
    <t>(C-D)</t>
  </si>
  <si>
    <t>(Expense)</t>
  </si>
  <si>
    <t>(E + F)</t>
  </si>
  <si>
    <t>2a</t>
  </si>
  <si>
    <t>2b</t>
  </si>
  <si>
    <t>2c</t>
  </si>
  <si>
    <t>2d</t>
  </si>
  <si>
    <t>2) The "revenue received" is the total amount of revenue distributed to GLH in the True-Up Year. Attachment O, Lines 36a -37, page 4 of 5 of Attachment O - GLH</t>
  </si>
  <si>
    <t>3) This Attachment 3 is a summary of the Attachment GG -GLH True-Up Calculation and the Attachment MM - GLH True-Up Calculation.  The Attachment O - GLH True-Up is the actual True-Up calculation.</t>
  </si>
  <si>
    <t>FERC Refund Interest Rate</t>
  </si>
  <si>
    <r>
      <t>Interest Rate</t>
    </r>
    <r>
      <rPr>
        <sz val="10"/>
        <rFont val="Times New Roman"/>
        <family val="1"/>
      </rPr>
      <t>:</t>
    </r>
  </si>
  <si>
    <t>Quarter</t>
  </si>
  <si>
    <t>Quarterly Interest Rate under Section 35.19(a)</t>
  </si>
  <si>
    <t>1st Qtr.</t>
  </si>
  <si>
    <t xml:space="preserve">2nd Qtr </t>
  </si>
  <si>
    <t xml:space="preserve">3rd Qtr </t>
  </si>
  <si>
    <t>4th Qtr</t>
  </si>
  <si>
    <t xml:space="preserve">1st Qtr </t>
  </si>
  <si>
    <t>Sum lines 5-11</t>
  </si>
  <si>
    <t>Avg. Monthly FERC Rate</t>
  </si>
  <si>
    <t>Line 12 divided by 7</t>
  </si>
  <si>
    <t>Attachment 4</t>
  </si>
  <si>
    <t>Rate Base Worksheet (Page 2 of Attachment O - GLH)</t>
  </si>
  <si>
    <t>Page 1 of 2</t>
  </si>
  <si>
    <t>Gross Plant In Service (Attachment O, Note Y and BB)</t>
  </si>
  <si>
    <t>CWIP</t>
  </si>
  <si>
    <t>LHFFU</t>
  </si>
  <si>
    <t>Working Capital</t>
  </si>
  <si>
    <t>Accumulated Depreciation (Attachment O, Note Y and BB)</t>
  </si>
  <si>
    <t>Line No</t>
  </si>
  <si>
    <t>Month</t>
  </si>
  <si>
    <t>Production</t>
  </si>
  <si>
    <t>Distribution</t>
  </si>
  <si>
    <t>General &amp; Intangible</t>
  </si>
  <si>
    <t>Common</t>
  </si>
  <si>
    <t>CWIP (Note C)</t>
  </si>
  <si>
    <t>Land Held for Future Use</t>
  </si>
  <si>
    <t xml:space="preserve">  Prepayments</t>
  </si>
  <si>
    <t>(e)</t>
  </si>
  <si>
    <t>(f)</t>
  </si>
  <si>
    <t>(g)</t>
  </si>
  <si>
    <t>(h)</t>
  </si>
  <si>
    <t>(i)</t>
  </si>
  <si>
    <t>(j)</t>
  </si>
  <si>
    <t>(k)</t>
  </si>
  <si>
    <t>(l)</t>
  </si>
  <si>
    <t>(m)</t>
  </si>
  <si>
    <t>(n)</t>
  </si>
  <si>
    <t>(o)</t>
  </si>
  <si>
    <t>FN1 Reference for Dec</t>
  </si>
  <si>
    <t>205.46.g</t>
  </si>
  <si>
    <t>207.58.g</t>
  </si>
  <si>
    <t>207.75.g</t>
  </si>
  <si>
    <t>205.5.g &amp; 207.99.g</t>
  </si>
  <si>
    <t>216.x.b</t>
  </si>
  <si>
    <t>214.x.d</t>
  </si>
  <si>
    <t>111.57.c</t>
  </si>
  <si>
    <t>219.20-24.c</t>
  </si>
  <si>
    <t>219.25.c</t>
  </si>
  <si>
    <t>219.26.c</t>
  </si>
  <si>
    <t>219.28.c &amp; 200.21.c</t>
  </si>
  <si>
    <t>December Prior Year</t>
  </si>
  <si>
    <t>January</t>
  </si>
  <si>
    <t>February</t>
  </si>
  <si>
    <t xml:space="preserve">March </t>
  </si>
  <si>
    <t>April</t>
  </si>
  <si>
    <t>May</t>
  </si>
  <si>
    <t>June</t>
  </si>
  <si>
    <t>July</t>
  </si>
  <si>
    <t xml:space="preserve">August </t>
  </si>
  <si>
    <t>September</t>
  </si>
  <si>
    <t>October</t>
  </si>
  <si>
    <t>November</t>
  </si>
  <si>
    <t xml:space="preserve">December </t>
  </si>
  <si>
    <t xml:space="preserve">Average of the 13 Monthly Balances </t>
  </si>
  <si>
    <t>Adjustments to Rate Base (Attachment O, Note Y)</t>
  </si>
  <si>
    <t xml:space="preserve">Unamortized Regulatory Asset </t>
  </si>
  <si>
    <t xml:space="preserve">Unamortized Abandoned Plant  </t>
  </si>
  <si>
    <t>Account No. 255
Accumulated Deferred Investment Credit  (Note D)</t>
  </si>
  <si>
    <t>Notes A &amp; E</t>
  </si>
  <si>
    <t>Notes B &amp; F</t>
  </si>
  <si>
    <t>Consistent with 266.8.b &amp; 267.8.h</t>
  </si>
  <si>
    <t>Average of the 13 Monthly Balances -</t>
  </si>
  <si>
    <t>Page 2 of 2</t>
  </si>
  <si>
    <t>Unfunded Reserves    (Note G)</t>
  </si>
  <si>
    <t>List of all reserves:</t>
  </si>
  <si>
    <t xml:space="preserve">Amount </t>
  </si>
  <si>
    <r>
      <t>Enter 1 if NOT in a trust or</t>
    </r>
    <r>
      <rPr>
        <sz val="10"/>
        <rFont val="Times New Roman"/>
        <family val="1"/>
      </rPr>
      <t xml:space="preserve"> reserved account, enter zero (0) if included in a trust or reserved account </t>
    </r>
  </si>
  <si>
    <r>
      <t xml:space="preserve">Enter 1 if the accrual account is included in the formula rate, enter zero (0) </t>
    </r>
    <r>
      <rPr>
        <sz val="10"/>
        <rFont val="Times New Roman"/>
        <family val="1"/>
      </rPr>
      <t>if the accrual account is NOT included in the formula rate</t>
    </r>
  </si>
  <si>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</si>
  <si>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</si>
  <si>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</si>
  <si>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</si>
  <si>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</si>
  <si>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30c</t>
  </si>
  <si>
    <t>Reserve 3</t>
  </si>
  <si>
    <t>30d</t>
  </si>
  <si>
    <t>Reserve 4</t>
  </si>
  <si>
    <t>30e</t>
  </si>
  <si>
    <t>…</t>
  </si>
  <si>
    <t>30f</t>
  </si>
  <si>
    <t>Notes:</t>
  </si>
  <si>
    <t>Recovery of regulatory asset is limited to any regulatory assets authorized by FERC.</t>
  </si>
  <si>
    <t>Recovery of abandoned plant is limited to any abandoned plant recovery authorized by FERC.</t>
  </si>
  <si>
    <t>Includes only CWIP authorized by the Commission for inclusion in rate base.  The Annual Update will include for each project under construction (i) the CWIP balance eligible for inclusion in rate base; (ii) the CWIP balance ineligible for inclusion in rate base; and (iii) a demonstration that AFUDC is only applied to the CWIP balance that is not included in rate base.  The Annual Update will reconcile the project-specific CWIP balances to the total Account 107 CWIP balance reported on p. 216.b of the FERC Form 1</t>
  </si>
  <si>
    <t>Accumulated Deferred Income Tax Credits are computed on Attachments 8a and 8b</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</si>
  <si>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AFUDC rate will be applied to the Regulatory Asset prior to the rate year when costs are first recovered. </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</si>
  <si>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</si>
  <si>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t>
  </si>
  <si>
    <t>Attachment 5</t>
  </si>
  <si>
    <t>Attachment O - GLH, Page 3 Worksheet</t>
  </si>
  <si>
    <t>Transmission O&amp;M Expenses</t>
  </si>
  <si>
    <t>Account No. 566 (Misc. Trans. Expense)</t>
  </si>
  <si>
    <t>Account No. 565</t>
  </si>
  <si>
    <t>A&amp;G Expenses</t>
  </si>
  <si>
    <t>FERC Annual Fees</t>
  </si>
  <si>
    <t>EPRI &amp; Reg. Comm. Exp. &amp; Non-safety  Ad.</t>
  </si>
  <si>
    <t>Transmission Related Reg. Comm. Exp.</t>
  </si>
  <si>
    <t>Transmission Lease Payments</t>
  </si>
  <si>
    <t>Amortization of Regulatory Asset</t>
  </si>
  <si>
    <t>Miscellaneous Transmission Expense (less Amortization of Regulatory Asset)</t>
  </si>
  <si>
    <t>Depreciation Expense - Transmission (Attachment O - GLH, Note BB)</t>
  </si>
  <si>
    <t>Attachment O - GLH, Page 3, Line Number</t>
  </si>
  <si>
    <t>FERC Form 1 Reference</t>
  </si>
  <si>
    <t>321.112.b</t>
  </si>
  <si>
    <t>321.97.b</t>
  </si>
  <si>
    <t>321.96.b</t>
  </si>
  <si>
    <t>323.197.b</t>
  </si>
  <si>
    <t>Attachment O - GLH, Note I</t>
  </si>
  <si>
    <t>336.7.f</t>
  </si>
  <si>
    <t>Attachment O - GLH, Note U</t>
  </si>
  <si>
    <t>1</t>
  </si>
  <si>
    <t>2</t>
  </si>
  <si>
    <t>3</t>
  </si>
  <si>
    <t>March</t>
  </si>
  <si>
    <t>4</t>
  </si>
  <si>
    <t>August</t>
  </si>
  <si>
    <t>December</t>
  </si>
  <si>
    <t>Depreciation Expense - General &amp; Intangible (Attachment O - GLH, Note BB)</t>
  </si>
  <si>
    <t>Amortization of Abandoned Plant</t>
  </si>
  <si>
    <t>Payroll Taxes</t>
  </si>
  <si>
    <t>Highway &amp; Vehicle Taxes</t>
  </si>
  <si>
    <t>Property Taxes</t>
  </si>
  <si>
    <t>Gross Receipts Taxes</t>
  </si>
  <si>
    <t>Other Taxes</t>
  </si>
  <si>
    <t>Payments in lieu of Taxes</t>
  </si>
  <si>
    <t>Amortized Investment Tax Credit (266.8f)</t>
  </si>
  <si>
    <t>Depreciation Expense - Common (Attachment O - GLH, Note BB)</t>
  </si>
  <si>
    <t>Attachment O, Page 3, Line Number</t>
  </si>
  <si>
    <t>336.10.f &amp; 336.1.f</t>
  </si>
  <si>
    <t>Attachment O - GLH, Note X &amp; FF</t>
  </si>
  <si>
    <t>263.i</t>
  </si>
  <si>
    <t>266.8.f</t>
  </si>
  <si>
    <t>336.11.f</t>
  </si>
  <si>
    <t>15</t>
  </si>
  <si>
    <t>17</t>
  </si>
  <si>
    <t>18</t>
  </si>
  <si>
    <t>19</t>
  </si>
  <si>
    <t>20</t>
  </si>
  <si>
    <t>21</t>
  </si>
  <si>
    <t>22</t>
  </si>
  <si>
    <t>23</t>
  </si>
  <si>
    <t>24</t>
  </si>
  <si>
    <t>25</t>
  </si>
  <si>
    <t>26</t>
  </si>
  <si>
    <t>RETURN (R)  (Attachment O-GLH, Notes O, Y, and EE)</t>
  </si>
  <si>
    <t>Long Term Interest (117, sum of 62.c through 67.c)</t>
  </si>
  <si>
    <t>Preferred Dividends (118.29c) (positive number)</t>
  </si>
  <si>
    <t>Proprietary Capital (112.16.c)</t>
  </si>
  <si>
    <t xml:space="preserve">Less Preferred Stock (line 35, col. (d)) </t>
  </si>
  <si>
    <t xml:space="preserve">Less Account 216.1 (112.12.c)  </t>
  </si>
  <si>
    <t>(enter negative)</t>
  </si>
  <si>
    <t>Common Stock</t>
  </si>
  <si>
    <t>(sum lines 30 - 32)</t>
  </si>
  <si>
    <t xml:space="preserve">Cost Rates </t>
  </si>
  <si>
    <t>Note A</t>
  </si>
  <si>
    <t xml:space="preserve">  Preferred Stock  (112.3.c)</t>
  </si>
  <si>
    <t>Note B</t>
  </si>
  <si>
    <t xml:space="preserve">Note C  </t>
  </si>
  <si>
    <t>(Sum of Lines 34 through 36)</t>
  </si>
  <si>
    <t>Note:</t>
  </si>
  <si>
    <t>Long Term debt balance will reflect the 13 month average of the balances, of which the 1st and 13th are found on page 112 lines 18.c to 21.c in the Form No. 1, the cost is calculated by dividing line 28 by the Long Tern Debt balance in line 34.</t>
  </si>
  <si>
    <t>Preferred Stock balance will reflect the 13 month average of the balances, of which the 1st and 13th are found on page 112 line 3.c in the Form No. 1, the cost is calculated by dividing line 29 by the Preferred Stock balance in line 35.</t>
  </si>
  <si>
    <t>Common Stock balance will reflect the 13 month average of the balances, of which the 1st and 13th are found on page 112 lines 3.c 12.c, 16.c in the Form No. 1 as shown on lines 30-33 above</t>
  </si>
  <si>
    <t xml:space="preserve">If the company has short-term debt prior to issuing long-term debt, line 34 will reflect the outstanding short-term debt and cost rates only unitl long term debt is issued, as calculated below: </t>
  </si>
  <si>
    <t>Short-term debt outstanding</t>
  </si>
  <si>
    <t>The 13 month average of the balances consistent with "S", the average short-term debt balance pursuant to Part 101 of the Commission's Regulations, Electric Plant Instruction 17</t>
  </si>
  <si>
    <t>Short-term debt cost</t>
  </si>
  <si>
    <t>The interest "s", the short-term debt interest rate pursuant to Part 101 of the Commission's Regulations, Electric Plant Instruction 17</t>
  </si>
  <si>
    <t>Attachment 6</t>
  </si>
  <si>
    <t>Depreciation Rates</t>
  </si>
  <si>
    <t>FERC ACCOUNT</t>
  </si>
  <si>
    <t>DESCRIPTION</t>
  </si>
  <si>
    <t>RATE PERCENT</t>
  </si>
  <si>
    <t>TRANSMISSION</t>
  </si>
  <si>
    <t>Land Rights</t>
  </si>
  <si>
    <t>Structures and Improvements</t>
  </si>
  <si>
    <t>Station Equipment</t>
  </si>
  <si>
    <t>Towers and Fixtures</t>
  </si>
  <si>
    <t>Poles and Fixtures</t>
  </si>
  <si>
    <t>Overhead Conductors &amp; Devices</t>
  </si>
  <si>
    <t>Underground Conduit</t>
  </si>
  <si>
    <t>Underground Conductors &amp; Devices</t>
  </si>
  <si>
    <t>Roads and Trails</t>
  </si>
  <si>
    <t>GENERAL AND INTANGIBLE</t>
  </si>
  <si>
    <t>Franchises and Consents (Note 1)</t>
  </si>
  <si>
    <t>Intangible Plant - 5 Year</t>
  </si>
  <si>
    <t>Office Furniture and Equipment</t>
  </si>
  <si>
    <t>Network Equipment</t>
  </si>
  <si>
    <t>Transportation Equipment - Auto</t>
  </si>
  <si>
    <t>Transportation Equipment - Light Truck</t>
  </si>
  <si>
    <t>Transportation Equipment - Trailers</t>
  </si>
  <si>
    <t>Transportation Equipment - Heavy Trucks</t>
  </si>
  <si>
    <t>Stores Equipment</t>
  </si>
  <si>
    <t>Tools, Shop and Garage Equipment</t>
  </si>
  <si>
    <t>Laboratory Equipment</t>
  </si>
  <si>
    <t>Power Operated Equipment</t>
  </si>
  <si>
    <t>Communication Equipment</t>
  </si>
  <si>
    <t>Miscellaneous Equipment</t>
  </si>
  <si>
    <t>Note 1:</t>
  </si>
  <si>
    <t xml:space="preserve">Electric Intangible Franchises and Transmission Land Rights are amortized </t>
  </si>
  <si>
    <t xml:space="preserve">   over the life of the franchise agreement or land right.</t>
  </si>
  <si>
    <t xml:space="preserve">Note 2: </t>
  </si>
  <si>
    <t xml:space="preserve">GLH’s depreciation and amortization rates may not be changed absent a section </t>
  </si>
  <si>
    <t>205 or 206 filing</t>
  </si>
  <si>
    <t>Attachment 7</t>
  </si>
  <si>
    <t>PBOPs</t>
  </si>
  <si>
    <t>Calculation of PBOP Expenses</t>
  </si>
  <si>
    <t>Year Ended December 31, ____</t>
  </si>
  <si>
    <t xml:space="preserve">Total PBOP expenses </t>
  </si>
  <si>
    <t>Labor dollars</t>
  </si>
  <si>
    <t>Cost per labor dollar</t>
  </si>
  <si>
    <t>Line 2 divided by line 3</t>
  </si>
  <si>
    <t>labor (labor not capitalized) current year</t>
  </si>
  <si>
    <t>PBOP Expense for current year</t>
  </si>
  <si>
    <t>Line 4 times line 5</t>
  </si>
  <si>
    <t xml:space="preserve">Lines 2 and 3 cannot change absent approval or acceptance by FERC in a separate proceeding. </t>
  </si>
  <si>
    <t>PBOP amount included in Company's O&amp;M and A&amp;G expenses in Form No. 1</t>
  </si>
  <si>
    <t>Amounts will be zero until changed pursuant to a FERC order.</t>
  </si>
  <si>
    <t>The sum of all labor included in accounts 560 to 579 and 920 to 935</t>
  </si>
  <si>
    <t>Attachment 8a - Accumulated Deferred Income Taxes (ADIT) Average Worksheet (Projection)</t>
  </si>
  <si>
    <t>(Sum Col. B, C &amp; D)</t>
  </si>
  <si>
    <t>Ln</t>
  </si>
  <si>
    <t>Item</t>
  </si>
  <si>
    <t>Transmission Related</t>
  </si>
  <si>
    <t>Plant Related</t>
  </si>
  <si>
    <t>Labor Related</t>
  </si>
  <si>
    <t>ADIT-282 (enter negative)</t>
  </si>
  <si>
    <t>Line 12</t>
  </si>
  <si>
    <t>ADIT-283 (enter negative)</t>
  </si>
  <si>
    <t>Line 16</t>
  </si>
  <si>
    <t>ADIT-190</t>
  </si>
  <si>
    <t>Line 21</t>
  </si>
  <si>
    <t xml:space="preserve">Subtotal  </t>
  </si>
  <si>
    <t>Sum of Lines 1-3</t>
  </si>
  <si>
    <t xml:space="preserve">Wages &amp; Salary Allocator </t>
  </si>
  <si>
    <t>Attachment-O Page 4 line 16</t>
  </si>
  <si>
    <t>Net Plant Allocator</t>
  </si>
  <si>
    <t>Attachment-O Page 2 line 6</t>
  </si>
  <si>
    <t>Total Plant Allocator</t>
  </si>
  <si>
    <t>Projected ADIT Total</t>
  </si>
  <si>
    <t>Enter as negative Attachment-O, page 2, line 22</t>
  </si>
  <si>
    <t>Beginning Balance &amp; Monthly Changes</t>
  </si>
  <si>
    <t xml:space="preserve">Balance </t>
  </si>
  <si>
    <t>ADIT-282</t>
  </si>
  <si>
    <t>Balance-BOY (Attach 8c, Line 30)</t>
  </si>
  <si>
    <t>EOY (Attach 8d, Line 30 less Line 26)</t>
  </si>
  <si>
    <t>Balance-EOY Prorated (Attach 8b, Line 14)</t>
  </si>
  <si>
    <t>ADIT 282-Total (Lines 10+11)</t>
  </si>
  <si>
    <t>ADIT-283</t>
  </si>
  <si>
    <t>Balance-BOY (Attach 8c, Line 44)</t>
  </si>
  <si>
    <t>EOY (Attach 8d, Line 44 less Line 40)</t>
  </si>
  <si>
    <t>EOY Prorated (Attach 8b, Line 28)</t>
  </si>
  <si>
    <t>ADIT 283-Total  (Lines 14+15)</t>
  </si>
  <si>
    <t>Balance-BOY (Attach 8c, Line 18)</t>
  </si>
  <si>
    <t>EOY (Attach 8d, Line 18 less Line 14)</t>
  </si>
  <si>
    <t>EOY Prorated (Attach 8b, Line 42)</t>
  </si>
  <si>
    <t>ADIT 190-Total (Lines 18+19)</t>
  </si>
  <si>
    <t>Attachment 8b - Accumulated Deferred Income Taxes (ADIT) Proration Worksheet (Projection)</t>
  </si>
  <si>
    <t>Weighting for Projection</t>
  </si>
  <si>
    <t>Beginning Balance/
Monthly Increment</t>
  </si>
  <si>
    <t>Transmission Proration
(d) x (f)</t>
  </si>
  <si>
    <t>Plant Proration
(d) x (h)</t>
  </si>
  <si>
    <t>Labor Proration
(d) x (j)</t>
  </si>
  <si>
    <t>Balance (Attach 8c, Line 30)</t>
  </si>
  <si>
    <t>Increment</t>
  </si>
  <si>
    <t>ADIT 282-Prorated EOY Balance</t>
  </si>
  <si>
    <t>Balance (Attach 8c, Line 44)</t>
  </si>
  <si>
    <t>ADIT 283-Prorated EOY Balance</t>
  </si>
  <si>
    <t>Balance (Attach 8c, Line 18)</t>
  </si>
  <si>
    <t>ADIT 190-Prorated EOY Balance</t>
  </si>
  <si>
    <t>Note 1</t>
  </si>
  <si>
    <t>Uses a 365 day calendar year.</t>
  </si>
  <si>
    <t>Note 2</t>
  </si>
  <si>
    <t>Substantial portion, if not all, of the ADIT-282 balance is subject to proration.  Explanation must be provided for any portion of balance not subject to proration.</t>
  </si>
  <si>
    <t>Only amounts in ADIT-283 relating to Depreciation, if applicable, are subject to proration.  See Line 44 in Attach 8c and 8d.</t>
  </si>
  <si>
    <t>Attachment 8c - Accumulated Deferred Income Taxes (ADIT) Worksheet (Beginning of Year)</t>
  </si>
  <si>
    <t>Line 30</t>
  </si>
  <si>
    <t>Line 44</t>
  </si>
  <si>
    <t>Line 18</t>
  </si>
  <si>
    <t>Subtotal</t>
  </si>
  <si>
    <t>Sum of Lines 1-4</t>
  </si>
  <si>
    <t>In filling out this attachment, a full and complete description of each item and justification for the allocation to Columns B-F and each separate ADIT item will be listed.  Dissimilar items with amounts exceeding $100,000 will be listed separately.  For ADIT directly related to project depreciation or CWIP, the balance will be shown in a separate row for each project.</t>
  </si>
  <si>
    <t>Gas, Prod or Other Related</t>
  </si>
  <si>
    <t>Justification</t>
  </si>
  <si>
    <t>NOL Carryforward</t>
  </si>
  <si>
    <t>Amount subject to Proration</t>
  </si>
  <si>
    <t>Subtotal - p234.b</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</si>
  <si>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</si>
  <si>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</si>
  <si>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</si>
  <si>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</si>
  <si>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</si>
  <si>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and not in Columns C &amp; D are included in Column E</t>
  </si>
  <si>
    <t>4.  ADIT items related to labor and not in Columns C &amp; D are included in Column F</t>
  </si>
  <si>
    <t>ADIT- 282</t>
  </si>
  <si>
    <t>Plant Items</t>
  </si>
  <si>
    <t xml:space="preserve">Subtotal - p274.b </t>
  </si>
  <si>
    <t>Instructions for Account 282:</t>
  </si>
  <si>
    <t>ADIT- 283</t>
  </si>
  <si>
    <t>Depreciation Items</t>
  </si>
  <si>
    <t xml:space="preserve">Subtotal - p276.b  </t>
  </si>
  <si>
    <t>Instructions for Account 283:</t>
  </si>
  <si>
    <t>Attachment 8d - Accumulated Deferred Income Taxes (ADIT) Worksheet (End of Year)</t>
  </si>
  <si>
    <t>Subtotal - p234.c</t>
  </si>
  <si>
    <t xml:space="preserve">Subtotal - p275.k </t>
  </si>
  <si>
    <t xml:space="preserve">Subtotal - p277.k  </t>
  </si>
  <si>
    <t>Attachment 8e - Accumulated Deferred Income Taxes (ADIT) Average Worksheet (True-Up)</t>
  </si>
  <si>
    <t>Total Plant &amp; Labor Related</t>
  </si>
  <si>
    <t>Line 20</t>
  </si>
  <si>
    <t>Wages &amp; Salary Allocator</t>
  </si>
  <si>
    <t>ADIT True-Up Total</t>
  </si>
  <si>
    <t>Balance-EOY (Attach 8d, Line 30 less Line 26)</t>
  </si>
  <si>
    <t>Balance-EOY-Prorated (Attach 8f, Line 14)</t>
  </si>
  <si>
    <t>Balance-EOY-Total (Lines 10+11)</t>
  </si>
  <si>
    <t>Balance-EOY (Attach 8d, Line 44 less Line 40)</t>
  </si>
  <si>
    <t>Balance-EOY-Prorated (Attach 8f, Line 28)</t>
  </si>
  <si>
    <t>Balance-EOY-Total (Lines 14+15)</t>
  </si>
  <si>
    <t>Balance-EOY (Attach 8d, Line 18 less Line 14)</t>
  </si>
  <si>
    <t>Balance-EOY-Prorated (Attach 8f, Line 42)</t>
  </si>
  <si>
    <t>Balance-EOY-Total (Lines 18+19)</t>
  </si>
  <si>
    <t>Attachment 8f - Accumulated Deferred Income Taxes (ADIT) Proration Worksheet (True-up)</t>
  </si>
  <si>
    <t xml:space="preserve">Monthly Increment </t>
  </si>
  <si>
    <t>Proration
(d) x (e)</t>
  </si>
  <si>
    <t>Prorated Projected Balance (Cumulative Sum of f)</t>
  </si>
  <si>
    <t>Actual Monthly Activity</t>
  </si>
  <si>
    <t>Difference between projected and actual activity  (h)-(e)</t>
  </si>
  <si>
    <t>Partially prorate actual activity above Monthly projection</t>
  </si>
  <si>
    <t>Partially prorate actual activity below Monthly projection but increases ADIT</t>
  </si>
  <si>
    <t>Partially prorate actual activity below Monthly projection and is a reduction to ADIT</t>
  </si>
  <si>
    <t>Partially prorated actual balance</t>
  </si>
  <si>
    <r>
      <t>ROE will be supported in the original filing and no change in ROE may be made absent a filing with FERC.  A 50 basis point adder for RTO participation may be added to the ROE up to the upper end of the zone of reasonableness established by FERC</t>
    </r>
    <r>
      <rPr>
        <b/>
        <sz val="10"/>
        <color rgb="FFFF0000"/>
        <rFont val="Times New Roman"/>
        <family val="1"/>
      </rPr>
      <t>.</t>
    </r>
  </si>
  <si>
    <r>
      <t>ADIT-282-Proration-</t>
    </r>
    <r>
      <rPr>
        <b/>
        <sz val="12"/>
        <rFont val="Arial Narrow"/>
        <family val="2"/>
      </rPr>
      <t>Note A</t>
    </r>
  </si>
  <si>
    <r>
      <t>ADIT-283-Proration-</t>
    </r>
    <r>
      <rPr>
        <b/>
        <sz val="12"/>
        <rFont val="Arial Narrow"/>
        <family val="2"/>
      </rPr>
      <t>Note B</t>
    </r>
  </si>
  <si>
    <r>
      <t>ADIT-190-Proration-</t>
    </r>
    <r>
      <rPr>
        <b/>
        <sz val="12"/>
        <rFont val="Arial Narrow"/>
        <family val="2"/>
      </rPr>
      <t>Note C</t>
    </r>
  </si>
  <si>
    <r>
      <t>ADIT-282-Proration-</t>
    </r>
    <r>
      <rPr>
        <b/>
        <sz val="10"/>
        <rFont val="Arial Narrow"/>
        <family val="2"/>
      </rPr>
      <t>Note A</t>
    </r>
  </si>
  <si>
    <r>
      <t>ADIT-283-Proration-</t>
    </r>
    <r>
      <rPr>
        <b/>
        <sz val="10"/>
        <rFont val="Arial Narrow"/>
        <family val="2"/>
      </rPr>
      <t>Note B</t>
    </r>
  </si>
  <si>
    <r>
      <t>ADIT-190-Proration-</t>
    </r>
    <r>
      <rPr>
        <b/>
        <sz val="10"/>
        <rFont val="Arial Narrow"/>
        <family val="2"/>
      </rPr>
      <t>Note C</t>
    </r>
  </si>
  <si>
    <t>Calculate using 13 month average balance, reconciling to FERC Form No. 1 by Page, Line, and Column as shown in Attachment 4 for inputs on page 2 of 5 above, except ADIT, page 2, lines 19-22, which is on Attachment 8a or 8e and shown on Attachment 5. Calculate using 13 month average balance, reconciling to FERC Form No. 1 by Page, Line, and Column as shown in Attachment 5 for inputs on lines 27, 28 and 29 of page 4 of 5 above.  For the first Rate Year, as defined in the Protocols, GLH will use thirteen months of balances in calculating the 13- month average for the determination of the projected net revenue requirement</t>
  </si>
  <si>
    <t>Project True-Up Adjustment is calculated on the Attachment GG - GLH and Attachment MM - GLH True-Up Template (see col. K). For projects other than Attachment GG or MM, the Project True-up Adjustment is calculated on Attachment 3.</t>
  </si>
  <si>
    <t>1) From Attachment GG - GLH True-Up Calculation, Column G and Attachment MM - GLH True-Up Calculation, Column G, and Attachment O-GLH.</t>
  </si>
  <si>
    <t>Projected end of year ADIT must be based solely on enacted tax law.  No assumptions for future estimated changes in tax law may be forecasted.</t>
  </si>
  <si>
    <r>
      <t xml:space="preserve">Only amounts in ADIT-190 related to net operating loss </t>
    </r>
    <r>
      <rPr>
        <strike/>
        <sz val="12"/>
        <rFont val="Arial Narrow"/>
        <family val="2"/>
      </rPr>
      <t>NOL</t>
    </r>
    <r>
      <rPr>
        <sz val="12"/>
        <rFont val="Arial Narrow"/>
        <family val="2"/>
      </rPr>
      <t xml:space="preserve"> carryforwards, if applicable, are subject to proration.  See Line 18 in Attach 8c and 8d.</t>
    </r>
  </si>
  <si>
    <t>Actual end of year ADIT must be based solely on enacted tax law.  No assumptions for future estimated changes in tax law may be forecasted.</t>
  </si>
  <si>
    <t>Page 1 line 14</t>
  </si>
  <si>
    <t>Note A and Note D</t>
  </si>
  <si>
    <t xml:space="preserve">     Less Ancillary Service Expenses included in Transmission O&amp;M Accounts (Note U)</t>
  </si>
  <si>
    <t>Removes transmission plant determined by Commission order to be state-jurisdictional according to the seven-factor test (until Form 1 balances are adjusted to reflect application of seven-factor test) or removes transmission plant that is not under MISO functional control.</t>
  </si>
  <si>
    <t xml:space="preserve">     Less Ancillary Service Expenses included in Transmission O&amp;M Accounts </t>
  </si>
  <si>
    <t>Less: Ancillary Service Expenses included in above</t>
  </si>
  <si>
    <t>Attach O, p 3, line 1a col 5</t>
  </si>
  <si>
    <t>34a</t>
  </si>
  <si>
    <t>ACCOUNT 456 (OTHER ELECTRIC REVENUES)</t>
  </si>
  <si>
    <t>(Note NN)</t>
  </si>
  <si>
    <t>ACCOUNT 456.1 (REVENUES FROM TRANSMISSION OF ELECTRICTY OF OTHERS)</t>
  </si>
  <si>
    <t>NN</t>
  </si>
  <si>
    <t>End</t>
  </si>
  <si>
    <t xml:space="preserve">  Account No. 456</t>
  </si>
  <si>
    <t>Includes income related only to transmission facilities, such as pole attachments, rentals and special use, less any amounts related to Non-MISO assets or services.  For clarification, GLH commits to provide a workpaper itemizing each revenue source in order for interested parties to  determine which revenues are related to MISO assets and services versus Non-MISO assets and services.  Non-MISO assets are transmission assets not under MISO functional control.</t>
  </si>
  <si>
    <t>Grandfathered agreements whose rates have been changed to eliminate or mitigate pancaking - the revenues are included in Line 4 Page 1 and the loads are included in Line 13, Page 1.  Grandfathered agreements whose rates have not been changed to eliminate or mitigate pancaking - the revenues are not included in Line 4, Page 1 nor are the loads included in Line 13, Page 1. This line will exclude any amounts related to Non-MISO assets or services.  For clarification, GLH commits to provide a workpaper itemizing each revenue source in order for interested parties to determine which revenues are related to MISO assets and services versus Non-MISO assets and services.  Non-MISO assets are transmission assets not under MISO functional control.</t>
  </si>
  <si>
    <t xml:space="preserve">Includes scheduling, system control and dispatch costs recorded in Accounts 561.1 through 561.3 and which are recovered in Schedule 1 or Schedule 24 rates.  Also excludes Account 561.4 and Account 561.8.  </t>
  </si>
  <si>
    <t>Includes revenue from electric operations properly credited to MISO customers and not includible in other accounts, such as compensation for minor or incidental services provided for others. GLH commits to provide a workpaper itemizing each revenue source for interested parties to determine which revenues should be reflected herein.</t>
  </si>
  <si>
    <t>The revenues credited on Page 1, Lines 2-6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 facilities not included in this template (e.g., direct assignment facilities and GSUs) which are not recovered under this Rate Formula Template.  For clarification, GLH commits to provide a workpaper itemizing each revenue source in order for interested parties to determine which revenues are related to MISO assets and services versus Non-MISO assets and services.  Non-MISO assets are transmission assets not under MISO functional control.</t>
  </si>
  <si>
    <t>Account 456.1 entry shall be the annual total of the quarterly values reported at Form 1, Page 330.x.n., less any amounts related to Non-MISO assets or services.  For clarification, GLH commits to provide a workpaper itemizing each revenue source in order for interested parties to determine which revenues are related to MISO assets and services versus Non-MISO assets and services.  Non-MISO assets are transmission assets not under MISO functional control.</t>
  </si>
  <si>
    <t>Attachment 3, Page 1, Line 3, Col. (G)</t>
  </si>
  <si>
    <t>For each project or Attachment O-GLH, the utility will populate the formula rate with the inputs for the True-Up Year.  The revenue requirements, based on actual operating results for the True-Up Year, associated with the projects and Attachment O-GLH will then be entered in Col. (C) above.  Column (D) contains the actual revenues received associated with Attachment GG-GLH, Attachment MM-GLH and Attachment O-GLH paid by MISO to the utility during the True-Up Year.  Col. (E) is the Net Under/(Over) Collection where Col. (D) is subtracted from Col. (C).   Column (F), line 2 is the interest calculated in accordance with Attachment O-GLH Annual True-Up, Information Exchange and Challenge Procedures.  Column (F), lines 2x contain the interest amounts calculated in column (J) of the Annual Attachment GG True-Up Calculation and the Annual Attachment MM True-Up Calculation.  Col. (G) is the sum of the Net Under/(Over) Collection in Col. (E) and the interest in Col. (F).</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</si>
  <si>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</si>
  <si>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</si>
  <si>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Plus:  Regulatory Adjustment</t>
  </si>
  <si>
    <t xml:space="preserve">LESS ATTACHMENT GG ADJUSTMENT [Attachment GG-GLH, Page 2, Line 17, Column 14]   </t>
  </si>
  <si>
    <t>(Note V)</t>
  </si>
  <si>
    <t xml:space="preserve">LESS ATTACHMENT MM ADJUSTMENT [Attachment MM-GLH, Page 2, Line 17, Column 14]  </t>
  </si>
  <si>
    <t xml:space="preserve"> (Note Z)</t>
  </si>
  <si>
    <t>(Note OO)</t>
  </si>
  <si>
    <t>OO</t>
  </si>
  <si>
    <t xml:space="preserve">Plus Incentives on Attachment 1 for projects other than those included in </t>
  </si>
  <si>
    <t>Incentives from Projects other than those in Attachment GG- GLH and Attachment MM-GLH</t>
  </si>
  <si>
    <t>(16b)</t>
  </si>
  <si>
    <t>Regulatory Adjustment</t>
  </si>
  <si>
    <t>(Sum Col. 16a, 16b &amp; 17)</t>
  </si>
  <si>
    <t>Attachment O, Line 30c     (Note K)</t>
  </si>
  <si>
    <t>(Line 29 - Line 30 - Line 30a + Line 30b + Line 30c)</t>
  </si>
  <si>
    <t>A Competitive Bid Concession reflects any commitment by GLH to MISO to charge less than GLH’s Ceiling Rate, regardless of how that Competitive Bid Concession is calculated.  For each project, the amount of the Competitive Bid Concession will be zero or a reduction to the annual transmission revenue requirement in one or more years.   GLH will include, as part of its Annual Update, (i) an explanation of the basis for any Competitive Bid Concession, (ii) a calculation of the Competitive Bid Concession, and (iii) any documentation needed to support the calculation of the Competitive Bid Concession.  The amount in Column 17  above equals the amount by which the annual revenue requirement is reduced from the ceiling rate  (see line 15 col. (17)).</t>
  </si>
  <si>
    <t>Peak as would be reported on Page 401, Column d of Form 1 at the time of the applicable pricing zone coincident monthly peaks.  Only MISO-related items are included.</t>
  </si>
  <si>
    <t>Labeled LF, LU, IF, IU on Pages 310-311 of Form 1 at the time of the applicable pricing zone coincident monthly peaks.  Only MISO-related items are included.</t>
  </si>
  <si>
    <t>Labeled LF on Page 328 of Form 1 at the time of the applicable pricing zone coincident monthly peaks.  Only MISO-related items are included.</t>
  </si>
  <si>
    <t>The FERC's annual charges for the year assessed the Transmission Owner for service under this formula rate.   Only MISO-related items are included.</t>
  </si>
  <si>
    <t xml:space="preserve">     T=SIT * (1-FIT) + FIT - (p*FIT)</t>
  </si>
  <si>
    <t>Description</t>
  </si>
  <si>
    <t xml:space="preserve">     FIT,  SIT &amp; p </t>
  </si>
  <si>
    <t>State</t>
  </si>
  <si>
    <t>(Line 22) times (Page 4, Line 30) times (Page 2, Line 30)</t>
  </si>
  <si>
    <t xml:space="preserve">(Excess)/Deficient Deferred Income Taxes </t>
  </si>
  <si>
    <t>Attachment 8g, Line 4, Col. (K)</t>
  </si>
  <si>
    <t xml:space="preserve">(Excess)/Deficient Deferred Income Tax Adjustment </t>
  </si>
  <si>
    <t>(Excess)/Deficient Deferred Income Taxes – Protected (Attach 8g, Line 1, Column L)</t>
  </si>
  <si>
    <t>(Excess)/Deficient Deferred Income Taxes – Unprotected (Attach 8g, Line 1, Column M)</t>
  </si>
  <si>
    <t>(Excess)/Deficient Deferred Income Taxes – Protected (Attach 8g, Line 2, Column L)</t>
  </si>
  <si>
    <t>(Excess)/Deficient Deferred Income Taxes – Unprotected (Attach 8g, Line 2, Column M)</t>
  </si>
  <si>
    <t>(Excess)/Deficient Deferred Income Taxes – Protected (Attach 8g, Line 3, Column L)</t>
  </si>
  <si>
    <t>(Excess)/Deficient Deferred Income Taxes – Unprotected (Attach 8g, Line 3, Column M)</t>
  </si>
  <si>
    <t>(Excess)/Deficient Deferred Income Taxes – Protected (Attach 8g, Line 1, Column R)</t>
  </si>
  <si>
    <t>(Excess)/Deficient Deferred Income Taxes – Unprotected (Attach 8g, Line 1, Column S)</t>
  </si>
  <si>
    <t>(Excess)/Deficient Deferred Income Taxes – Protected (Attach 8g, Line 2, Column R)</t>
  </si>
  <si>
    <t>(Excess)/Deficient Deferred Income Taxes – Unprotected (Attach 8g, Line 2, Column S)</t>
  </si>
  <si>
    <t>(Excess)/Deficient Deferred Income Taxes – Protected (Attach 8g, Line 3, Column R)</t>
  </si>
  <si>
    <t>(Excess)/Deficient Deferred Income Taxes – Unprotected (Attach 8g, Line 3, Column S)</t>
  </si>
  <si>
    <t>Only amounts in ADIT-190 related to net operating loss carryforwards, if applicable, are subject to proration.  See Line 18 in Attach 8c and 8d.</t>
  </si>
  <si>
    <t>Attachment 8g</t>
  </si>
  <si>
    <t>(Excess)/Deficient ADIT Worksheet</t>
  </si>
  <si>
    <t>(A)</t>
  </si>
  <si>
    <t>(B)</t>
  </si>
  <si>
    <t>(C)</t>
  </si>
  <si>
    <t>(D)</t>
  </si>
  <si>
    <t>(E) = (C) + (D)</t>
  </si>
  <si>
    <t>(F)</t>
  </si>
  <si>
    <t>(G)</t>
  </si>
  <si>
    <t>(H)</t>
  </si>
  <si>
    <t>(I) 
= (C) / (F)</t>
  </si>
  <si>
    <t>(J) 
= (D) / (G)</t>
  </si>
  <si>
    <t>(K) = (I) + (J)</t>
  </si>
  <si>
    <t>(L)</t>
  </si>
  <si>
    <t>(M)</t>
  </si>
  <si>
    <t>(N) = (L) + (M)</t>
  </si>
  <si>
    <t>(O) 
= (I) * -1</t>
  </si>
  <si>
    <t>(P) 
= (J) * -1</t>
  </si>
  <si>
    <t>(Q) = (O) + (P)</t>
  </si>
  <si>
    <t>(R) 
= (L) + (O)</t>
  </si>
  <si>
    <t>(S) 
= (M) + (P)</t>
  </si>
  <si>
    <t>(T) = ( R) + (S)</t>
  </si>
  <si>
    <t>(U)</t>
  </si>
  <si>
    <r>
      <t>(Excess)/Deficient ADIT as originally recorded at remeasurement</t>
    </r>
    <r>
      <rPr>
        <sz val="10"/>
        <rFont val="Arial Narrow"/>
        <family val="2"/>
      </rPr>
      <t xml:space="preserve"> (d)</t>
    </r>
  </si>
  <si>
    <r>
      <t xml:space="preserve">Amortization Period </t>
    </r>
    <r>
      <rPr>
        <sz val="10"/>
        <rFont val="Arial Narrow"/>
        <family val="2"/>
      </rPr>
      <t>(years)</t>
    </r>
  </si>
  <si>
    <t>Current Year Amortization</t>
  </si>
  <si>
    <r>
      <t xml:space="preserve">Unamortized (Excess)/Deficient ADIT </t>
    </r>
    <r>
      <rPr>
        <sz val="10"/>
        <rFont val="Arial Narrow"/>
        <family val="2"/>
      </rPr>
      <t>(d)</t>
    </r>
  </si>
  <si>
    <t>(Excess)/Deficient Deferred Income Taxes</t>
  </si>
  <si>
    <t>Amortization Amount</t>
  </si>
  <si>
    <t>Beginning of Year Balance</t>
  </si>
  <si>
    <t>End of Year Balance</t>
  </si>
  <si>
    <r>
      <t xml:space="preserve"> FERC Account No. </t>
    </r>
    <r>
      <rPr>
        <sz val="10"/>
        <rFont val="Arial Narrow"/>
        <family val="2"/>
      </rPr>
      <t>(a)</t>
    </r>
  </si>
  <si>
    <t>Protected (Attachment 8h, Column G)</t>
  </si>
  <si>
    <t>Unprotected (Attachment 8h, Column H)</t>
  </si>
  <si>
    <r>
      <t xml:space="preserve">Protected 
</t>
    </r>
    <r>
      <rPr>
        <sz val="10"/>
        <rFont val="Arial Narrow"/>
        <family val="2"/>
      </rPr>
      <t>(f) (g)</t>
    </r>
  </si>
  <si>
    <r>
      <t xml:space="preserve">Unprotected 
</t>
    </r>
    <r>
      <rPr>
        <sz val="10"/>
        <rFont val="Arial Narrow"/>
        <family val="2"/>
      </rPr>
      <t>(g)</t>
    </r>
  </si>
  <si>
    <r>
      <t xml:space="preserve"> FERC Account No. </t>
    </r>
    <r>
      <rPr>
        <sz val="10"/>
        <rFont val="Arial Narrow"/>
        <family val="2"/>
      </rPr>
      <t>(e)</t>
    </r>
  </si>
  <si>
    <r>
      <t xml:space="preserve">Protected 
</t>
    </r>
    <r>
      <rPr>
        <sz val="10"/>
        <rFont val="Arial Narrow"/>
        <family val="2"/>
      </rPr>
      <t>(f)</t>
    </r>
  </si>
  <si>
    <t>Unprotected</t>
  </si>
  <si>
    <r>
      <t xml:space="preserve">Total 
</t>
    </r>
    <r>
      <rPr>
        <sz val="10"/>
        <rFont val="Arial Narrow"/>
        <family val="2"/>
      </rPr>
      <t>(g)</t>
    </r>
  </si>
  <si>
    <t>Protected</t>
  </si>
  <si>
    <t>Reference</t>
  </si>
  <si>
    <t>FERC Account 190</t>
  </si>
  <si>
    <t>410.1</t>
  </si>
  <si>
    <t>Internal Records</t>
  </si>
  <si>
    <t>1[]</t>
  </si>
  <si>
    <t>(b), []</t>
  </si>
  <si>
    <t>Total FERC Account 190</t>
  </si>
  <si>
    <t>FERC Account 282</t>
  </si>
  <si>
    <t>411.1</t>
  </si>
  <si>
    <t>2[]</t>
  </si>
  <si>
    <t>Total FERC Account 282</t>
  </si>
  <si>
    <t>FERC Account 283</t>
  </si>
  <si>
    <t>3[]</t>
  </si>
  <si>
    <t>Total FERC Account 283</t>
  </si>
  <si>
    <r>
      <t xml:space="preserve">TOTAL </t>
    </r>
    <r>
      <rPr>
        <sz val="10"/>
        <rFont val="Arial Narrow"/>
        <family val="2"/>
      </rPr>
      <t>(Line 1 + Line 2 + Line 3)</t>
    </r>
  </si>
  <si>
    <t>Summary by Account</t>
  </si>
  <si>
    <t xml:space="preserve">Account Total </t>
  </si>
  <si>
    <t>Notes</t>
  </si>
  <si>
    <t>Specifies ADIT accounts to which (excess) or deficient ADIT has been booked.</t>
  </si>
  <si>
    <t xml:space="preserve">GridLiance Heartland LLC may add or modify notes to explain items without a FPA Section 205 filing. </t>
  </si>
  <si>
    <t xml:space="preserve">Total equals the sum of sublines a through [], where [] is the last subline denoted by a letter.  GridLiance Heartland LLC may add or remove sublines without a FPA Section 205 filing. </t>
  </si>
  <si>
    <t>Enter credit balances as negatives.</t>
  </si>
  <si>
    <t>(Excess)/deficient ADIT to be amortized to FERC Account 411.1 or 410.1, respectively.</t>
  </si>
  <si>
    <r>
      <t>Amortization of excess (or deficient) deferred income taxes</t>
    </r>
    <r>
      <rPr>
        <sz val="10"/>
        <rFont val="Arial Narrow"/>
        <family val="2"/>
      </rPr>
      <t xml:space="preserve"> subject to ARAM</t>
    </r>
    <r>
      <rPr>
        <sz val="10"/>
        <color theme="1"/>
        <rFont val="Arial Narrow"/>
        <family val="2"/>
      </rPr>
      <t xml:space="preserve"> will not begin until reversal occurs (</t>
    </r>
    <r>
      <rPr>
        <i/>
        <sz val="10"/>
        <color theme="1"/>
        <rFont val="Arial Narrow"/>
        <family val="2"/>
      </rPr>
      <t xml:space="preserve">i.e., </t>
    </r>
    <r>
      <rPr>
        <sz val="10"/>
        <color theme="1"/>
        <rFont val="Arial Narrow"/>
        <family val="2"/>
      </rPr>
      <t xml:space="preserve">when the trend of book depreciation exceeding tax depreciation—or vice versa—reverses).  Before reversal, values for such items will not be included in current year amortization. </t>
    </r>
  </si>
  <si>
    <t xml:space="preserve">In accordance with FERC guidance for ratemaking purposes, GridLiance Heartland LLC only grosses up the current year amortization value on Attachment O, Page 3/5, Line 26a; there is no gross-up to any values for accounting purposes.   </t>
  </si>
  <si>
    <t>FERC Form 1, page 234, column (b)</t>
  </si>
  <si>
    <t>FERC Form 1, page 274, column (b)</t>
  </si>
  <si>
    <t>FERC Form 1, page 276, column (b)</t>
  </si>
  <si>
    <t>FERC Form 1, page 234, column (c)</t>
  </si>
  <si>
    <t>FERC Form 1, page 275, column (k)</t>
  </si>
  <si>
    <t>FERC Form 1, page 276, column (k)</t>
  </si>
  <si>
    <t>Attachment 8h</t>
  </si>
  <si>
    <t xml:space="preserve">ADIT Remeasurement      </t>
  </si>
  <si>
    <t xml:space="preserve">Illustrative 2018 ADIT Remeasurement </t>
  </si>
  <si>
    <t>Balances as of December 31, 2018</t>
  </si>
  <si>
    <t>(E)</t>
  </si>
  <si>
    <t>(I)</t>
  </si>
  <si>
    <t>= (B) x (C)</t>
  </si>
  <si>
    <t>= (D) x Line 9</t>
  </si>
  <si>
    <t>= (E) - (F)</t>
  </si>
  <si>
    <t>Tax Effected Balances</t>
  </si>
  <si>
    <t>(Excess)/Deficient Deferred IT</t>
  </si>
  <si>
    <t>Pre-Tax Rate Change Balances</t>
  </si>
  <si>
    <t>Allocation
Note (a)</t>
  </si>
  <si>
    <t>Allocated Pre-Tax Rate Change Balances</t>
  </si>
  <si>
    <t>Pre- Tax Rate Change</t>
  </si>
  <si>
    <t>Post- Tax Rate Change</t>
  </si>
  <si>
    <t>(2018 Illustrative Remeasurement) Net Operating Loss</t>
  </si>
  <si>
    <t>(2018 Illustrative Remeasurement) Electric</t>
  </si>
  <si>
    <t>(2018 Illustrative Remeasurement) Prepaid Insurance</t>
  </si>
  <si>
    <t>Total ADIT (Line 1 + Line 2 + Line 3)</t>
  </si>
  <si>
    <t>Tax Rates</t>
  </si>
  <si>
    <t>Pre Tax Rate</t>
  </si>
  <si>
    <t xml:space="preserve">Post Tax Rate </t>
  </si>
  <si>
    <t>Federal</t>
  </si>
  <si>
    <t>Combined Rate</t>
  </si>
  <si>
    <t>Federal (net of FBOS &amp; SBOF)</t>
  </si>
  <si>
    <t>Effective Tax Rate (net of tax exempt adjustment)</t>
  </si>
  <si>
    <t>Tax Exempt Ownership Percentage</t>
  </si>
  <si>
    <t>Gross-Up factor - net of TE [1 / (1-effective tax rate)]</t>
  </si>
  <si>
    <t>Federal Benefit of State Rates (FBOS)</t>
  </si>
  <si>
    <t>State Benefit of Federal Rate (SBOF)</t>
  </si>
  <si>
    <t>This sheet is replicable for each remeasurement of (excess)/deficient deferred income taxes without an FPA Section 205 filing.</t>
  </si>
  <si>
    <t>GridLiance Heartland LLC allocates total company ADIT between MISO Facilities and Non-MISO Facilities based on net plant ratios.  The net plant ratio corresponding to the current year of remeasurement is used for all items listed here.  Refer to page 106b of the FERC Form No. 1 for additional references.</t>
  </si>
  <si>
    <t>(1-(((1-Line 6)*(1-Line 5))/(1-Line 6*Line 5*Line 13)))</t>
  </si>
  <si>
    <t>227.5.c, 227.8.c &amp; 227.16.c</t>
  </si>
  <si>
    <t>The Ohio River Crossing-MISO Assets</t>
  </si>
  <si>
    <t xml:space="preserve">     T=1 - {[(1 - SIT) * (1 - FIT)] / (1 - SIT * FIT * p)} </t>
  </si>
  <si>
    <t>WCLTD = Page 4, Line 27, R = Page 4, Line 30</t>
  </si>
  <si>
    <t>The currently effective income tax rate, where FIT is the weighted average Federal income tax rate; SIT is the weighted average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and Deficient Deferred Income Taxes reduce or increase income tax expense by the amount of the excess or deficient expense multiplied by (T/1-T)(page 3, line 26a).</t>
  </si>
  <si>
    <t>Per Commission Order dated January 31,2020 in Docket No. EC20-13, reflects a $2,650,000 fixed annual credit amount for the four transmission lines to be transferred over to MISO's functional control, starting on the day after the closing date of the transaction in Docket No. EC20-13 and continuing for 60 months (Rate Mitigation Period).   Also reflects an additional $950,000 fixed annual credit amount for the remaining two transmission lines, once transferred over to MISO's functional control (expected to be on or about June 1, 2022) from the date of transfer of functional control to MISO through the end of the Rate Mitigation Period.  Amount to be entered as negative.</t>
  </si>
  <si>
    <t>Per Commission Order dated January 31, 2020 in Docket No. EC20-13, reflects a $2,650,000 fixed annual credit amount for the four transmission lines to be transferred over to MISO's functional control, starting on the day after the closing date of the transaction in Docket No. EC20-13 and continuing for 60 months (Rate Mitigation Period).   Also reflects an additional $950,000 fixed annual credit amount for the remaining two transmission lines, once transferred over to MISO's functional control (expected to be on or about June 1, 2022) from the date of transfer of functional control to MISO through the end of the Rate Mitigation Period.   Amount to be entered as negative.</t>
  </si>
  <si>
    <t>For the 12 months ended 12/31/2022</t>
  </si>
  <si>
    <t>2020</t>
  </si>
  <si>
    <t>2021</t>
  </si>
  <si>
    <t>Costs in the Year Ending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</si>
</sst>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quot;$&quot;#,##0"/>
    <numFmt numFmtId="167" formatCode="_(* #,##0_);_(* \(#,##0\);_(* &quot;-&quot;??_);_(@_)"/>
    <numFmt numFmtId="168" formatCode="&quot;$&quot;#,##0.000"/>
    <numFmt numFmtId="169" formatCode="0.0000"/>
    <numFmt numFmtId="170" formatCode="0.000%"/>
    <numFmt numFmtId="171" formatCode="#,##0.0"/>
    <numFmt numFmtId="172" formatCode="_(* #,##0.0000_);_(* \(#,##0.0000\);_(* &quot;-&quot;??_);_(@_)"/>
    <numFmt numFmtId="173" formatCode="#,##0.0000"/>
    <numFmt numFmtId="174" formatCode="_(* #,##0.00000_);_(* \(#,##0.00000\);_(* &quot;-&quot;??_);_(@_)"/>
    <numFmt numFmtId="175" formatCode="_(* #,##0.0000000_);_(* \(#,##0.0000000\);_(* &quot;-&quot;??_);_(@_)"/>
    <numFmt numFmtId="176" formatCode="_(* #,##0.0_);_(* \(#,##0.0\);_(* &quot;-&quot;??_);_(@_)"/>
    <numFmt numFmtId="177" formatCode="#,##0.000"/>
    <numFmt numFmtId="178" formatCode="#,##0.00000"/>
    <numFmt numFmtId="179" formatCode="0_);\(0\)"/>
    <numFmt numFmtId="180" formatCode="&quot;$&quot;#,##0.0000"/>
    <numFmt numFmtId="181" formatCode="_(&quot;$&quot;* #,##0_);_(&quot;$&quot;* \(#,##0\);_(&quot;$&quot;* &quot;-&quot;??_);_(@_)"/>
    <numFmt numFmtId="182" formatCode="0.0000%"/>
    <numFmt numFmtId="183" formatCode="0.00000%"/>
    <numFmt numFmtId="184" formatCode="_([$€-2]* #,##0.00_);_([$€-2]* \(#,##0.00\);_([$€-2]* &quot;-&quot;??_)"/>
    <numFmt numFmtId="185" formatCode="[$-409]mmmm\ d\,\ yyyy;@"/>
    <numFmt numFmtId="186" formatCode="_(* #,##0.000000_);_(* \(#,##0.000000\);_(* &quot;-&quot;??_);_(@_)"/>
    <numFmt numFmtId="187" formatCode="0.0%"/>
  </numFmts>
  <fonts count="68">
    <font>
      <sz val="12"/>
      <name val="Arial MT"/>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name val="Arial"/>
      <family val="2"/>
    </font>
    <font>
      <sz val="10"/>
      <name val="Times New Roman"/>
      <family val="1"/>
    </font>
    <font>
      <b/>
      <i/>
      <strike/>
      <sz val="10"/>
      <name val="Times New Roman"/>
      <family val="1"/>
    </font>
    <font>
      <sz val="10"/>
      <color indexed="10"/>
      <name val="Times New Roman"/>
      <family val="1"/>
    </font>
    <font>
      <sz val="12"/>
      <name val="Times New Roman"/>
      <family val="1"/>
    </font>
    <font>
      <strike/>
      <sz val="10"/>
      <name val="Times New Roman"/>
      <family val="1"/>
    </font>
    <font>
      <b/>
      <sz val="10"/>
      <name val="Times New Roman"/>
      <family val="1"/>
    </font>
    <font>
      <sz val="10"/>
      <color indexed="40"/>
      <name val="Times New Roman"/>
      <family val="1"/>
    </font>
    <font>
      <sz val="12"/>
      <name val="Arial Narrow"/>
      <family val="2"/>
    </font>
    <font>
      <strike/>
      <sz val="10"/>
      <color indexed="10"/>
      <name val="Times New Roman"/>
      <family val="1"/>
    </font>
    <font>
      <u/>
      <sz val="10"/>
      <name val="Times New Roman"/>
      <family val="1"/>
    </font>
    <font>
      <sz val="10"/>
      <color rgb="FFFF0000"/>
      <name val="Times New Roman"/>
      <family val="1"/>
    </font>
    <font>
      <sz val="10"/>
      <color indexed="17"/>
      <name val="Times New Roman"/>
      <family val="1"/>
    </font>
    <font>
      <b/>
      <u/>
      <sz val="10"/>
      <name val="Times New Roman"/>
      <family val="1"/>
    </font>
    <font>
      <sz val="10"/>
      <color indexed="8"/>
      <name val="Times New Roman"/>
      <family val="1"/>
    </font>
    <font>
      <sz val="10"/>
      <name val="Arial Narrow"/>
      <family val="2"/>
    </font>
    <font>
      <sz val="12"/>
      <name val="Arial"/>
      <family val="2"/>
    </font>
    <font>
      <b/>
      <sz val="12"/>
      <name val="Arial Narrow"/>
      <family val="2"/>
    </font>
    <font>
      <sz val="10"/>
      <color theme="1"/>
      <name val="Times New Roman"/>
      <family val="1"/>
    </font>
    <font>
      <vertAlign val="superscript"/>
      <sz val="10"/>
      <color theme="1"/>
      <name val="Times New Roman"/>
      <family val="1"/>
    </font>
    <font>
      <sz val="11"/>
      <name val="Times New Roman"/>
      <family val="1"/>
    </font>
    <font>
      <sz val="11"/>
      <color indexed="40"/>
      <name val="Times New Roman"/>
      <family val="1"/>
    </font>
    <font>
      <sz val="9"/>
      <name val="Helv"/>
      <family val="2"/>
    </font>
    <font>
      <u/>
      <sz val="11"/>
      <name val="Garamond"/>
      <family val="1"/>
    </font>
    <font>
      <sz val="11"/>
      <name val="Garamond"/>
      <family val="1"/>
    </font>
    <font>
      <b/>
      <sz val="11"/>
      <name val="Garamond"/>
      <family val="1"/>
    </font>
    <font>
      <b/>
      <u/>
      <sz val="10"/>
      <name val="Arial"/>
      <family val="2"/>
    </font>
    <font>
      <b/>
      <sz val="11"/>
      <name val="Arial"/>
      <family val="2"/>
    </font>
    <font>
      <b/>
      <sz val="10"/>
      <name val="Arial"/>
      <family val="2"/>
    </font>
    <font>
      <sz val="14"/>
      <name val="Arial"/>
      <family val="2"/>
    </font>
    <font>
      <b/>
      <sz val="12"/>
      <name val="Arial"/>
      <family val="2"/>
    </font>
    <font>
      <b/>
      <sz val="10"/>
      <color rgb="FFFF0000"/>
      <name val="Times New Roman"/>
      <family val="1"/>
    </font>
    <font>
      <b/>
      <u/>
      <sz val="10"/>
      <color rgb="FFFF0000"/>
      <name val="Times New Roman"/>
      <family val="1"/>
    </font>
    <font>
      <b/>
      <strike/>
      <sz val="10"/>
      <color rgb="FFFF0000"/>
      <name val="Times New Roman"/>
      <family val="1"/>
    </font>
    <font>
      <b/>
      <sz val="10"/>
      <name val="Arial Narrow"/>
      <family val="2"/>
    </font>
    <font>
      <strike/>
      <sz val="12"/>
      <name val="Arial Narrow"/>
      <family val="2"/>
    </font>
    <font>
      <sz val="10"/>
      <color theme="1"/>
      <name val="Arial Narrow"/>
      <family val="2"/>
    </font>
    <font>
      <b/>
      <u val="singleAccounting"/>
      <sz val="10"/>
      <name val="Arial Narrow"/>
      <family val="2"/>
    </font>
    <font>
      <b/>
      <sz val="10"/>
      <color theme="1"/>
      <name val="Arial Narrow"/>
      <family val="2"/>
    </font>
    <font>
      <u/>
      <sz val="10"/>
      <name val="Arial Narrow"/>
      <family val="2"/>
    </font>
    <font>
      <b/>
      <u/>
      <sz val="10"/>
      <name val="Arial Narrow"/>
      <family val="2"/>
    </font>
    <font>
      <i/>
      <sz val="10"/>
      <name val="Arial Narrow"/>
      <family val="2"/>
    </font>
    <font>
      <u/>
      <sz val="10"/>
      <color theme="1"/>
      <name val="Arial Narrow"/>
      <family val="2"/>
    </font>
    <font>
      <u val="doubleAccounting"/>
      <sz val="10"/>
      <name val="Arial Narrow"/>
      <family val="2"/>
    </font>
    <font>
      <i/>
      <sz val="10"/>
      <color theme="1"/>
      <name val="Arial Narrow"/>
      <family val="2"/>
    </font>
    <font>
      <b/>
      <sz val="11"/>
      <color theme="1"/>
      <name val="Arial Narrow"/>
      <family val="2"/>
    </font>
    <font>
      <b/>
      <sz val="11"/>
      <color rgb="FF0000FF"/>
      <name val="Arial Narrow"/>
      <family val="2"/>
    </font>
    <font>
      <sz val="11"/>
      <color theme="1"/>
      <name val="Arial Narrow"/>
      <family val="2"/>
    </font>
    <font>
      <sz val="11"/>
      <name val="Arial Narrow"/>
      <family val="2"/>
    </font>
    <font>
      <sz val="11"/>
      <name val="Calibri"/>
      <family val="2"/>
      <scheme val="minor"/>
    </font>
    <font>
      <u val="singleAccounting"/>
      <sz val="11"/>
      <color theme="1"/>
      <name val="Arial Narrow"/>
      <family val="2"/>
    </font>
    <font>
      <b/>
      <u val="singleAccounting"/>
      <sz val="11"/>
      <color theme="1"/>
      <name val="Arial Narrow"/>
      <family val="2"/>
    </font>
    <font>
      <b/>
      <u/>
      <sz val="11"/>
      <color theme="1"/>
      <name val="Arial Narrow"/>
      <family val="2"/>
    </font>
    <font>
      <u/>
      <sz val="11"/>
      <color theme="1"/>
      <name val="Arial Narrow"/>
      <family val="2"/>
    </font>
    <font>
      <u/>
      <sz val="11"/>
      <name val="Arial Narrow"/>
      <family val="2"/>
    </font>
    <font>
      <sz val="12"/>
      <name val="Arial MT"/>
      <family val="2"/>
    </font>
    <font>
      <sz val="12"/>
      <name val="Arial MT"/>
    </font>
    <font>
      <sz val="11"/>
      <color indexed="8"/>
      <name val="Calibri"/>
      <family val="2"/>
    </font>
    <font>
      <sz val="10"/>
      <color theme="1"/>
      <name val="Calibri"/>
      <family val="2"/>
    </font>
    <font>
      <sz val="8"/>
      <color rgb="FF000000"/>
      <name val="Verdana"/>
      <family val="2"/>
    </font>
    <font>
      <u/>
      <sz val="11"/>
      <color theme="10"/>
      <name val="Calibri"/>
      <family val="2"/>
      <scheme val="minor"/>
    </font>
    <font>
      <sz val="11"/>
      <color indexed="8"/>
      <name val="Calibri"/>
      <family val="2"/>
      <scheme val="minor"/>
    </font>
  </fonts>
  <fills count="1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theme="1"/>
        <bgColor indexed="64"/>
      </patternFill>
    </fill>
    <fill>
      <patternFill patternType="solid">
        <fgColor rgb="FFFFC000"/>
        <bgColor indexed="64"/>
      </patternFill>
    </fill>
    <fill>
      <patternFill patternType="solid">
        <fgColor rgb="FFFFFFCC"/>
        <bgColor indexed="64"/>
      </patternFill>
    </fill>
    <fill>
      <patternFill patternType="solid">
        <fgColor rgb="FFFF00FF"/>
        <bgColor indexed="64"/>
      </patternFill>
    </fill>
    <fill>
      <patternFill patternType="solid">
        <fgColor rgb="FFF1F5FB"/>
        <bgColor rgb="FF000000"/>
      </patternFill>
    </fill>
  </fills>
  <borders count="41">
    <border>
      <left/>
      <right/>
      <top/>
      <bottom/>
      <diagonal/>
    </border>
    <border>
      <left/>
      <right/>
      <top/>
      <bottom style="medium">
        <color auto="1"/>
      </bottom>
      <diagonal/>
    </border>
    <border>
      <left/>
      <right/>
      <top/>
      <bottom style="double">
        <color auto="1"/>
      </bottom>
      <diagonal/>
    </border>
    <border>
      <left/>
      <right/>
      <top style="thin">
        <color auto="1"/>
      </top>
      <bottom style="double">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medium">
        <color auto="1"/>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style="thin">
        <color auto="1"/>
      </top>
      <bottom/>
      <diagonal/>
    </border>
    <border>
      <left style="medium">
        <color auto="1"/>
      </left>
      <right/>
      <top style="thin">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style="double">
        <color auto="1"/>
      </bottom>
      <diagonal/>
    </border>
    <border>
      <left/>
      <right style="thin">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rgb="FF808080"/>
      </left>
      <right style="thin">
        <color rgb="FF808080"/>
      </right>
      <top style="thin">
        <color rgb="FF808080"/>
      </top>
      <bottom style="thin">
        <color rgb="FF808080"/>
      </bottom>
      <diagonal/>
    </border>
  </borders>
  <cellStyleXfs count="111">
    <xf numFmtId="164" fontId="0" fillId="0" borderId="0" applyProtection="0"/>
    <xf numFmtId="9" fontId="6" fillId="0" borderId="0" applyFont="0" applyFill="0" applyBorder="0" applyAlignment="0" applyProtection="0"/>
    <xf numFmtId="44" fontId="6" fillId="0" borderId="0" applyFont="0" applyFill="0" applyBorder="0" applyAlignment="0" applyProtection="0"/>
    <xf numFmtId="42" fontId="4" fillId="0" borderId="0" applyFont="0" applyFill="0" applyBorder="0" applyAlignment="0" applyProtection="0"/>
    <xf numFmtId="43" fontId="6" fillId="0" borderId="0" applyFont="0" applyFill="0" applyBorder="0" applyAlignment="0" applyProtection="0"/>
    <xf numFmtId="41" fontId="4" fillId="0" borderId="0" applyFont="0" applyFill="0" applyBorder="0" applyAlignment="0" applyProtection="0"/>
    <xf numFmtId="0" fontId="6" fillId="0" borderId="0"/>
    <xf numFmtId="164" fontId="61" fillId="0" borderId="0" applyProtection="0"/>
    <xf numFmtId="164" fontId="61" fillId="0" borderId="0" applyProtection="0"/>
    <xf numFmtId="0" fontId="61" fillId="0" borderId="0" applyProtection="0"/>
    <xf numFmtId="164" fontId="61" fillId="0" borderId="0" applyProtection="0"/>
    <xf numFmtId="164" fontId="61" fillId="0" borderId="0" applyProtection="0"/>
    <xf numFmtId="0" fontId="5" fillId="0" borderId="0"/>
    <xf numFmtId="164" fontId="61" fillId="0" borderId="0" applyProtection="0"/>
    <xf numFmtId="0" fontId="6" fillId="0" borderId="0"/>
    <xf numFmtId="0" fontId="6" fillId="0" borderId="0"/>
    <xf numFmtId="164" fontId="61" fillId="0" borderId="0" applyProtection="0"/>
    <xf numFmtId="0" fontId="6" fillId="0" borderId="0"/>
    <xf numFmtId="0" fontId="6" fillId="0" borderId="0"/>
    <xf numFmtId="7" fontId="28" fillId="0" borderId="0"/>
    <xf numFmtId="9" fontId="6" fillId="0" borderId="0" applyFont="0" applyFill="0" applyBorder="0" applyAlignment="0" applyProtection="0"/>
    <xf numFmtId="0" fontId="26" fillId="0" borderId="0"/>
    <xf numFmtId="0" fontId="5" fillId="0" borderId="0"/>
    <xf numFmtId="43" fontId="5" fillId="0" borderId="0" applyFont="0" applyFill="0" applyBorder="0" applyAlignment="0" applyProtection="0"/>
    <xf numFmtId="0" fontId="5" fillId="0" borderId="0"/>
    <xf numFmtId="0" fontId="6" fillId="0" borderId="0"/>
    <xf numFmtId="41" fontId="6" fillId="0" borderId="0" applyFont="0" applyFill="0" applyBorder="0" applyAlignment="0" applyProtection="0"/>
    <xf numFmtId="0" fontId="6" fillId="0" borderId="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5" fillId="0" borderId="0"/>
    <xf numFmtId="44" fontId="6"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164" fontId="61" fillId="0" borderId="0" applyProtection="0"/>
    <xf numFmtId="164" fontId="61" fillId="0" borderId="0" applyProtection="0"/>
    <xf numFmtId="43" fontId="6" fillId="0" borderId="0" applyFont="0" applyFill="0" applyBorder="0" applyAlignment="0" applyProtection="0"/>
    <xf numFmtId="9" fontId="6" fillId="0" borderId="0" applyFont="0" applyFill="0" applyBorder="0" applyAlignment="0" applyProtection="0"/>
    <xf numFmtId="164" fontId="61" fillId="0" borderId="0" applyProtection="0"/>
    <xf numFmtId="164" fontId="61" fillId="0" borderId="0" applyProtection="0"/>
    <xf numFmtId="43"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0" fontId="5" fillId="0" borderId="0"/>
    <xf numFmtId="184" fontId="7" fillId="0" borderId="0"/>
    <xf numFmtId="43" fontId="7" fillId="0" borderId="0" applyFont="0" applyFill="0" applyBorder="0" applyAlignment="0" applyProtection="0"/>
    <xf numFmtId="0" fontId="6" fillId="0" borderId="0"/>
    <xf numFmtId="0" fontId="22"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9" fontId="5" fillId="0" borderId="0" applyFont="0" applyFill="0" applyBorder="0" applyAlignment="0" applyProtection="0"/>
    <xf numFmtId="0" fontId="5" fillId="0" borderId="0"/>
    <xf numFmtId="43" fontId="6" fillId="0" borderId="0" applyFont="0" applyFill="0" applyBorder="0" applyAlignment="0" applyProtection="0"/>
    <xf numFmtId="43" fontId="6"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4" fontId="6" fillId="0" borderId="0" applyFont="0" applyFill="0" applyBorder="0" applyAlignment="0" applyProtection="0"/>
    <xf numFmtId="164" fontId="62" fillId="0" borderId="0" applyProtection="0"/>
    <xf numFmtId="0" fontId="3" fillId="0" borderId="0"/>
    <xf numFmtId="0" fontId="63" fillId="0" borderId="0"/>
    <xf numFmtId="0" fontId="64" fillId="0" borderId="0"/>
    <xf numFmtId="43" fontId="6" fillId="0" borderId="0" applyFont="0" applyFill="0" applyBorder="0" applyAlignment="0" applyProtection="0"/>
    <xf numFmtId="0" fontId="65" fillId="9" borderId="40" applyNumberFormat="0" applyAlignment="0" applyProtection="0">
      <alignment horizontal="left" vertical="center" indent="1"/>
    </xf>
    <xf numFmtId="0" fontId="3" fillId="0" borderId="0"/>
    <xf numFmtId="9" fontId="3" fillId="0" borderId="0" applyFont="0" applyFill="0" applyBorder="0" applyAlignment="0" applyProtection="0"/>
    <xf numFmtId="44" fontId="3" fillId="0" borderId="0" applyFont="0" applyFill="0" applyBorder="0" applyAlignment="0" applyProtection="0"/>
    <xf numFmtId="164" fontId="61" fillId="0" borderId="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66" fillId="0" borderId="0" applyNumberFormat="0" applyFill="0" applyBorder="0" applyAlignment="0" applyProtection="0"/>
    <xf numFmtId="0" fontId="3"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7" fillId="0" borderId="0"/>
    <xf numFmtId="0" fontId="3" fillId="0" borderId="0"/>
    <xf numFmtId="41" fontId="64" fillId="0" borderId="0" applyFont="0" applyFill="0" applyBorder="0" applyAlignment="0" applyProtection="0"/>
    <xf numFmtId="43" fontId="64" fillId="0" borderId="0" applyFont="0" applyFill="0" applyBorder="0" applyAlignment="0" applyProtection="0"/>
    <xf numFmtId="9" fontId="2" fillId="0" borderId="0" applyFont="0" applyFill="0" applyBorder="0" applyAlignment="0" applyProtection="0"/>
    <xf numFmtId="0" fontId="6" fillId="0" borderId="0"/>
    <xf numFmtId="43" fontId="2" fillId="0" borderId="0" applyFont="0" applyFill="0" applyBorder="0" applyAlignment="0" applyProtection="0"/>
    <xf numFmtId="44" fontId="1" fillId="0" borderId="0" applyFont="0" applyFill="0" applyBorder="0" applyAlignment="0" applyProtection="0"/>
    <xf numFmtId="0" fontId="1" fillId="0" borderId="0"/>
  </cellStyleXfs>
  <cellXfs count="889">
    <xf numFmtId="164" fontId="0" fillId="0" borderId="0" xfId="0"/>
    <xf numFmtId="0" fontId="7" fillId="0" borderId="0" xfId="6" applyFont="1"/>
    <xf numFmtId="164" fontId="7" fillId="0" borderId="0" xfId="0" applyFont="1"/>
    <xf numFmtId="0" fontId="7" fillId="0" borderId="0" xfId="6" applyFont="1" applyAlignment="1">
      <alignment horizontal="right"/>
    </xf>
    <xf numFmtId="164" fontId="7" fillId="0" borderId="0" xfId="7" applyFont="1"/>
    <xf numFmtId="0" fontId="7" fillId="0" borderId="0" xfId="7" applyNumberFormat="1" applyFont="1" applyProtection="1">
      <protection locked="0"/>
    </xf>
    <xf numFmtId="0" fontId="7" fillId="0" borderId="0" xfId="7" applyNumberFormat="1" applyFont="1" applyAlignment="1" applyProtection="1">
      <alignment horizontal="center"/>
      <protection locked="0"/>
    </xf>
    <xf numFmtId="0" fontId="7" fillId="2" borderId="0" xfId="6" applyFont="1" applyFill="1"/>
    <xf numFmtId="0" fontId="7" fillId="2" borderId="0" xfId="7" applyNumberFormat="1" applyFont="1" applyFill="1"/>
    <xf numFmtId="0" fontId="7" fillId="2" borderId="0" xfId="8" applyNumberFormat="1" applyFont="1" applyFill="1" applyAlignment="1">
      <alignment horizontal="right"/>
    </xf>
    <xf numFmtId="3" fontId="7" fillId="0" borderId="0" xfId="7" applyNumberFormat="1" applyFont="1"/>
    <xf numFmtId="3" fontId="7" fillId="0" borderId="0" xfId="7" applyNumberFormat="1" applyFont="1" applyAlignment="1">
      <alignment horizontal="center"/>
    </xf>
    <xf numFmtId="0" fontId="7" fillId="0" borderId="0" xfId="7" applyNumberFormat="1" applyFont="1"/>
    <xf numFmtId="0" fontId="8" fillId="0" borderId="0" xfId="7" applyNumberFormat="1" applyFont="1"/>
    <xf numFmtId="164" fontId="7" fillId="0" borderId="0" xfId="0" applyFont="1" applyAlignment="1">
      <alignment horizontal="center"/>
    </xf>
    <xf numFmtId="49" fontId="7" fillId="0" borderId="0" xfId="7" applyNumberFormat="1" applyFont="1"/>
    <xf numFmtId="49" fontId="7" fillId="0" borderId="0" xfId="7" applyNumberFormat="1" applyFont="1" applyAlignment="1">
      <alignment horizontal="center"/>
    </xf>
    <xf numFmtId="0" fontId="7" fillId="0" borderId="0" xfId="7" applyNumberFormat="1" applyFont="1" applyAlignment="1">
      <alignment horizontal="center"/>
    </xf>
    <xf numFmtId="0" fontId="7" fillId="0" borderId="1" xfId="7" applyNumberFormat="1" applyFont="1" applyBorder="1" applyAlignment="1" applyProtection="1">
      <alignment horizontal="center"/>
      <protection locked="0"/>
    </xf>
    <xf numFmtId="42" fontId="7" fillId="0" borderId="0" xfId="6" applyNumberFormat="1" applyFont="1"/>
    <xf numFmtId="0" fontId="7" fillId="0" borderId="1" xfId="7" applyNumberFormat="1" applyFont="1" applyBorder="1" applyAlignment="1" applyProtection="1">
      <alignment horizontal="centerContinuous"/>
      <protection locked="0"/>
    </xf>
    <xf numFmtId="43" fontId="7" fillId="0" borderId="0" xfId="4" applyFont="1"/>
    <xf numFmtId="3" fontId="7" fillId="0" borderId="0" xfId="6" applyNumberFormat="1" applyFont="1"/>
    <xf numFmtId="3" fontId="7" fillId="0" borderId="0" xfId="7" applyNumberFormat="1" applyFont="1" applyAlignment="1">
      <alignment horizontal="left"/>
    </xf>
    <xf numFmtId="165" fontId="7" fillId="0" borderId="0" xfId="6" applyNumberFormat="1" applyFont="1"/>
    <xf numFmtId="165" fontId="7" fillId="0" borderId="0" xfId="7" applyNumberFormat="1" applyFont="1"/>
    <xf numFmtId="42" fontId="7" fillId="0" borderId="2" xfId="7" applyNumberFormat="1" applyFont="1" applyBorder="1" applyAlignment="1" applyProtection="1">
      <alignment horizontal="right"/>
      <protection locked="0"/>
    </xf>
    <xf numFmtId="166" fontId="9" fillId="0" borderId="0" xfId="0" applyNumberFormat="1" applyFont="1"/>
    <xf numFmtId="164" fontId="9" fillId="0" borderId="0" xfId="0" applyFont="1"/>
    <xf numFmtId="0" fontId="7" fillId="0" borderId="0" xfId="9" applyFont="1" applyAlignment="1" applyProtection="1">
      <alignment horizontal="center"/>
      <protection locked="0"/>
    </xf>
    <xf numFmtId="0" fontId="7" fillId="0" borderId="0" xfId="9" applyFont="1"/>
    <xf numFmtId="0" fontId="7" fillId="0" borderId="0" xfId="9" applyFont="1" applyAlignment="1">
      <alignment horizontal="left"/>
    </xf>
    <xf numFmtId="167" fontId="7" fillId="0" borderId="0" xfId="4" applyNumberFormat="1" applyFont="1"/>
    <xf numFmtId="3" fontId="7" fillId="0" borderId="0" xfId="9" applyNumberFormat="1" applyFont="1"/>
    <xf numFmtId="42" fontId="7" fillId="0" borderId="2" xfId="9" applyNumberFormat="1" applyFont="1" applyBorder="1" applyAlignment="1" applyProtection="1">
      <alignment horizontal="right"/>
      <protection locked="0"/>
    </xf>
    <xf numFmtId="0" fontId="7" fillId="0" borderId="0" xfId="0" applyNumberFormat="1" applyFont="1" applyAlignment="1" applyProtection="1">
      <alignment horizontal="center"/>
      <protection locked="0"/>
    </xf>
    <xf numFmtId="0" fontId="7" fillId="0" borderId="0" xfId="0" applyNumberFormat="1" applyFont="1"/>
    <xf numFmtId="3" fontId="7" fillId="0" borderId="0" xfId="0" applyNumberFormat="1" applyFont="1"/>
    <xf numFmtId="0" fontId="10" fillId="0" borderId="0" xfId="0" applyNumberFormat="1" applyFont="1"/>
    <xf numFmtId="0" fontId="7" fillId="0" borderId="0" xfId="0" applyNumberFormat="1" applyFont="1" applyProtection="1">
      <protection locked="0"/>
    </xf>
    <xf numFmtId="43" fontId="7" fillId="2" borderId="0" xfId="4" applyFont="1" applyFill="1"/>
    <xf numFmtId="43" fontId="7" fillId="2" borderId="1" xfId="4" applyFont="1" applyFill="1" applyBorder="1"/>
    <xf numFmtId="43" fontId="7" fillId="0" borderId="0" xfId="4" applyFont="1" applyAlignment="1">
      <alignment horizontal="center"/>
    </xf>
    <xf numFmtId="0" fontId="7" fillId="0" borderId="0" xfId="0" applyNumberFormat="1" applyFont="1" applyAlignment="1">
      <alignment horizontal="left"/>
    </xf>
    <xf numFmtId="43" fontId="7" fillId="2" borderId="0" xfId="4" applyFont="1" applyFill="1" applyProtection="1">
      <protection locked="0"/>
    </xf>
    <xf numFmtId="43" fontId="7" fillId="0" borderId="0" xfId="4" applyFont="1" applyProtection="1">
      <protection locked="0"/>
    </xf>
    <xf numFmtId="168" fontId="7" fillId="0" borderId="0" xfId="0" applyNumberFormat="1" applyFont="1" applyProtection="1">
      <protection locked="0"/>
    </xf>
    <xf numFmtId="168" fontId="7" fillId="0" borderId="0" xfId="7" applyNumberFormat="1" applyFont="1" applyProtection="1">
      <protection locked="0"/>
    </xf>
    <xf numFmtId="0" fontId="7" fillId="0" borderId="0" xfId="7" applyNumberFormat="1" applyFont="1" applyAlignment="1">
      <alignment horizontal="right"/>
    </xf>
    <xf numFmtId="169" fontId="7" fillId="0" borderId="0" xfId="7" applyNumberFormat="1" applyFont="1"/>
    <xf numFmtId="0" fontId="11" fillId="0" borderId="0" xfId="7" applyNumberFormat="1" applyFont="1"/>
    <xf numFmtId="3" fontId="12" fillId="0" borderId="0" xfId="7" applyNumberFormat="1" applyFont="1" applyAlignment="1">
      <alignment horizontal="center"/>
    </xf>
    <xf numFmtId="0" fontId="12" fillId="0" borderId="0" xfId="7" applyNumberFormat="1" applyFont="1" applyAlignment="1" applyProtection="1">
      <alignment horizontal="center"/>
      <protection locked="0"/>
    </xf>
    <xf numFmtId="164" fontId="12" fillId="0" borderId="0" xfId="7" applyFont="1" applyAlignment="1">
      <alignment horizontal="center"/>
    </xf>
    <xf numFmtId="3" fontId="12" fillId="0" borderId="0" xfId="7" applyNumberFormat="1" applyFont="1"/>
    <xf numFmtId="0" fontId="12" fillId="0" borderId="0" xfId="7" applyNumberFormat="1" applyFont="1"/>
    <xf numFmtId="43" fontId="7" fillId="0" borderId="0" xfId="4" applyFont="1" applyAlignment="1">
      <alignment horizontal="right"/>
    </xf>
    <xf numFmtId="167" fontId="7" fillId="0" borderId="1" xfId="4" applyNumberFormat="1" applyFont="1" applyBorder="1"/>
    <xf numFmtId="170" fontId="7" fillId="0" borderId="0" xfId="7" applyNumberFormat="1" applyFont="1" applyAlignment="1">
      <alignment horizontal="center"/>
    </xf>
    <xf numFmtId="3" fontId="7" fillId="0" borderId="0" xfId="7" quotePrefix="1" applyNumberFormat="1" applyFont="1" applyAlignment="1">
      <alignment horizontal="left"/>
    </xf>
    <xf numFmtId="167" fontId="7" fillId="0" borderId="0" xfId="4" applyNumberFormat="1" applyFont="1" applyFill="1"/>
    <xf numFmtId="167" fontId="7" fillId="0" borderId="2" xfId="4" applyNumberFormat="1" applyFont="1" applyFill="1" applyBorder="1"/>
    <xf numFmtId="170" fontId="7" fillId="0" borderId="0" xfId="6" applyNumberFormat="1" applyFont="1" applyAlignment="1">
      <alignment horizontal="center"/>
    </xf>
    <xf numFmtId="167" fontId="7" fillId="0" borderId="2" xfId="4" applyNumberFormat="1" applyFont="1" applyBorder="1"/>
    <xf numFmtId="3" fontId="7" fillId="0" borderId="0" xfId="7" applyNumberFormat="1" applyFont="1" applyAlignment="1">
      <alignment horizontal="right"/>
    </xf>
    <xf numFmtId="171" fontId="7" fillId="0" borderId="0" xfId="7" applyNumberFormat="1" applyFont="1" applyAlignment="1">
      <alignment horizontal="left"/>
    </xf>
    <xf numFmtId="167" fontId="7" fillId="0" borderId="0" xfId="4" applyNumberFormat="1" applyFont="1" applyAlignment="1">
      <alignment horizontal="right"/>
    </xf>
    <xf numFmtId="3" fontId="13" fillId="0" borderId="0" xfId="7" applyNumberFormat="1" applyFont="1"/>
    <xf numFmtId="3" fontId="13" fillId="0" borderId="0" xfId="6" applyNumberFormat="1" applyFont="1"/>
    <xf numFmtId="164" fontId="13" fillId="0" borderId="0" xfId="0" applyFont="1"/>
    <xf numFmtId="167" fontId="7" fillId="3" borderId="0" xfId="4" applyNumberFormat="1" applyFont="1" applyFill="1"/>
    <xf numFmtId="0" fontId="7" fillId="0" borderId="0" xfId="7" applyNumberFormat="1" applyFont="1" applyAlignment="1">
      <alignment wrapText="1"/>
    </xf>
    <xf numFmtId="3" fontId="7" fillId="0" borderId="0" xfId="7" applyNumberFormat="1" applyFont="1" applyAlignment="1">
      <alignment wrapText="1"/>
    </xf>
    <xf numFmtId="0" fontId="7" fillId="0" borderId="0" xfId="7" quotePrefix="1" applyNumberFormat="1" applyFont="1" applyAlignment="1">
      <alignment horizontal="left"/>
    </xf>
    <xf numFmtId="170" fontId="7" fillId="0" borderId="0" xfId="7" applyNumberFormat="1" applyFont="1" applyAlignment="1">
      <alignment horizontal="left"/>
    </xf>
    <xf numFmtId="172" fontId="7" fillId="0" borderId="0" xfId="4" applyNumberFormat="1" applyFont="1" applyAlignment="1">
      <alignment horizontal="right"/>
    </xf>
    <xf numFmtId="10" fontId="7" fillId="0" borderId="0" xfId="7" applyNumberFormat="1" applyFont="1" applyAlignment="1">
      <alignment horizontal="left"/>
    </xf>
    <xf numFmtId="167" fontId="7" fillId="0" borderId="1" xfId="4" applyNumberFormat="1" applyFont="1" applyBorder="1" applyAlignment="1">
      <alignment horizontal="right"/>
    </xf>
    <xf numFmtId="170" fontId="7" fillId="0" borderId="0" xfId="7" applyNumberFormat="1" applyFont="1" applyAlignment="1" applyProtection="1">
      <alignment horizontal="left"/>
      <protection locked="0"/>
    </xf>
    <xf numFmtId="173" fontId="7" fillId="0" borderId="0" xfId="7" applyNumberFormat="1" applyFont="1"/>
    <xf numFmtId="165" fontId="7" fillId="0" borderId="0" xfId="6" applyNumberFormat="1" applyFont="1" applyAlignment="1">
      <alignment horizontal="center"/>
    </xf>
    <xf numFmtId="167" fontId="7" fillId="0" borderId="3" xfId="4" applyNumberFormat="1" applyFont="1" applyBorder="1"/>
    <xf numFmtId="0" fontId="7" fillId="0" borderId="0" xfId="0" applyNumberFormat="1" applyFont="1" applyAlignment="1">
      <alignment horizontal="left" wrapText="1"/>
    </xf>
    <xf numFmtId="167" fontId="7" fillId="2" borderId="0" xfId="4" applyNumberFormat="1" applyFont="1" applyFill="1"/>
    <xf numFmtId="172" fontId="7" fillId="0" borderId="0" xfId="4" applyNumberFormat="1" applyFont="1" applyAlignment="1">
      <alignment horizontal="center"/>
    </xf>
    <xf numFmtId="166" fontId="7" fillId="0" borderId="0" xfId="0" applyNumberFormat="1" applyFont="1"/>
    <xf numFmtId="164" fontId="7" fillId="0" borderId="0" xfId="7" applyFont="1" applyAlignment="1">
      <alignment horizontal="center"/>
    </xf>
    <xf numFmtId="164" fontId="7" fillId="0" borderId="0" xfId="7" applyFont="1" applyAlignment="1">
      <alignment horizontal="right"/>
    </xf>
    <xf numFmtId="0" fontId="13" fillId="0" borderId="0" xfId="7" applyNumberFormat="1" applyFont="1" applyAlignment="1" applyProtection="1">
      <alignment horizontal="center"/>
      <protection locked="0"/>
    </xf>
    <xf numFmtId="0" fontId="7" fillId="0" borderId="1" xfId="7" applyNumberFormat="1" applyFont="1" applyBorder="1" applyProtection="1">
      <protection locked="0"/>
    </xf>
    <xf numFmtId="0" fontId="7" fillId="0" borderId="1" xfId="7" applyNumberFormat="1" applyFont="1" applyBorder="1"/>
    <xf numFmtId="167" fontId="7" fillId="2" borderId="1" xfId="4" applyNumberFormat="1" applyFont="1" applyFill="1" applyBorder="1"/>
    <xf numFmtId="43" fontId="7" fillId="0" borderId="0" xfId="4" applyFont="1" applyAlignment="1" applyProtection="1">
      <alignment horizontal="center"/>
      <protection locked="0"/>
    </xf>
    <xf numFmtId="3" fontId="7" fillId="0" borderId="1" xfId="7" applyNumberFormat="1" applyFont="1" applyBorder="1"/>
    <xf numFmtId="3" fontId="7" fillId="0" borderId="1" xfId="7" applyNumberFormat="1" applyFont="1" applyBorder="1" applyAlignment="1">
      <alignment horizontal="center"/>
    </xf>
    <xf numFmtId="4" fontId="7" fillId="0" borderId="0" xfId="7" applyNumberFormat="1" applyFont="1"/>
    <xf numFmtId="3" fontId="7" fillId="0" borderId="0" xfId="6" applyNumberFormat="1" applyFont="1" applyAlignment="1">
      <alignment horizontal="center"/>
    </xf>
    <xf numFmtId="0" fontId="7" fillId="0" borderId="1" xfId="6" applyFont="1" applyBorder="1" applyAlignment="1">
      <alignment horizontal="center"/>
    </xf>
    <xf numFmtId="0" fontId="7" fillId="0" borderId="0" xfId="6" applyFont="1" applyAlignment="1">
      <alignment horizontal="center"/>
    </xf>
    <xf numFmtId="43" fontId="7" fillId="0" borderId="0" xfId="4" applyNumberFormat="1" applyFont="1"/>
    <xf numFmtId="165" fontId="7" fillId="0" borderId="0" xfId="7" applyNumberFormat="1" applyFont="1" applyAlignment="1">
      <alignment horizontal="center"/>
    </xf>
    <xf numFmtId="165" fontId="7" fillId="0" borderId="0" xfId="7" applyNumberFormat="1" applyFont="1" applyAlignment="1" applyProtection="1">
      <alignment horizontal="center"/>
      <protection locked="0"/>
    </xf>
    <xf numFmtId="174" fontId="7" fillId="0" borderId="0" xfId="4" applyNumberFormat="1" applyFont="1"/>
    <xf numFmtId="174" fontId="7" fillId="0" borderId="0" xfId="4" applyNumberFormat="1" applyFont="1" applyAlignment="1">
      <alignment horizontal="center"/>
    </xf>
    <xf numFmtId="175" fontId="7" fillId="0" borderId="0" xfId="4" applyNumberFormat="1" applyFont="1"/>
    <xf numFmtId="167" fontId="7" fillId="0" borderId="0" xfId="4" applyNumberFormat="1" applyFont="1" applyAlignment="1">
      <alignment horizontal="center"/>
    </xf>
    <xf numFmtId="9" fontId="7" fillId="0" borderId="0" xfId="1" applyFont="1" applyAlignment="1">
      <alignment horizontal="center"/>
    </xf>
    <xf numFmtId="10" fontId="7" fillId="0" borderId="0" xfId="1" applyNumberFormat="1" applyFont="1" applyAlignment="1">
      <alignment horizontal="center"/>
    </xf>
    <xf numFmtId="10" fontId="7" fillId="0" borderId="0" xfId="1" applyNumberFormat="1" applyFont="1"/>
    <xf numFmtId="3" fontId="7" fillId="0" borderId="0" xfId="7" quotePrefix="1" applyNumberFormat="1" applyFont="1"/>
    <xf numFmtId="167" fontId="7" fillId="0" borderId="1" xfId="4" applyNumberFormat="1" applyFont="1" applyBorder="1" applyAlignment="1">
      <alignment horizontal="center"/>
    </xf>
    <xf numFmtId="9" fontId="7" fillId="0" borderId="1" xfId="1" applyFont="1" applyBorder="1" applyAlignment="1">
      <alignment horizontal="center"/>
    </xf>
    <xf numFmtId="10" fontId="7" fillId="0" borderId="1" xfId="1" applyNumberFormat="1" applyFont="1" applyBorder="1"/>
    <xf numFmtId="10" fontId="7" fillId="0" borderId="0" xfId="1" applyNumberFormat="1" applyFont="1" applyFill="1"/>
    <xf numFmtId="0" fontId="9" fillId="0" borderId="0" xfId="7" applyNumberFormat="1" applyFont="1" applyProtection="1">
      <protection locked="0"/>
    </xf>
    <xf numFmtId="164" fontId="9" fillId="0" borderId="0" xfId="7" applyFont="1"/>
    <xf numFmtId="176" fontId="7" fillId="3" borderId="0" xfId="4" applyNumberFormat="1" applyFont="1" applyFill="1" applyProtection="1">
      <protection locked="0"/>
    </xf>
    <xf numFmtId="38" fontId="7" fillId="0" borderId="0" xfId="7" applyNumberFormat="1" applyFont="1"/>
    <xf numFmtId="164" fontId="7" fillId="0" borderId="1" xfId="7" applyFont="1" applyBorder="1"/>
    <xf numFmtId="176" fontId="7" fillId="3" borderId="1" xfId="4" applyNumberFormat="1" applyFont="1" applyFill="1" applyBorder="1" applyProtection="1">
      <protection locked="0"/>
    </xf>
    <xf numFmtId="176" fontId="7" fillId="0" borderId="0" xfId="4" applyNumberFormat="1" applyFont="1"/>
    <xf numFmtId="166" fontId="7" fillId="0" borderId="0" xfId="7" applyNumberFormat="1" applyFont="1"/>
    <xf numFmtId="177" fontId="7" fillId="0" borderId="0" xfId="7" applyNumberFormat="1" applyFont="1" applyProtection="1">
      <protection locked="0"/>
    </xf>
    <xf numFmtId="1" fontId="7" fillId="0" borderId="0" xfId="7" applyNumberFormat="1" applyFont="1"/>
    <xf numFmtId="0" fontId="7" fillId="0" borderId="0" xfId="7" applyNumberFormat="1" applyFont="1" applyAlignment="1" applyProtection="1">
      <alignment horizontal="left"/>
      <protection locked="0"/>
    </xf>
    <xf numFmtId="167" fontId="7" fillId="2" borderId="0" xfId="4" applyNumberFormat="1" applyFont="1" applyFill="1" applyProtection="1">
      <protection locked="0"/>
    </xf>
    <xf numFmtId="167" fontId="7" fillId="2" borderId="1" xfId="4" applyNumberFormat="1" applyFont="1" applyFill="1" applyBorder="1" applyProtection="1">
      <protection locked="0"/>
    </xf>
    <xf numFmtId="164" fontId="7" fillId="0" borderId="0" xfId="0" applyFont="1" applyProtection="1">
      <protection locked="0"/>
    </xf>
    <xf numFmtId="0" fontId="7" fillId="0" borderId="0" xfId="7" applyNumberFormat="1" applyFont="1" applyAlignment="1" applyProtection="1">
      <alignment horizontal="center" wrapText="1"/>
      <protection locked="0"/>
    </xf>
    <xf numFmtId="167" fontId="7" fillId="0" borderId="0" xfId="4" applyNumberFormat="1" applyFont="1" applyAlignment="1" applyProtection="1">
      <alignment horizontal="center"/>
      <protection locked="0"/>
    </xf>
    <xf numFmtId="164" fontId="7" fillId="0" borderId="0" xfId="7" applyFont="1" applyProtection="1">
      <protection locked="0"/>
    </xf>
    <xf numFmtId="166" fontId="7" fillId="0" borderId="0" xfId="7" applyNumberFormat="1" applyFont="1" applyAlignment="1" applyProtection="1">
      <alignment horizontal="right"/>
      <protection locked="0"/>
    </xf>
    <xf numFmtId="166" fontId="7" fillId="0" borderId="0" xfId="7" applyNumberFormat="1" applyFont="1" applyProtection="1">
      <protection locked="0"/>
    </xf>
    <xf numFmtId="0" fontId="7" fillId="0" borderId="0" xfId="7" applyNumberFormat="1" applyFont="1" applyAlignment="1" applyProtection="1">
      <alignment horizontal="left" indent="8"/>
      <protection locked="0"/>
    </xf>
    <xf numFmtId="3" fontId="7" fillId="0" borderId="0" xfId="7" applyNumberFormat="1" applyFont="1" applyAlignment="1">
      <alignment vertical="top" wrapText="1"/>
    </xf>
    <xf numFmtId="0" fontId="7" fillId="0" borderId="0" xfId="7" applyNumberFormat="1" applyFont="1" applyAlignment="1" applyProtection="1">
      <alignment vertical="top" wrapText="1"/>
      <protection locked="0"/>
    </xf>
    <xf numFmtId="0" fontId="7" fillId="0" borderId="0" xfId="0" applyNumberFormat="1" applyFont="1" applyFill="1" applyProtection="1">
      <protection locked="0"/>
    </xf>
    <xf numFmtId="3" fontId="7" fillId="0" borderId="0" xfId="0" applyNumberFormat="1" applyFont="1" applyFill="1" applyAlignment="1"/>
    <xf numFmtId="0" fontId="7" fillId="0" borderId="0" xfId="0" applyNumberFormat="1" applyFont="1" applyAlignment="1" applyProtection="1">
      <alignment horizontal="center" vertical="top"/>
      <protection locked="0"/>
    </xf>
    <xf numFmtId="0" fontId="7" fillId="0" borderId="0" xfId="0" applyNumberFormat="1" applyFont="1" applyAlignment="1" applyProtection="1">
      <alignment horizontal="center" vertical="center"/>
      <protection locked="0"/>
    </xf>
    <xf numFmtId="0" fontId="7" fillId="0" borderId="0" xfId="0" applyNumberFormat="1" applyFont="1" applyFill="1" applyAlignment="1" applyProtection="1">
      <alignment vertical="center"/>
      <protection locked="0"/>
    </xf>
    <xf numFmtId="0" fontId="7" fillId="0" borderId="0" xfId="0" applyNumberFormat="1" applyFont="1" applyAlignment="1" applyProtection="1">
      <alignment vertical="top"/>
      <protection locked="0"/>
    </xf>
    <xf numFmtId="0" fontId="7" fillId="0" borderId="0" xfId="7" applyNumberFormat="1" applyFont="1" applyAlignment="1" applyProtection="1">
      <alignment vertical="top"/>
      <protection locked="0"/>
    </xf>
    <xf numFmtId="43" fontId="7" fillId="0" borderId="0" xfId="4" applyFont="1" applyAlignment="1" applyProtection="1">
      <alignment vertical="top"/>
      <protection locked="0"/>
    </xf>
    <xf numFmtId="0" fontId="7" fillId="0" borderId="0" xfId="6" applyFont="1" applyAlignment="1">
      <alignment vertical="top" wrapText="1"/>
    </xf>
    <xf numFmtId="0" fontId="16" fillId="0" borderId="0" xfId="0" applyNumberFormat="1" applyFont="1" applyFill="1" applyProtection="1">
      <protection locked="0"/>
    </xf>
    <xf numFmtId="164" fontId="7" fillId="0" borderId="0" xfId="0" applyFont="1" applyAlignment="1"/>
    <xf numFmtId="0" fontId="7" fillId="0" borderId="0" xfId="7" applyNumberFormat="1" applyFont="1" applyFill="1" applyAlignment="1" applyProtection="1">
      <alignment vertical="top" wrapText="1"/>
      <protection locked="0"/>
    </xf>
    <xf numFmtId="0" fontId="7" fillId="0" borderId="0" xfId="6" applyNumberFormat="1" applyFont="1" applyFill="1" applyAlignment="1">
      <alignment vertical="top" wrapText="1"/>
    </xf>
    <xf numFmtId="0" fontId="7" fillId="0" borderId="0" xfId="0" applyNumberFormat="1" applyFont="1" applyFill="1"/>
    <xf numFmtId="164" fontId="7" fillId="0" borderId="0" xfId="0" applyFont="1" applyAlignment="1">
      <alignment horizontal="center" vertical="top"/>
    </xf>
    <xf numFmtId="0" fontId="7" fillId="0" borderId="0" xfId="10" applyNumberFormat="1" applyFont="1" applyFill="1"/>
    <xf numFmtId="164" fontId="7" fillId="0" borderId="0" xfId="10" applyFont="1" applyAlignment="1">
      <alignment horizontal="center"/>
    </xf>
    <xf numFmtId="164" fontId="7" fillId="0" borderId="0" xfId="10" applyFont="1" applyFill="1" applyAlignment="1">
      <alignment horizontal="center"/>
    </xf>
    <xf numFmtId="164" fontId="7" fillId="0" borderId="0" xfId="0" applyFont="1" applyFill="1"/>
    <xf numFmtId="164" fontId="7" fillId="0" borderId="0" xfId="0" applyFont="1" applyFill="1" applyAlignment="1">
      <alignment horizontal="center" vertical="top"/>
    </xf>
    <xf numFmtId="0" fontId="7" fillId="0" borderId="0" xfId="6" applyNumberFormat="1" applyFont="1" applyFill="1" applyAlignment="1">
      <alignment vertical="top"/>
    </xf>
    <xf numFmtId="0" fontId="7" fillId="0" borderId="0" xfId="6" applyNumberFormat="1" applyFont="1" applyAlignment="1">
      <alignment vertical="top"/>
    </xf>
    <xf numFmtId="166" fontId="7" fillId="0" borderId="0" xfId="7" applyNumberFormat="1" applyFont="1" applyFill="1" applyBorder="1" applyAlignment="1" applyProtection="1">
      <alignment vertical="top"/>
    </xf>
    <xf numFmtId="3" fontId="7" fillId="0" borderId="0" xfId="7" applyNumberFormat="1" applyFont="1" applyAlignment="1" applyProtection="1">
      <alignment vertical="top"/>
    </xf>
    <xf numFmtId="3" fontId="7" fillId="0" borderId="0" xfId="7" applyNumberFormat="1" applyFont="1" applyFill="1" applyAlignment="1" applyProtection="1">
      <alignment vertical="top"/>
    </xf>
    <xf numFmtId="164" fontId="7" fillId="0" borderId="0" xfId="0" applyFont="1" applyAlignment="1">
      <alignment vertical="top"/>
    </xf>
    <xf numFmtId="164" fontId="7" fillId="0" borderId="0" xfId="0" applyFont="1" applyFill="1" applyAlignment="1"/>
    <xf numFmtId="164" fontId="7" fillId="0" borderId="0" xfId="8" applyFont="1"/>
    <xf numFmtId="164" fontId="7" fillId="0" borderId="0" xfId="8" applyFont="1" applyAlignment="1">
      <alignment horizontal="right"/>
    </xf>
    <xf numFmtId="0" fontId="7" fillId="0" borderId="0" xfId="8" applyNumberFormat="1" applyFont="1" applyAlignment="1" applyProtection="1">
      <alignment horizontal="center"/>
      <protection locked="0"/>
    </xf>
    <xf numFmtId="0" fontId="7" fillId="0" borderId="0" xfId="8" applyNumberFormat="1" applyFont="1" applyProtection="1">
      <protection locked="0"/>
    </xf>
    <xf numFmtId="0" fontId="7" fillId="0" borderId="0" xfId="8" applyNumberFormat="1" applyFont="1" applyAlignment="1">
      <alignment horizontal="right"/>
    </xf>
    <xf numFmtId="0" fontId="7" fillId="0" borderId="0" xfId="8" applyNumberFormat="1" applyFont="1"/>
    <xf numFmtId="0" fontId="18" fillId="0" borderId="0" xfId="8" applyNumberFormat="1" applyFont="1"/>
    <xf numFmtId="3" fontId="7" fillId="0" borderId="0" xfId="8" applyNumberFormat="1" applyFont="1"/>
    <xf numFmtId="0" fontId="18" fillId="0" borderId="0" xfId="8" applyNumberFormat="1" applyFont="1" applyAlignment="1">
      <alignment horizontal="center"/>
    </xf>
    <xf numFmtId="49" fontId="7" fillId="0" borderId="0" xfId="8" applyNumberFormat="1" applyFont="1"/>
    <xf numFmtId="49" fontId="7" fillId="0" borderId="0" xfId="0" applyNumberFormat="1" applyFont="1"/>
    <xf numFmtId="0" fontId="7" fillId="0" borderId="0" xfId="0" applyNumberFormat="1" applyFont="1" applyAlignment="1">
      <alignment horizontal="center"/>
    </xf>
    <xf numFmtId="49" fontId="7" fillId="0" borderId="0" xfId="0" applyNumberFormat="1" applyFont="1" applyAlignment="1">
      <alignment horizontal="center"/>
    </xf>
    <xf numFmtId="49" fontId="7" fillId="0" borderId="0" xfId="8" applyNumberFormat="1" applyFont="1" applyAlignment="1">
      <alignment horizontal="center"/>
    </xf>
    <xf numFmtId="3" fontId="12" fillId="0" borderId="0" xfId="0" applyNumberFormat="1" applyFont="1" applyAlignment="1">
      <alignment horizontal="center"/>
    </xf>
    <xf numFmtId="0" fontId="7" fillId="0" borderId="0" xfId="8" applyNumberFormat="1" applyFont="1" applyAlignment="1">
      <alignment horizontal="center"/>
    </xf>
    <xf numFmtId="164" fontId="12" fillId="0" borderId="0" xfId="0" applyFont="1" applyAlignment="1">
      <alignment horizontal="center"/>
    </xf>
    <xf numFmtId="0" fontId="12" fillId="0" borderId="0" xfId="0" applyNumberFormat="1" applyFont="1" applyAlignment="1" applyProtection="1">
      <alignment horizontal="center"/>
      <protection locked="0"/>
    </xf>
    <xf numFmtId="0" fontId="12" fillId="0" borderId="0" xfId="8" applyNumberFormat="1" applyFont="1" applyAlignment="1" applyProtection="1">
      <alignment horizontal="center"/>
      <protection locked="0"/>
    </xf>
    <xf numFmtId="0" fontId="12" fillId="0" borderId="0" xfId="8" applyNumberFormat="1" applyFont="1" applyAlignment="1">
      <alignment horizontal="center"/>
    </xf>
    <xf numFmtId="0" fontId="12" fillId="0" borderId="0" xfId="0" applyNumberFormat="1" applyFont="1"/>
    <xf numFmtId="0" fontId="19" fillId="0" borderId="0" xfId="0" applyNumberFormat="1" applyFont="1" applyAlignment="1" applyProtection="1">
      <alignment horizontal="center"/>
      <protection locked="0"/>
    </xf>
    <xf numFmtId="3" fontId="7" fillId="0" borderId="0" xfId="8" applyNumberFormat="1" applyFont="1" applyAlignment="1">
      <alignment horizontal="center"/>
    </xf>
    <xf numFmtId="3" fontId="7" fillId="0" borderId="0" xfId="8" applyNumberFormat="1" applyFont="1" applyAlignment="1">
      <alignment horizontal="left"/>
    </xf>
    <xf numFmtId="167" fontId="7" fillId="0" borderId="4" xfId="4" applyNumberFormat="1" applyFont="1" applyBorder="1"/>
    <xf numFmtId="3" fontId="7" fillId="0" borderId="0" xfId="0" applyNumberFormat="1" applyFont="1" applyAlignment="1">
      <alignment horizontal="left"/>
    </xf>
    <xf numFmtId="3" fontId="7" fillId="0" borderId="0" xfId="0" applyNumberFormat="1" applyFont="1" applyAlignment="1">
      <alignment horizontal="center"/>
    </xf>
    <xf numFmtId="10" fontId="20" fillId="0" borderId="0" xfId="1" applyNumberFormat="1" applyFont="1"/>
    <xf numFmtId="10" fontId="12" fillId="0" borderId="0" xfId="8" applyNumberFormat="1" applyFont="1"/>
    <xf numFmtId="3" fontId="12" fillId="0" borderId="0" xfId="8" applyNumberFormat="1" applyFont="1"/>
    <xf numFmtId="178" fontId="12" fillId="0" borderId="0" xfId="8" applyNumberFormat="1" applyFont="1"/>
    <xf numFmtId="3" fontId="16" fillId="0" borderId="0" xfId="0" applyNumberFormat="1" applyFont="1"/>
    <xf numFmtId="43" fontId="12" fillId="0" borderId="0" xfId="4" applyFont="1"/>
    <xf numFmtId="164" fontId="7" fillId="0" borderId="0" xfId="0" applyFont="1" applyAlignment="1">
      <alignment horizontal="left"/>
    </xf>
    <xf numFmtId="10" fontId="12" fillId="0" borderId="0" xfId="1" applyNumberFormat="1" applyFont="1"/>
    <xf numFmtId="0" fontId="7" fillId="0" borderId="0" xfId="8" applyNumberFormat="1" applyFont="1" applyAlignment="1">
      <alignment horizontal="fill"/>
    </xf>
    <xf numFmtId="3" fontId="9" fillId="0" borderId="0" xfId="8" applyNumberFormat="1" applyFont="1"/>
    <xf numFmtId="164" fontId="9" fillId="0" borderId="0" xfId="8" applyFont="1"/>
    <xf numFmtId="49" fontId="12" fillId="0" borderId="0" xfId="0" applyNumberFormat="1" applyFont="1" applyAlignment="1">
      <alignment horizontal="center"/>
    </xf>
    <xf numFmtId="164" fontId="12" fillId="0" borderId="0" xfId="0" applyFont="1"/>
    <xf numFmtId="3" fontId="12" fillId="0" borderId="0" xfId="0" applyNumberFormat="1" applyFont="1" applyAlignment="1">
      <alignment horizontal="left"/>
    </xf>
    <xf numFmtId="166" fontId="7" fillId="0" borderId="0" xfId="8" applyNumberFormat="1" applyFont="1"/>
    <xf numFmtId="170" fontId="7" fillId="0" borderId="0" xfId="8" applyNumberFormat="1" applyFont="1" applyAlignment="1">
      <alignment horizontal="center"/>
    </xf>
    <xf numFmtId="0" fontId="9" fillId="0" borderId="0" xfId="8" applyNumberFormat="1" applyFont="1"/>
    <xf numFmtId="170" fontId="7" fillId="0" borderId="0" xfId="0" applyNumberFormat="1" applyFont="1" applyAlignment="1">
      <alignment horizontal="left"/>
    </xf>
    <xf numFmtId="170" fontId="7" fillId="0" borderId="0" xfId="0" applyNumberFormat="1" applyFont="1" applyAlignment="1">
      <alignment horizontal="center"/>
    </xf>
    <xf numFmtId="49" fontId="7" fillId="0" borderId="0" xfId="8" applyNumberFormat="1" applyFont="1" applyAlignment="1">
      <alignment horizontal="left"/>
    </xf>
    <xf numFmtId="164" fontId="7" fillId="0" borderId="0" xfId="8" applyFont="1" applyAlignment="1">
      <alignment horizontal="center"/>
    </xf>
    <xf numFmtId="10" fontId="7" fillId="0" borderId="0" xfId="8" applyNumberFormat="1" applyFont="1"/>
    <xf numFmtId="0" fontId="12" fillId="0" borderId="0" xfId="8" applyNumberFormat="1" applyFont="1"/>
    <xf numFmtId="164" fontId="21" fillId="0" borderId="0" xfId="8" applyFont="1"/>
    <xf numFmtId="179" fontId="12" fillId="0" borderId="0" xfId="8" applyNumberFormat="1" applyFont="1" applyAlignment="1">
      <alignment horizontal="center"/>
    </xf>
    <xf numFmtId="179" fontId="12" fillId="0" borderId="0" xfId="8" quotePrefix="1" applyNumberFormat="1" applyFont="1" applyAlignment="1">
      <alignment horizontal="center"/>
    </xf>
    <xf numFmtId="164" fontId="12" fillId="0" borderId="5" xfId="8" applyFont="1" applyBorder="1" applyAlignment="1">
      <alignment horizontal="center" wrapText="1"/>
    </xf>
    <xf numFmtId="164" fontId="12" fillId="0" borderId="6" xfId="8" applyFont="1" applyBorder="1"/>
    <xf numFmtId="164" fontId="12" fillId="0" borderId="6" xfId="8" applyFont="1" applyBorder="1" applyAlignment="1">
      <alignment horizontal="center" wrapText="1"/>
    </xf>
    <xf numFmtId="0" fontId="12" fillId="0" borderId="6" xfId="8" applyNumberFormat="1" applyFont="1" applyBorder="1" applyAlignment="1">
      <alignment horizontal="center" wrapText="1"/>
    </xf>
    <xf numFmtId="164" fontId="12" fillId="0" borderId="6" xfId="0" applyFont="1" applyBorder="1" applyAlignment="1">
      <alignment horizontal="center" wrapText="1"/>
    </xf>
    <xf numFmtId="0" fontId="12" fillId="0" borderId="6" xfId="0" applyNumberFormat="1" applyFont="1" applyBorder="1" applyAlignment="1">
      <alignment horizontal="center" wrapText="1"/>
    </xf>
    <xf numFmtId="164" fontId="12" fillId="0" borderId="7" xfId="0" applyFont="1" applyBorder="1" applyAlignment="1">
      <alignment horizontal="center" wrapText="1"/>
    </xf>
    <xf numFmtId="164" fontId="12" fillId="0" borderId="8" xfId="8" applyFont="1" applyBorder="1" applyAlignment="1">
      <alignment horizontal="center" wrapText="1"/>
    </xf>
    <xf numFmtId="0" fontId="12" fillId="0" borderId="9" xfId="8" applyNumberFormat="1" applyFont="1" applyBorder="1" applyAlignment="1">
      <alignment horizontal="center" wrapText="1"/>
    </xf>
    <xf numFmtId="3" fontId="12" fillId="0" borderId="8" xfId="8" applyNumberFormat="1" applyFont="1" applyBorder="1" applyAlignment="1">
      <alignment horizontal="center" wrapText="1"/>
    </xf>
    <xf numFmtId="0" fontId="7" fillId="0" borderId="10" xfId="8" applyNumberFormat="1" applyFont="1" applyBorder="1" applyAlignment="1">
      <alignment horizontal="left"/>
    </xf>
    <xf numFmtId="0" fontId="7" fillId="0" borderId="9" xfId="8" applyNumberFormat="1" applyFont="1" applyBorder="1"/>
    <xf numFmtId="0" fontId="7" fillId="0" borderId="9" xfId="8" applyNumberFormat="1" applyFont="1" applyBorder="1" applyAlignment="1">
      <alignment wrapText="1"/>
    </xf>
    <xf numFmtId="0" fontId="7" fillId="0" borderId="9" xfId="8" applyNumberFormat="1" applyFont="1" applyBorder="1" applyAlignment="1">
      <alignment horizontal="center" wrapText="1"/>
    </xf>
    <xf numFmtId="164" fontId="7" fillId="0" borderId="9" xfId="8" applyFont="1" applyBorder="1" applyAlignment="1">
      <alignment wrapText="1"/>
    </xf>
    <xf numFmtId="164" fontId="7" fillId="0" borderId="11" xfId="8" applyFont="1" applyBorder="1" applyAlignment="1">
      <alignment wrapText="1"/>
    </xf>
    <xf numFmtId="0" fontId="7" fillId="0" borderId="8" xfId="8" applyNumberFormat="1" applyFont="1" applyBorder="1" applyAlignment="1">
      <alignment horizontal="center" wrapText="1"/>
    </xf>
    <xf numFmtId="0" fontId="7" fillId="0" borderId="10" xfId="8" applyNumberFormat="1" applyFont="1" applyBorder="1" applyAlignment="1">
      <alignment horizontal="center" wrapText="1"/>
    </xf>
    <xf numFmtId="3" fontId="7" fillId="0" borderId="8" xfId="8" applyNumberFormat="1" applyFont="1" applyBorder="1" applyAlignment="1">
      <alignment horizontal="center" wrapText="1"/>
    </xf>
    <xf numFmtId="3" fontId="7" fillId="0" borderId="9" xfId="8" applyNumberFormat="1" applyFont="1" applyBorder="1" applyAlignment="1">
      <alignment horizontal="center" wrapText="1"/>
    </xf>
    <xf numFmtId="0" fontId="7" fillId="0" borderId="5" xfId="8" applyNumberFormat="1" applyFont="1" applyBorder="1"/>
    <xf numFmtId="0" fontId="7" fillId="0" borderId="6" xfId="8" applyNumberFormat="1" applyFont="1" applyBorder="1"/>
    <xf numFmtId="164" fontId="7" fillId="0" borderId="6" xfId="8" applyFont="1" applyBorder="1"/>
    <xf numFmtId="0" fontId="7" fillId="0" borderId="12" xfId="8" applyNumberFormat="1" applyFont="1" applyBorder="1"/>
    <xf numFmtId="3" fontId="7" fillId="0" borderId="6" xfId="8" applyNumberFormat="1" applyFont="1" applyBorder="1"/>
    <xf numFmtId="3" fontId="7" fillId="0" borderId="12" xfId="8" applyNumberFormat="1" applyFont="1" applyBorder="1"/>
    <xf numFmtId="164" fontId="7" fillId="0" borderId="13" xfId="11" applyFont="1" applyBorder="1"/>
    <xf numFmtId="164" fontId="7" fillId="0" borderId="0" xfId="11" applyFont="1"/>
    <xf numFmtId="43" fontId="7" fillId="3" borderId="0" xfId="4" applyFont="1" applyFill="1"/>
    <xf numFmtId="43" fontId="7" fillId="0" borderId="14" xfId="4" applyFont="1" applyBorder="1"/>
    <xf numFmtId="167" fontId="7" fillId="0" borderId="14" xfId="4" applyNumberFormat="1" applyFont="1" applyBorder="1"/>
    <xf numFmtId="167" fontId="7" fillId="2" borderId="14" xfId="4" applyNumberFormat="1" applyFont="1" applyFill="1" applyBorder="1"/>
    <xf numFmtId="167" fontId="7" fillId="3" borderId="14" xfId="4" applyNumberFormat="1" applyFont="1" applyFill="1" applyBorder="1"/>
    <xf numFmtId="164" fontId="7" fillId="0" borderId="13" xfId="8" applyFont="1" applyBorder="1"/>
    <xf numFmtId="164" fontId="7" fillId="0" borderId="15" xfId="8" applyFont="1" applyBorder="1"/>
    <xf numFmtId="164" fontId="7" fillId="0" borderId="4" xfId="8" applyFont="1" applyBorder="1"/>
    <xf numFmtId="10" fontId="7" fillId="0" borderId="4" xfId="4" applyNumberFormat="1" applyFont="1" applyBorder="1"/>
    <xf numFmtId="180" fontId="7" fillId="0" borderId="4" xfId="8" applyNumberFormat="1" applyFont="1" applyBorder="1"/>
    <xf numFmtId="164" fontId="7" fillId="0" borderId="16" xfId="8" applyFont="1" applyBorder="1"/>
    <xf numFmtId="43" fontId="7" fillId="0" borderId="16" xfId="4" applyFont="1" applyBorder="1"/>
    <xf numFmtId="164" fontId="11" fillId="0" borderId="16" xfId="8" applyFont="1" applyBorder="1"/>
    <xf numFmtId="164" fontId="11" fillId="0" borderId="4" xfId="8" applyFont="1" applyBorder="1"/>
    <xf numFmtId="167" fontId="7" fillId="0" borderId="16" xfId="4" applyNumberFormat="1" applyFont="1" applyBorder="1"/>
    <xf numFmtId="1" fontId="7" fillId="0" borderId="0" xfId="4" applyNumberFormat="1" applyFont="1" applyAlignment="1">
      <alignment horizontal="center"/>
    </xf>
    <xf numFmtId="164" fontId="7" fillId="0" borderId="1" xfId="8" applyFont="1" applyBorder="1"/>
    <xf numFmtId="164" fontId="7" fillId="0" borderId="0" xfId="8" applyFont="1" applyAlignment="1">
      <alignment horizontal="center" vertical="top"/>
    </xf>
    <xf numFmtId="164" fontId="7" fillId="0" borderId="0" xfId="8" applyFont="1" applyAlignment="1">
      <alignment wrapText="1"/>
    </xf>
    <xf numFmtId="164" fontId="7" fillId="0" borderId="0" xfId="8" applyFont="1" applyAlignment="1">
      <alignment vertical="top" wrapText="1"/>
    </xf>
    <xf numFmtId="164" fontId="7" fillId="0" borderId="0" xfId="8" applyFont="1" applyAlignment="1">
      <alignment horizontal="left"/>
    </xf>
    <xf numFmtId="164" fontId="7" fillId="0" borderId="0" xfId="8" applyFont="1" applyAlignment="1">
      <alignment horizontal="left" wrapText="1"/>
    </xf>
    <xf numFmtId="164" fontId="7" fillId="0" borderId="0" xfId="8" applyFont="1" applyAlignment="1">
      <alignment vertical="center" wrapText="1"/>
    </xf>
    <xf numFmtId="164" fontId="7" fillId="0" borderId="0" xfId="8" applyFont="1" applyAlignment="1">
      <alignment horizontal="left" vertical="center" wrapText="1"/>
    </xf>
    <xf numFmtId="164" fontId="61" fillId="0" borderId="0" xfId="8"/>
    <xf numFmtId="0" fontId="22" fillId="0" borderId="0" xfId="8" applyNumberFormat="1" applyFont="1"/>
    <xf numFmtId="0" fontId="23" fillId="0" borderId="0" xfId="8" applyNumberFormat="1" applyFont="1" applyAlignment="1">
      <alignment horizontal="center"/>
    </xf>
    <xf numFmtId="0" fontId="23" fillId="0" borderId="0" xfId="7" applyNumberFormat="1" applyFont="1" applyAlignment="1">
      <alignment horizontal="center"/>
    </xf>
    <xf numFmtId="164" fontId="23" fillId="0" borderId="0" xfId="0" applyFont="1" applyAlignment="1">
      <alignment horizontal="center"/>
    </xf>
    <xf numFmtId="167" fontId="23" fillId="0" borderId="0" xfId="4" applyNumberFormat="1" applyFont="1" applyAlignment="1">
      <alignment horizontal="center"/>
    </xf>
    <xf numFmtId="43" fontId="7" fillId="2" borderId="0" xfId="4" applyFont="1" applyFill="1" applyAlignment="1">
      <alignment horizontal="center"/>
    </xf>
    <xf numFmtId="9" fontId="7" fillId="0" borderId="0" xfId="1" applyFont="1"/>
    <xf numFmtId="169" fontId="7" fillId="0" borderId="0" xfId="4" applyNumberFormat="1" applyFont="1"/>
    <xf numFmtId="164" fontId="7" fillId="0" borderId="0" xfId="7" applyFont="1" applyAlignment="1">
      <alignment wrapText="1"/>
    </xf>
    <xf numFmtId="10" fontId="24" fillId="0" borderId="0" xfId="12" applyNumberFormat="1" applyFont="1"/>
    <xf numFmtId="169" fontId="7" fillId="0" borderId="1" xfId="4" applyNumberFormat="1" applyFont="1" applyBorder="1"/>
    <xf numFmtId="43" fontId="7" fillId="0" borderId="0" xfId="4" applyFont="1" applyAlignment="1">
      <alignment horizontal="left"/>
    </xf>
    <xf numFmtId="43" fontId="7" fillId="0" borderId="1" xfId="4" applyFont="1" applyBorder="1" applyAlignment="1">
      <alignment horizontal="right"/>
    </xf>
    <xf numFmtId="167" fontId="7" fillId="0" borderId="0" xfId="4" applyNumberFormat="1" applyFont="1" applyAlignment="1">
      <alignment horizontal="left" indent="2"/>
    </xf>
    <xf numFmtId="172" fontId="7" fillId="0" borderId="0" xfId="4" applyNumberFormat="1" applyFont="1"/>
    <xf numFmtId="167" fontId="7" fillId="0" borderId="0" xfId="4" applyNumberFormat="1" applyFont="1" applyAlignment="1"/>
    <xf numFmtId="0" fontId="7" fillId="0" borderId="0" xfId="13" applyNumberFormat="1" applyFont="1" applyAlignment="1" applyProtection="1">
      <alignment horizontal="center"/>
      <protection locked="0"/>
    </xf>
    <xf numFmtId="164" fontId="24" fillId="0" borderId="0" xfId="0" applyFont="1"/>
    <xf numFmtId="164" fontId="21" fillId="0" borderId="0" xfId="8" applyFont="1" applyAlignment="1">
      <alignment horizontal="center"/>
    </xf>
    <xf numFmtId="164" fontId="24" fillId="0" borderId="5" xfId="0" applyFont="1" applyBorder="1"/>
    <xf numFmtId="164" fontId="24" fillId="0" borderId="6" xfId="0" applyFont="1" applyBorder="1"/>
    <xf numFmtId="164" fontId="24" fillId="0" borderId="7" xfId="0" applyFont="1" applyBorder="1"/>
    <xf numFmtId="164" fontId="24" fillId="0" borderId="15" xfId="0" applyFont="1" applyBorder="1"/>
    <xf numFmtId="164" fontId="24" fillId="0" borderId="4" xfId="0" applyFont="1" applyBorder="1"/>
    <xf numFmtId="164" fontId="24" fillId="0" borderId="17" xfId="0" applyFont="1" applyBorder="1"/>
    <xf numFmtId="0" fontId="21" fillId="0" borderId="0" xfId="4" applyNumberFormat="1" applyFont="1" applyAlignment="1">
      <alignment horizontal="center"/>
    </xf>
    <xf numFmtId="164" fontId="24" fillId="0" borderId="12" xfId="0" applyFont="1" applyBorder="1"/>
    <xf numFmtId="164" fontId="24" fillId="0" borderId="8" xfId="0" applyFont="1" applyBorder="1" applyAlignment="1">
      <alignment horizontal="center"/>
    </xf>
    <xf numFmtId="164" fontId="24" fillId="0" borderId="10" xfId="0" applyFont="1" applyBorder="1" applyAlignment="1">
      <alignment horizontal="center"/>
    </xf>
    <xf numFmtId="164" fontId="24" fillId="0" borderId="16" xfId="0" applyFont="1" applyBorder="1" applyAlignment="1">
      <alignment horizontal="center"/>
    </xf>
    <xf numFmtId="164" fontId="24" fillId="0" borderId="0" xfId="0" applyFont="1" applyAlignment="1">
      <alignment horizontal="center"/>
    </xf>
    <xf numFmtId="164" fontId="24" fillId="0" borderId="12" xfId="0" applyFont="1" applyBorder="1" applyAlignment="1">
      <alignment horizontal="center"/>
    </xf>
    <xf numFmtId="164" fontId="24" fillId="0" borderId="14" xfId="0" applyFont="1" applyBorder="1" applyAlignment="1">
      <alignment horizontal="center"/>
    </xf>
    <xf numFmtId="164" fontId="24" fillId="0" borderId="14" xfId="0" applyFont="1" applyBorder="1"/>
    <xf numFmtId="164" fontId="7" fillId="0" borderId="14" xfId="0" applyFont="1" applyBorder="1" applyAlignment="1">
      <alignment horizontal="center"/>
    </xf>
    <xf numFmtId="164" fontId="24" fillId="3" borderId="14" xfId="0" applyFont="1" applyFill="1" applyBorder="1"/>
    <xf numFmtId="164" fontId="24" fillId="3" borderId="16" xfId="0" applyFont="1" applyFill="1" applyBorder="1"/>
    <xf numFmtId="43" fontId="24" fillId="0" borderId="0" xfId="4" applyFont="1"/>
    <xf numFmtId="43" fontId="24" fillId="0" borderId="0" xfId="4" applyFont="1" applyAlignment="1">
      <alignment horizontal="center"/>
    </xf>
    <xf numFmtId="167" fontId="21" fillId="0" borderId="0" xfId="4" applyNumberFormat="1" applyFont="1"/>
    <xf numFmtId="167" fontId="7" fillId="0" borderId="0" xfId="4" applyNumberFormat="1" applyFont="1" applyAlignment="1">
      <alignment horizontal="left" vertical="top"/>
    </xf>
    <xf numFmtId="181" fontId="7" fillId="0" borderId="0" xfId="2" applyNumberFormat="1" applyFont="1"/>
    <xf numFmtId="181" fontId="0" fillId="0" borderId="0" xfId="2" applyNumberFormat="1" applyFont="1"/>
    <xf numFmtId="164" fontId="7" fillId="0" borderId="0" xfId="0" applyFont="1" applyAlignment="1">
      <alignment vertical="top" wrapText="1"/>
    </xf>
    <xf numFmtId="0" fontId="21" fillId="0" borderId="0" xfId="8" applyNumberFormat="1" applyFont="1"/>
    <xf numFmtId="164" fontId="12" fillId="0" borderId="0" xfId="8" applyFont="1"/>
    <xf numFmtId="49" fontId="7" fillId="0" borderId="0" xfId="4" applyNumberFormat="1" applyFont="1" applyAlignment="1">
      <alignment horizontal="center"/>
    </xf>
    <xf numFmtId="164" fontId="7" fillId="0" borderId="0" xfId="8" quotePrefix="1" applyFont="1" applyAlignment="1">
      <alignment horizontal="left"/>
    </xf>
    <xf numFmtId="164" fontId="7" fillId="0" borderId="0" xfId="8" applyFont="1" applyAlignment="1">
      <alignment horizontal="center" wrapText="1"/>
    </xf>
    <xf numFmtId="1" fontId="7" fillId="0" borderId="0" xfId="8" applyNumberFormat="1" applyFont="1" applyAlignment="1">
      <alignment horizontal="left"/>
    </xf>
    <xf numFmtId="0" fontId="7" fillId="0" borderId="0" xfId="14" applyFont="1"/>
    <xf numFmtId="0" fontId="13" fillId="0" borderId="0" xfId="0" applyNumberFormat="1" applyFont="1" applyAlignment="1">
      <alignment horizontal="center"/>
    </xf>
    <xf numFmtId="0" fontId="7" fillId="0" borderId="0" xfId="15" applyFont="1"/>
    <xf numFmtId="164" fontId="26" fillId="0" borderId="0" xfId="0" applyFont="1"/>
    <xf numFmtId="0" fontId="7" fillId="0" borderId="0" xfId="15" applyFont="1" applyAlignment="1">
      <alignment horizontal="center"/>
    </xf>
    <xf numFmtId="164" fontId="7" fillId="0" borderId="0" xfId="0" applyFont="1" applyAlignment="1">
      <alignment horizontal="right"/>
    </xf>
    <xf numFmtId="0" fontId="12" fillId="0" borderId="0" xfId="15" applyFont="1" applyAlignment="1">
      <alignment horizontal="centerContinuous"/>
    </xf>
    <xf numFmtId="0" fontId="12" fillId="0" borderId="8" xfId="15" applyFont="1" applyBorder="1" applyAlignment="1">
      <alignment horizontal="center"/>
    </xf>
    <xf numFmtId="0" fontId="7" fillId="0" borderId="0" xfId="0" applyNumberFormat="1" applyFont="1" applyAlignment="1">
      <alignment horizontal="center" wrapText="1"/>
    </xf>
    <xf numFmtId="0" fontId="12" fillId="0" borderId="0" xfId="15" applyFont="1" applyAlignment="1">
      <alignment horizontal="center" wrapText="1"/>
    </xf>
    <xf numFmtId="164" fontId="26" fillId="0" borderId="0" xfId="0" applyFont="1" applyAlignment="1">
      <alignment wrapText="1"/>
    </xf>
    <xf numFmtId="164" fontId="7" fillId="0" borderId="0" xfId="0" applyFont="1" applyAlignment="1">
      <alignment wrapText="1"/>
    </xf>
    <xf numFmtId="0" fontId="12" fillId="0" borderId="0" xfId="15" applyFont="1" applyAlignment="1">
      <alignment horizontal="center"/>
    </xf>
    <xf numFmtId="0" fontId="12" fillId="0" borderId="0" xfId="9" applyFont="1" applyAlignment="1">
      <alignment horizontal="center" wrapText="1"/>
    </xf>
    <xf numFmtId="164" fontId="27" fillId="0" borderId="0" xfId="0" applyFont="1"/>
    <xf numFmtId="0" fontId="7" fillId="0" borderId="0" xfId="15" applyFont="1" applyAlignment="1">
      <alignment horizontal="left"/>
    </xf>
    <xf numFmtId="0" fontId="7" fillId="0" borderId="0" xfId="15" quotePrefix="1" applyFont="1" applyAlignment="1">
      <alignment horizontal="left"/>
    </xf>
    <xf numFmtId="41" fontId="7" fillId="2" borderId="0" xfId="15" applyNumberFormat="1" applyFont="1" applyFill="1"/>
    <xf numFmtId="0" fontId="7" fillId="0" borderId="0" xfId="15" applyFont="1" applyAlignment="1">
      <alignment horizontal="right"/>
    </xf>
    <xf numFmtId="43" fontId="7" fillId="0" borderId="3" xfId="4" applyFont="1" applyBorder="1"/>
    <xf numFmtId="37" fontId="7" fillId="0" borderId="0" xfId="15" applyNumberFormat="1" applyFont="1"/>
    <xf numFmtId="164" fontId="7" fillId="0" borderId="0" xfId="16" applyFont="1"/>
    <xf numFmtId="0" fontId="12" fillId="0" borderId="0" xfId="15" applyFont="1" applyAlignment="1">
      <alignment horizontal="centerContinuous" wrapText="1"/>
    </xf>
    <xf numFmtId="0" fontId="12" fillId="4" borderId="0" xfId="9" applyFont="1" applyFill="1" applyAlignment="1">
      <alignment horizontal="center" wrapText="1"/>
    </xf>
    <xf numFmtId="41" fontId="24" fillId="5" borderId="0" xfId="15" applyNumberFormat="1" applyFont="1" applyFill="1"/>
    <xf numFmtId="43" fontId="7" fillId="5" borderId="3" xfId="4" applyFont="1" applyFill="1" applyBorder="1"/>
    <xf numFmtId="164" fontId="7" fillId="4" borderId="0" xfId="0" applyFont="1" applyFill="1"/>
    <xf numFmtId="44" fontId="7" fillId="0" borderId="0" xfId="0" applyNumberFormat="1" applyFont="1"/>
    <xf numFmtId="0" fontId="7" fillId="0" borderId="0" xfId="17" applyFont="1"/>
    <xf numFmtId="0" fontId="7" fillId="0" borderId="0" xfId="17" applyFont="1" applyAlignment="1">
      <alignment horizontal="center"/>
    </xf>
    <xf numFmtId="3" fontId="7" fillId="0" borderId="0" xfId="17" applyNumberFormat="1" applyFont="1" applyAlignment="1">
      <alignment horizontal="center" wrapText="1"/>
    </xf>
    <xf numFmtId="0" fontId="7" fillId="0" borderId="0" xfId="17" applyFont="1" applyAlignment="1">
      <alignment horizontal="center" wrapText="1"/>
    </xf>
    <xf numFmtId="0" fontId="7" fillId="3" borderId="0" xfId="17" applyFont="1" applyFill="1"/>
    <xf numFmtId="167" fontId="7" fillId="3" borderId="0" xfId="4" applyNumberFormat="1" applyFont="1" applyFill="1" applyAlignment="1">
      <alignment horizontal="center"/>
    </xf>
    <xf numFmtId="167" fontId="7" fillId="0" borderId="0" xfId="4" applyNumberFormat="1" applyFont="1" applyAlignment="1">
      <alignment horizontal="center" wrapText="1"/>
    </xf>
    <xf numFmtId="164" fontId="13" fillId="3" borderId="0" xfId="0" applyFont="1" applyFill="1"/>
    <xf numFmtId="0" fontId="7" fillId="3" borderId="4" xfId="17" applyFont="1" applyFill="1" applyBorder="1"/>
    <xf numFmtId="167" fontId="7" fillId="3" borderId="4" xfId="4" applyNumberFormat="1" applyFont="1" applyFill="1" applyBorder="1"/>
    <xf numFmtId="167" fontId="7" fillId="3" borderId="4" xfId="4" applyNumberFormat="1" applyFont="1" applyFill="1" applyBorder="1" applyAlignment="1">
      <alignment horizontal="center"/>
    </xf>
    <xf numFmtId="164" fontId="13" fillId="3" borderId="4" xfId="0" applyFont="1" applyFill="1" applyBorder="1"/>
    <xf numFmtId="167" fontId="7" fillId="0" borderId="4" xfId="4" applyNumberFormat="1" applyFont="1" applyBorder="1" applyAlignment="1">
      <alignment horizontal="center" wrapText="1"/>
    </xf>
    <xf numFmtId="0" fontId="11" fillId="0" borderId="0" xfId="0" applyNumberFormat="1" applyFont="1" applyAlignment="1">
      <alignment horizontal="center"/>
    </xf>
    <xf numFmtId="164" fontId="11" fillId="0" borderId="0" xfId="0" applyFont="1" applyAlignment="1">
      <alignment horizontal="center"/>
    </xf>
    <xf numFmtId="44" fontId="11" fillId="0" borderId="0" xfId="0" applyNumberFormat="1" applyFont="1"/>
    <xf numFmtId="0" fontId="7" fillId="0" borderId="0" xfId="0" applyNumberFormat="1" applyFont="1" applyAlignment="1">
      <alignment horizontal="center" vertical="top"/>
    </xf>
    <xf numFmtId="0" fontId="7" fillId="0" borderId="0" xfId="6" applyFont="1" applyAlignment="1">
      <alignment vertical="top"/>
    </xf>
    <xf numFmtId="49" fontId="7" fillId="0" borderId="0" xfId="0" applyNumberFormat="1" applyFont="1" applyAlignment="1">
      <alignment horizontal="center" vertical="center" wrapText="1"/>
    </xf>
    <xf numFmtId="0" fontId="7" fillId="0" borderId="0" xfId="18" applyFont="1" applyAlignment="1">
      <alignment horizontal="center" vertical="center" wrapText="1"/>
    </xf>
    <xf numFmtId="164" fontId="7" fillId="0" borderId="0" xfId="0" applyFont="1" applyAlignment="1">
      <alignment horizontal="center" vertical="center" wrapText="1"/>
    </xf>
    <xf numFmtId="0" fontId="7" fillId="0" borderId="0" xfId="18" applyFont="1" applyAlignment="1">
      <alignment horizontal="center" wrapText="1"/>
    </xf>
    <xf numFmtId="0" fontId="7" fillId="0" borderId="0" xfId="18" applyFont="1" applyAlignment="1">
      <alignment horizontal="center"/>
    </xf>
    <xf numFmtId="0" fontId="7" fillId="0" borderId="0" xfId="15" applyFont="1" applyAlignment="1">
      <alignment horizontal="center" wrapText="1"/>
    </xf>
    <xf numFmtId="0" fontId="7" fillId="0" borderId="0" xfId="9" applyFont="1" applyAlignment="1">
      <alignment horizontal="center" wrapText="1"/>
    </xf>
    <xf numFmtId="164" fontId="13" fillId="0" borderId="0" xfId="0" applyFont="1" applyAlignment="1">
      <alignment horizontal="center"/>
    </xf>
    <xf numFmtId="0" fontId="7" fillId="0" borderId="0" xfId="18" applyFont="1" applyAlignment="1">
      <alignment wrapText="1"/>
    </xf>
    <xf numFmtId="0" fontId="11" fillId="0" borderId="0" xfId="18" applyFont="1" applyAlignment="1">
      <alignment horizontal="center"/>
    </xf>
    <xf numFmtId="0" fontId="7" fillId="0" borderId="0" xfId="18" applyFont="1"/>
    <xf numFmtId="0" fontId="7" fillId="0" borderId="6" xfId="18" applyFont="1" applyBorder="1"/>
    <xf numFmtId="181" fontId="7" fillId="0" borderId="6" xfId="2" applyNumberFormat="1" applyFont="1" applyBorder="1"/>
    <xf numFmtId="0" fontId="11" fillId="0" borderId="0" xfId="18" applyFont="1"/>
    <xf numFmtId="0" fontId="7" fillId="0" borderId="0" xfId="18" applyFont="1" applyAlignment="1">
      <alignment horizontal="left" wrapText="1"/>
    </xf>
    <xf numFmtId="167" fontId="7" fillId="0" borderId="6" xfId="2" applyNumberFormat="1" applyFont="1" applyBorder="1"/>
    <xf numFmtId="1" fontId="7" fillId="0" borderId="0" xfId="0" applyNumberFormat="1" applyFont="1" applyAlignment="1">
      <alignment horizontal="center"/>
    </xf>
    <xf numFmtId="3" fontId="7" fillId="0" borderId="0" xfId="0" applyNumberFormat="1" applyFont="1" applyFill="1"/>
    <xf numFmtId="167" fontId="7" fillId="0" borderId="0" xfId="4" applyNumberFormat="1" applyFont="1" applyProtection="1">
      <protection locked="0"/>
    </xf>
    <xf numFmtId="10" fontId="7" fillId="3" borderId="0" xfId="1" quotePrefix="1" applyNumberFormat="1" applyFont="1" applyFill="1" applyAlignment="1">
      <alignment horizontal="right"/>
    </xf>
    <xf numFmtId="43" fontId="7" fillId="0" borderId="0" xfId="18" applyNumberFormat="1" applyFont="1"/>
    <xf numFmtId="10" fontId="7" fillId="3" borderId="0" xfId="4" applyNumberFormat="1" applyFont="1" applyFill="1"/>
    <xf numFmtId="49" fontId="7" fillId="0" borderId="0" xfId="0" applyNumberFormat="1" applyFont="1" applyFill="1" applyAlignment="1">
      <alignment horizontal="center"/>
    </xf>
    <xf numFmtId="1" fontId="7" fillId="0" borderId="0" xfId="0" applyNumberFormat="1" applyFont="1" applyFill="1" applyAlignment="1">
      <alignment horizontal="center"/>
    </xf>
    <xf numFmtId="7" fontId="29" fillId="0" borderId="0" xfId="19" applyFont="1"/>
    <xf numFmtId="7" fontId="29" fillId="0" borderId="0" xfId="19" applyFont="1" applyAlignment="1">
      <alignment horizontal="center"/>
    </xf>
    <xf numFmtId="7" fontId="30" fillId="0" borderId="0" xfId="19" applyFont="1" applyAlignment="1">
      <alignment horizontal="center"/>
    </xf>
    <xf numFmtId="7" fontId="30" fillId="0" borderId="0" xfId="19" applyFont="1"/>
    <xf numFmtId="182" fontId="31" fillId="0" borderId="0" xfId="20" applyNumberFormat="1" applyFont="1" applyAlignment="1">
      <alignment horizontal="center"/>
    </xf>
    <xf numFmtId="179" fontId="30" fillId="0" borderId="0" xfId="4" applyNumberFormat="1" applyFont="1" applyAlignment="1">
      <alignment horizontal="left"/>
    </xf>
    <xf numFmtId="182" fontId="30" fillId="0" borderId="0" xfId="20" applyNumberFormat="1" applyFont="1" applyAlignment="1">
      <alignment horizontal="center"/>
    </xf>
    <xf numFmtId="179" fontId="29" fillId="0" borderId="0" xfId="4" applyNumberFormat="1" applyFont="1" applyAlignment="1">
      <alignment horizontal="left"/>
    </xf>
    <xf numFmtId="182" fontId="30" fillId="0" borderId="0" xfId="20" applyNumberFormat="1" applyFont="1"/>
    <xf numFmtId="10" fontId="30" fillId="0" borderId="0" xfId="19" applyNumberFormat="1" applyFont="1"/>
    <xf numFmtId="182" fontId="7" fillId="0" borderId="0" xfId="20" applyNumberFormat="1" applyFont="1"/>
    <xf numFmtId="7" fontId="7" fillId="0" borderId="0" xfId="19" quotePrefix="1" applyFont="1"/>
    <xf numFmtId="7" fontId="30" fillId="0" borderId="0" xfId="19" applyFont="1" applyAlignment="1">
      <alignment horizontal="left"/>
    </xf>
    <xf numFmtId="7" fontId="7" fillId="0" borderId="0" xfId="19" applyFont="1"/>
    <xf numFmtId="182" fontId="7" fillId="0" borderId="0" xfId="20" applyNumberFormat="1" applyFont="1" applyAlignment="1">
      <alignment horizontal="center"/>
    </xf>
    <xf numFmtId="164" fontId="30" fillId="0" borderId="0" xfId="0" applyFont="1"/>
    <xf numFmtId="2" fontId="30" fillId="0" borderId="0" xfId="0" applyNumberFormat="1" applyFont="1" applyAlignment="1">
      <alignment horizontal="left"/>
    </xf>
    <xf numFmtId="164" fontId="30" fillId="0" borderId="0" xfId="0" applyFont="1" applyAlignment="1">
      <alignment horizontal="left"/>
    </xf>
    <xf numFmtId="10" fontId="30" fillId="0" borderId="0" xfId="1" applyNumberFormat="1" applyFont="1" applyAlignment="1">
      <alignment horizontal="center"/>
    </xf>
    <xf numFmtId="2" fontId="7" fillId="0" borderId="0" xfId="0" applyNumberFormat="1" applyFont="1" applyAlignment="1">
      <alignment horizontal="center"/>
    </xf>
    <xf numFmtId="2" fontId="7" fillId="0" borderId="0" xfId="0" applyNumberFormat="1" applyFont="1"/>
    <xf numFmtId="0" fontId="6" fillId="0" borderId="0" xfId="17" applyAlignment="1">
      <alignment horizontal="center"/>
    </xf>
    <xf numFmtId="0" fontId="32" fillId="0" borderId="0" xfId="17" applyFont="1" applyAlignment="1">
      <alignment horizontal="left"/>
    </xf>
    <xf numFmtId="0" fontId="6" fillId="0" borderId="0" xfId="17"/>
    <xf numFmtId="164" fontId="33" fillId="0" borderId="0" xfId="8" applyFont="1" applyAlignment="1">
      <alignment horizontal="center"/>
    </xf>
    <xf numFmtId="164" fontId="17" fillId="0" borderId="0" xfId="0" applyFont="1"/>
    <xf numFmtId="0" fontId="24" fillId="0" borderId="0" xfId="12" applyFont="1"/>
    <xf numFmtId="0" fontId="19" fillId="0" borderId="0" xfId="17" applyFont="1" applyAlignment="1">
      <alignment horizontal="left"/>
    </xf>
    <xf numFmtId="164" fontId="12" fillId="0" borderId="0" xfId="8" applyFont="1" applyAlignment="1">
      <alignment horizontal="center"/>
    </xf>
    <xf numFmtId="0" fontId="34" fillId="0" borderId="0" xfId="21" applyFont="1" applyAlignment="1">
      <alignment horizontal="center"/>
    </xf>
    <xf numFmtId="164" fontId="12" fillId="0" borderId="0" xfId="8" applyFont="1" applyAlignment="1">
      <alignment horizontal="center" wrapText="1"/>
    </xf>
    <xf numFmtId="0" fontId="12" fillId="0" borderId="0" xfId="21" applyFont="1" applyAlignment="1">
      <alignment horizontal="center"/>
    </xf>
    <xf numFmtId="3" fontId="6" fillId="0" borderId="0" xfId="17" applyNumberFormat="1"/>
    <xf numFmtId="164" fontId="34" fillId="0" borderId="0" xfId="8" applyFont="1" applyAlignment="1">
      <alignment horizontal="center" wrapText="1"/>
    </xf>
    <xf numFmtId="0" fontId="6" fillId="0" borderId="0" xfId="22" applyFont="1"/>
    <xf numFmtId="166" fontId="6" fillId="0" borderId="0" xfId="22" applyNumberFormat="1" applyFont="1" applyAlignment="1">
      <alignment horizontal="right"/>
    </xf>
    <xf numFmtId="166" fontId="6" fillId="0" borderId="0" xfId="8" applyNumberFormat="1" applyFont="1"/>
    <xf numFmtId="3" fontId="7" fillId="0" borderId="0" xfId="17" applyNumberFormat="1" applyFont="1"/>
    <xf numFmtId="164" fontId="12" fillId="0" borderId="4" xfId="8" applyFont="1" applyBorder="1" applyAlignment="1">
      <alignment horizontal="center" wrapText="1"/>
    </xf>
    <xf numFmtId="167" fontId="6" fillId="0" borderId="0" xfId="23" applyNumberFormat="1" applyFont="1" applyAlignment="1">
      <alignment horizontal="right"/>
    </xf>
    <xf numFmtId="0" fontId="7" fillId="0" borderId="0" xfId="22" applyFont="1"/>
    <xf numFmtId="168" fontId="6" fillId="0" borderId="0" xfId="22" applyNumberFormat="1" applyFont="1"/>
    <xf numFmtId="164" fontId="6" fillId="0" borderId="0" xfId="8" applyFont="1"/>
    <xf numFmtId="168" fontId="7" fillId="0" borderId="0" xfId="24" applyNumberFormat="1" applyFont="1"/>
    <xf numFmtId="167" fontId="7" fillId="2" borderId="0" xfId="23" applyNumberFormat="1" applyFont="1" applyFill="1" applyAlignment="1">
      <alignment horizontal="right"/>
    </xf>
    <xf numFmtId="167" fontId="7" fillId="0" borderId="0" xfId="23" applyNumberFormat="1" applyFont="1" applyAlignment="1">
      <alignment horizontal="right"/>
    </xf>
    <xf numFmtId="167" fontId="0" fillId="0" borderId="0" xfId="4" applyNumberFormat="1" applyFont="1"/>
    <xf numFmtId="166" fontId="7" fillId="0" borderId="0" xfId="22" applyNumberFormat="1" applyFont="1"/>
    <xf numFmtId="0" fontId="7" fillId="0" borderId="0" xfId="0" applyNumberFormat="1" applyFont="1" applyAlignment="1">
      <alignment horizontal="center" vertical="center"/>
    </xf>
    <xf numFmtId="164" fontId="7" fillId="0" borderId="1" xfId="8" applyFont="1" applyBorder="1" applyAlignment="1">
      <alignment horizontal="center"/>
    </xf>
    <xf numFmtId="0" fontId="14" fillId="0" borderId="0" xfId="25" applyFont="1"/>
    <xf numFmtId="0" fontId="22" fillId="0" borderId="0" xfId="25" applyFont="1"/>
    <xf numFmtId="0" fontId="23" fillId="0" borderId="0" xfId="25" applyFont="1"/>
    <xf numFmtId="0" fontId="14" fillId="0" borderId="0" xfId="25" applyFont="1" applyAlignment="1">
      <alignment horizontal="center"/>
    </xf>
    <xf numFmtId="0" fontId="22" fillId="0" borderId="0" xfId="25" applyFont="1" applyAlignment="1">
      <alignment horizontal="center"/>
    </xf>
    <xf numFmtId="0" fontId="35" fillId="0" borderId="0" xfId="25" applyFont="1"/>
    <xf numFmtId="0" fontId="14" fillId="0" borderId="4" xfId="25" applyFont="1" applyBorder="1" applyAlignment="1">
      <alignment horizontal="center"/>
    </xf>
    <xf numFmtId="0" fontId="14" fillId="0" borderId="4" xfId="25" applyFont="1" applyBorder="1"/>
    <xf numFmtId="0" fontId="22" fillId="0" borderId="4" xfId="25" applyFont="1" applyBorder="1"/>
    <xf numFmtId="0" fontId="14" fillId="0" borderId="4" xfId="25" applyFont="1" applyBorder="1" applyAlignment="1">
      <alignment horizontal="center" wrapText="1"/>
    </xf>
    <xf numFmtId="0" fontId="14" fillId="0" borderId="0" xfId="25" applyFont="1" applyAlignment="1">
      <alignment horizontal="right"/>
    </xf>
    <xf numFmtId="43" fontId="22" fillId="0" borderId="0" xfId="4" applyFont="1"/>
    <xf numFmtId="167" fontId="14" fillId="0" borderId="0" xfId="4" applyNumberFormat="1" applyFont="1"/>
    <xf numFmtId="37" fontId="14" fillId="0" borderId="0" xfId="25" applyNumberFormat="1" applyFont="1"/>
    <xf numFmtId="43" fontId="14" fillId="0" borderId="0" xfId="4" applyFont="1"/>
    <xf numFmtId="43" fontId="14" fillId="0" borderId="0" xfId="25" applyNumberFormat="1" applyFont="1"/>
    <xf numFmtId="9" fontId="14" fillId="0" borderId="0" xfId="25" applyNumberFormat="1" applyFont="1" applyAlignment="1">
      <alignment horizontal="left"/>
    </xf>
    <xf numFmtId="37" fontId="14" fillId="0" borderId="0" xfId="25" applyNumberFormat="1" applyFont="1" applyAlignment="1">
      <alignment horizontal="left"/>
    </xf>
    <xf numFmtId="0" fontId="14" fillId="0" borderId="4" xfId="25" applyFont="1" applyBorder="1" applyAlignment="1">
      <alignment horizontal="right" vertical="top"/>
    </xf>
    <xf numFmtId="0" fontId="14" fillId="0" borderId="4" xfId="25" applyFont="1" applyBorder="1" applyAlignment="1">
      <alignment horizontal="center" vertical="top" wrapText="1"/>
    </xf>
    <xf numFmtId="0" fontId="14" fillId="0" borderId="0" xfId="25" applyFont="1" applyAlignment="1">
      <alignment horizontal="left"/>
    </xf>
    <xf numFmtId="0" fontId="14" fillId="3" borderId="0" xfId="4" applyNumberFormat="1" applyFont="1" applyFill="1" applyAlignment="1">
      <alignment horizontal="center"/>
    </xf>
    <xf numFmtId="167" fontId="22" fillId="0" borderId="0" xfId="4" applyNumberFormat="1" applyFont="1"/>
    <xf numFmtId="43" fontId="22" fillId="0" borderId="0" xfId="25" applyNumberFormat="1" applyFont="1"/>
    <xf numFmtId="167" fontId="14" fillId="0" borderId="0" xfId="25" applyNumberFormat="1" applyFont="1"/>
    <xf numFmtId="167" fontId="22" fillId="0" borderId="0" xfId="25" applyNumberFormat="1" applyFont="1"/>
    <xf numFmtId="41" fontId="14" fillId="0" borderId="0" xfId="25" applyNumberFormat="1" applyFont="1" applyAlignment="1">
      <alignment horizontal="center"/>
    </xf>
    <xf numFmtId="41" fontId="36" fillId="0" borderId="0" xfId="25" applyNumberFormat="1" applyFont="1" applyAlignment="1">
      <alignment horizontal="center"/>
    </xf>
    <xf numFmtId="10" fontId="22" fillId="0" borderId="0" xfId="25" applyNumberFormat="1" applyFont="1"/>
    <xf numFmtId="10" fontId="14" fillId="0" borderId="0" xfId="1" applyNumberFormat="1" applyFont="1"/>
    <xf numFmtId="167" fontId="14" fillId="3" borderId="0" xfId="4" applyNumberFormat="1" applyFont="1" applyFill="1"/>
    <xf numFmtId="167" fontId="22" fillId="3" borderId="0" xfId="4" applyNumberFormat="1" applyFont="1" applyFill="1"/>
    <xf numFmtId="0" fontId="14" fillId="0" borderId="0" xfId="25" applyFont="1" applyAlignment="1">
      <alignment horizontal="center" wrapText="1"/>
    </xf>
    <xf numFmtId="0" fontId="14" fillId="2" borderId="18" xfId="25" applyFont="1" applyFill="1" applyBorder="1"/>
    <xf numFmtId="41" fontId="14" fillId="2" borderId="8" xfId="25" applyNumberFormat="1" applyFont="1" applyFill="1" applyBorder="1"/>
    <xf numFmtId="41" fontId="14" fillId="2" borderId="8" xfId="26" applyFont="1" applyFill="1" applyBorder="1"/>
    <xf numFmtId="0" fontId="14" fillId="2" borderId="19" xfId="25" applyFont="1" applyFill="1" applyBorder="1" applyAlignment="1">
      <alignment wrapText="1"/>
    </xf>
    <xf numFmtId="0" fontId="14" fillId="2" borderId="18" xfId="25" applyFont="1" applyFill="1" applyBorder="1" applyAlignment="1">
      <alignment wrapText="1"/>
    </xf>
    <xf numFmtId="0" fontId="14" fillId="2" borderId="8" xfId="25" applyFont="1" applyFill="1" applyBorder="1"/>
    <xf numFmtId="0" fontId="14" fillId="6" borderId="18" xfId="25" applyFont="1" applyFill="1" applyBorder="1" applyAlignment="1">
      <alignment wrapText="1"/>
    </xf>
    <xf numFmtId="41" fontId="14" fillId="6" borderId="8" xfId="25" applyNumberFormat="1" applyFont="1" applyFill="1" applyBorder="1"/>
    <xf numFmtId="0" fontId="14" fillId="6" borderId="19" xfId="25" applyFont="1" applyFill="1" applyBorder="1" applyAlignment="1">
      <alignment wrapText="1"/>
    </xf>
    <xf numFmtId="0" fontId="14" fillId="0" borderId="20" xfId="25" applyFont="1" applyBorder="1"/>
    <xf numFmtId="167" fontId="14" fillId="0" borderId="8" xfId="4" applyNumberFormat="1" applyFont="1" applyBorder="1"/>
    <xf numFmtId="37" fontId="14" fillId="0" borderId="19" xfId="25" applyNumberFormat="1" applyFont="1" applyBorder="1" applyAlignment="1">
      <alignment wrapText="1"/>
    </xf>
    <xf numFmtId="0" fontId="14" fillId="0" borderId="21" xfId="25" applyFont="1" applyBorder="1"/>
    <xf numFmtId="167" fontId="14" fillId="2" borderId="8" xfId="4" applyNumberFormat="1" applyFont="1" applyFill="1" applyBorder="1"/>
    <xf numFmtId="167" fontId="14" fillId="2" borderId="8" xfId="4" applyNumberFormat="1" applyFont="1" applyFill="1" applyBorder="1" applyAlignment="1">
      <alignment horizontal="right"/>
    </xf>
    <xf numFmtId="167" fontId="14" fillId="2" borderId="8" xfId="4" applyNumberFormat="1" applyFont="1" applyFill="1" applyBorder="1" applyAlignment="1">
      <alignment horizontal="center"/>
    </xf>
    <xf numFmtId="0" fontId="14" fillId="0" borderId="22" xfId="25" applyFont="1" applyBorder="1"/>
    <xf numFmtId="167" fontId="14" fillId="2" borderId="12" xfId="4" applyNumberFormat="1" applyFont="1" applyFill="1" applyBorder="1"/>
    <xf numFmtId="0" fontId="14" fillId="2" borderId="23" xfId="25" applyFont="1" applyFill="1" applyBorder="1" applyAlignment="1">
      <alignment wrapText="1"/>
    </xf>
    <xf numFmtId="0" fontId="14" fillId="0" borderId="24" xfId="25" applyFont="1" applyBorder="1"/>
    <xf numFmtId="167" fontId="14" fillId="0" borderId="25" xfId="4" applyNumberFormat="1" applyFont="1" applyBorder="1"/>
    <xf numFmtId="0" fontId="14" fillId="0" borderId="26" xfId="25" applyFont="1" applyBorder="1" applyAlignment="1">
      <alignment wrapText="1"/>
    </xf>
    <xf numFmtId="37" fontId="14" fillId="0" borderId="0" xfId="25" applyNumberFormat="1" applyFont="1" applyAlignment="1">
      <alignment horizontal="center"/>
    </xf>
    <xf numFmtId="37" fontId="14" fillId="0" borderId="0" xfId="25" applyNumberFormat="1" applyFont="1" applyAlignment="1">
      <alignment wrapText="1"/>
    </xf>
    <xf numFmtId="0" fontId="14" fillId="0" borderId="0" xfId="25" applyFont="1" applyAlignment="1">
      <alignment wrapText="1"/>
    </xf>
    <xf numFmtId="37" fontId="14" fillId="2" borderId="8" xfId="25" applyNumberFormat="1" applyFont="1" applyFill="1" applyBorder="1"/>
    <xf numFmtId="41" fontId="14" fillId="6" borderId="8" xfId="26" applyFont="1" applyFill="1" applyBorder="1"/>
    <xf numFmtId="0" fontId="14" fillId="0" borderId="18" xfId="25" applyFont="1" applyBorder="1"/>
    <xf numFmtId="0" fontId="14" fillId="0" borderId="27" xfId="25" applyFont="1" applyBorder="1"/>
    <xf numFmtId="0" fontId="14" fillId="2" borderId="18" xfId="27" applyFont="1" applyFill="1" applyBorder="1"/>
    <xf numFmtId="41" fontId="14" fillId="0" borderId="0" xfId="26" applyFont="1"/>
    <xf numFmtId="0" fontId="14" fillId="0" borderId="28" xfId="25" applyFont="1" applyBorder="1"/>
    <xf numFmtId="167" fontId="14" fillId="2" borderId="12" xfId="4" applyNumberFormat="1" applyFont="1" applyFill="1" applyBorder="1" applyAlignment="1">
      <alignment horizontal="right"/>
    </xf>
    <xf numFmtId="167" fontId="14" fillId="0" borderId="25" xfId="4" applyNumberFormat="1" applyFont="1" applyBorder="1" applyAlignment="1">
      <alignment horizontal="right"/>
    </xf>
    <xf numFmtId="167" fontId="14" fillId="0" borderId="0" xfId="25" applyNumberFormat="1" applyFont="1" applyAlignment="1">
      <alignment wrapText="1"/>
    </xf>
    <xf numFmtId="0" fontId="14" fillId="0" borderId="0" xfId="25" applyFont="1" applyAlignment="1">
      <alignment horizontal="centerContinuous"/>
    </xf>
    <xf numFmtId="0" fontId="14" fillId="0" borderId="0" xfId="25" applyFont="1"/>
    <xf numFmtId="0" fontId="22" fillId="0" borderId="4" xfId="25" applyFont="1" applyBorder="1" applyAlignment="1">
      <alignment horizontal="center" wrapText="1"/>
    </xf>
    <xf numFmtId="43" fontId="14" fillId="0" borderId="0" xfId="4" applyFont="1" applyAlignment="1">
      <alignment horizontal="center"/>
    </xf>
    <xf numFmtId="0" fontId="21" fillId="0" borderId="0" xfId="25" applyFont="1"/>
    <xf numFmtId="0" fontId="21" fillId="0" borderId="0" xfId="25" applyFont="1" applyAlignment="1">
      <alignment horizontal="left"/>
    </xf>
    <xf numFmtId="0" fontId="21" fillId="0" borderId="0" xfId="25" applyFont="1" applyAlignment="1">
      <alignment horizontal="center"/>
    </xf>
    <xf numFmtId="0" fontId="21" fillId="0" borderId="29" xfId="25" applyFont="1" applyBorder="1" applyAlignment="1">
      <alignment horizontal="center"/>
    </xf>
    <xf numFmtId="0" fontId="21" fillId="0" borderId="30" xfId="25" applyFont="1" applyBorder="1" applyAlignment="1">
      <alignment horizontal="center"/>
    </xf>
    <xf numFmtId="0" fontId="21" fillId="0" borderId="4" xfId="25" applyFont="1" applyBorder="1" applyAlignment="1">
      <alignment horizontal="right" vertical="top"/>
    </xf>
    <xf numFmtId="0" fontId="21" fillId="0" borderId="4" xfId="25" applyFont="1" applyBorder="1" applyAlignment="1">
      <alignment horizontal="center" vertical="top" wrapText="1"/>
    </xf>
    <xf numFmtId="0" fontId="21" fillId="0" borderId="31" xfId="25" applyFont="1" applyBorder="1" applyAlignment="1">
      <alignment horizontal="center" vertical="top" wrapText="1"/>
    </xf>
    <xf numFmtId="0" fontId="21" fillId="0" borderId="32" xfId="25" applyFont="1" applyBorder="1" applyAlignment="1">
      <alignment horizontal="center" vertical="top" wrapText="1"/>
    </xf>
    <xf numFmtId="0" fontId="21" fillId="0" borderId="29" xfId="25" applyFont="1" applyBorder="1"/>
    <xf numFmtId="0" fontId="21" fillId="0" borderId="30" xfId="25" applyFont="1" applyBorder="1"/>
    <xf numFmtId="0" fontId="21" fillId="0" borderId="0" xfId="25" applyFont="1" applyAlignment="1">
      <alignment horizontal="right"/>
    </xf>
    <xf numFmtId="0" fontId="21" fillId="3" borderId="0" xfId="4" applyNumberFormat="1" applyFont="1" applyFill="1" applyAlignment="1">
      <alignment horizontal="center"/>
    </xf>
    <xf numFmtId="10" fontId="21" fillId="0" borderId="0" xfId="1" applyNumberFormat="1" applyFont="1"/>
    <xf numFmtId="167" fontId="21" fillId="0" borderId="29" xfId="4" applyNumberFormat="1" applyFont="1" applyBorder="1"/>
    <xf numFmtId="167" fontId="21" fillId="0" borderId="30" xfId="4" applyNumberFormat="1" applyFont="1" applyBorder="1"/>
    <xf numFmtId="167" fontId="21" fillId="3" borderId="0" xfId="4" applyNumberFormat="1" applyFont="1" applyFill="1"/>
    <xf numFmtId="167" fontId="21" fillId="0" borderId="31" xfId="4" applyNumberFormat="1" applyFont="1" applyBorder="1"/>
    <xf numFmtId="167" fontId="21" fillId="0" borderId="4" xfId="4" applyNumberFormat="1" applyFont="1" applyBorder="1"/>
    <xf numFmtId="167" fontId="21" fillId="3" borderId="4" xfId="4" applyNumberFormat="1" applyFont="1" applyFill="1" applyBorder="1"/>
    <xf numFmtId="167" fontId="21" fillId="0" borderId="32" xfId="4" applyNumberFormat="1" applyFont="1" applyBorder="1"/>
    <xf numFmtId="167" fontId="21" fillId="0" borderId="6" xfId="4" applyNumberFormat="1" applyFont="1" applyBorder="1"/>
    <xf numFmtId="167" fontId="21" fillId="0" borderId="33" xfId="4" applyNumberFormat="1" applyFont="1" applyBorder="1"/>
    <xf numFmtId="167" fontId="21" fillId="0" borderId="1" xfId="4" applyNumberFormat="1" applyFont="1" applyBorder="1"/>
    <xf numFmtId="167" fontId="21" fillId="0" borderId="34" xfId="4" applyNumberFormat="1" applyFont="1" applyBorder="1"/>
    <xf numFmtId="41" fontId="21" fillId="0" borderId="0" xfId="25" applyNumberFormat="1" applyFont="1" applyAlignment="1">
      <alignment horizontal="center"/>
    </xf>
    <xf numFmtId="1" fontId="38" fillId="0" borderId="0" xfId="0" applyNumberFormat="1" applyFont="1" applyFill="1" applyAlignment="1">
      <alignment horizontal="center"/>
    </xf>
    <xf numFmtId="0" fontId="39" fillId="0" borderId="0" xfId="15" applyFont="1"/>
    <xf numFmtId="0" fontId="23" fillId="0" borderId="0" xfId="25" applyFont="1" applyAlignment="1">
      <alignment horizontal="right"/>
    </xf>
    <xf numFmtId="0" fontId="40" fillId="0" borderId="0" xfId="25" applyFont="1"/>
    <xf numFmtId="0" fontId="40" fillId="0" borderId="0" xfId="25" applyFont="1" applyAlignment="1">
      <alignment horizontal="right"/>
    </xf>
    <xf numFmtId="0" fontId="14" fillId="0" borderId="0" xfId="25" applyFont="1" applyAlignment="1">
      <alignment horizontal="right"/>
    </xf>
    <xf numFmtId="0" fontId="14" fillId="0" borderId="0" xfId="25" applyFont="1" applyAlignment="1">
      <alignment horizontal="right"/>
    </xf>
    <xf numFmtId="0" fontId="21" fillId="0" borderId="0" xfId="25" applyFont="1" applyAlignment="1">
      <alignment horizontal="right"/>
    </xf>
    <xf numFmtId="43" fontId="7" fillId="0" borderId="0" xfId="4" applyFont="1" applyFill="1" applyAlignment="1">
      <alignment horizontal="right"/>
    </xf>
    <xf numFmtId="3" fontId="7" fillId="0" borderId="0" xfId="9" applyNumberFormat="1" applyFont="1" applyFill="1"/>
    <xf numFmtId="3" fontId="7" fillId="0" borderId="0" xfId="6" applyNumberFormat="1" applyFont="1" applyFill="1"/>
    <xf numFmtId="3" fontId="7" fillId="0" borderId="0" xfId="7" applyNumberFormat="1" applyFont="1" applyFill="1"/>
    <xf numFmtId="3" fontId="7" fillId="0" borderId="0" xfId="7" applyNumberFormat="1" applyFont="1" applyFill="1" applyAlignment="1">
      <alignment horizontal="left"/>
    </xf>
    <xf numFmtId="0" fontId="7" fillId="0" borderId="0" xfId="7" applyNumberFormat="1" applyFont="1" applyFill="1" applyProtection="1">
      <protection locked="0"/>
    </xf>
    <xf numFmtId="0" fontId="7" fillId="0" borderId="0" xfId="7" applyNumberFormat="1" applyFont="1" applyFill="1"/>
    <xf numFmtId="167" fontId="7" fillId="0" borderId="0" xfId="4" applyNumberFormat="1" applyFont="1" applyFill="1" applyAlignment="1" applyProtection="1">
      <alignment horizontal="center"/>
      <protection locked="0"/>
    </xf>
    <xf numFmtId="167" fontId="7" fillId="0" borderId="0" xfId="4" applyNumberFormat="1" applyFont="1" applyFill="1" applyAlignment="1">
      <alignment horizontal="center"/>
    </xf>
    <xf numFmtId="164" fontId="7" fillId="0" borderId="0" xfId="0" applyFont="1" applyFill="1" applyAlignment="1">
      <alignment horizontal="center"/>
    </xf>
    <xf numFmtId="0" fontId="7" fillId="0" borderId="0" xfId="0" applyNumberFormat="1" applyFont="1" applyFill="1" applyAlignment="1">
      <alignment wrapText="1"/>
    </xf>
    <xf numFmtId="43" fontId="7" fillId="0" borderId="0" xfId="4" applyFont="1" applyFill="1"/>
    <xf numFmtId="10" fontId="7" fillId="0" borderId="0" xfId="7" applyNumberFormat="1" applyFont="1" applyFill="1" applyAlignment="1">
      <alignment horizontal="left"/>
    </xf>
    <xf numFmtId="167" fontId="7" fillId="0" borderId="0" xfId="4" applyNumberFormat="1" applyFont="1" applyFill="1" applyAlignment="1">
      <alignment horizontal="right"/>
    </xf>
    <xf numFmtId="3" fontId="7" fillId="0" borderId="0" xfId="7" applyNumberFormat="1" applyFont="1" applyFill="1" applyAlignment="1">
      <alignment horizontal="center"/>
    </xf>
    <xf numFmtId="0" fontId="7" fillId="0" borderId="0" xfId="6" applyFont="1" applyAlignment="1">
      <alignment wrapText="1"/>
    </xf>
    <xf numFmtId="164" fontId="7" fillId="0" borderId="0" xfId="0" applyFont="1" applyFill="1" applyAlignment="1">
      <alignment vertical="top" wrapText="1"/>
    </xf>
    <xf numFmtId="0" fontId="7" fillId="0" borderId="0" xfId="7" applyNumberFormat="1" applyFont="1" applyAlignment="1" applyProtection="1">
      <alignment horizontal="center" vertical="top"/>
      <protection locked="0"/>
    </xf>
    <xf numFmtId="0" fontId="7" fillId="3" borderId="0" xfId="8" applyNumberFormat="1" applyFont="1" applyFill="1"/>
    <xf numFmtId="43" fontId="7" fillId="3" borderId="1" xfId="4" applyFont="1" applyFill="1" applyBorder="1" applyAlignment="1">
      <alignment horizontal="center"/>
    </xf>
    <xf numFmtId="167" fontId="7" fillId="0" borderId="0" xfId="0" applyNumberFormat="1" applyFont="1"/>
    <xf numFmtId="164" fontId="24" fillId="3" borderId="12" xfId="0" applyFont="1" applyFill="1" applyBorder="1"/>
    <xf numFmtId="3" fontId="7" fillId="0" borderId="0" xfId="8" applyNumberFormat="1" applyFont="1" applyAlignment="1">
      <alignment horizontal="center"/>
    </xf>
    <xf numFmtId="0" fontId="7" fillId="0" borderId="0" xfId="8" applyNumberFormat="1" applyFont="1" applyAlignment="1">
      <alignment horizontal="center"/>
    </xf>
    <xf numFmtId="164" fontId="7" fillId="0" borderId="0" xfId="8" applyFont="1" applyFill="1"/>
    <xf numFmtId="43" fontId="7" fillId="0" borderId="0" xfId="4" applyFont="1" applyFill="1" applyAlignment="1">
      <alignment horizontal="center"/>
    </xf>
    <xf numFmtId="167" fontId="7" fillId="3" borderId="0" xfId="28" applyNumberFormat="1" applyFont="1" applyFill="1"/>
    <xf numFmtId="167" fontId="7" fillId="3" borderId="0" xfId="30" applyNumberFormat="1" applyFont="1" applyFill="1"/>
    <xf numFmtId="167" fontId="7" fillId="3" borderId="0" xfId="32" applyNumberFormat="1" applyFont="1" applyFill="1" applyAlignment="1">
      <alignment horizontal="right"/>
    </xf>
    <xf numFmtId="0" fontId="14" fillId="0" borderId="0" xfId="25" applyFont="1"/>
    <xf numFmtId="43" fontId="7" fillId="2" borderId="0" xfId="4" applyFont="1" applyFill="1"/>
    <xf numFmtId="41" fontId="7" fillId="2" borderId="0" xfId="15" applyNumberFormat="1" applyFont="1" applyFill="1"/>
    <xf numFmtId="41" fontId="7" fillId="3" borderId="0" xfId="15" applyNumberFormat="1" applyFont="1" applyFill="1"/>
    <xf numFmtId="0" fontId="7" fillId="0" borderId="0" xfId="0" applyNumberFormat="1" applyFont="1" applyFill="1" applyAlignment="1" applyProtection="1">
      <alignment horizontal="center"/>
      <protection locked="0"/>
    </xf>
    <xf numFmtId="167" fontId="7" fillId="0" borderId="4" xfId="4" applyNumberFormat="1" applyFont="1" applyFill="1" applyBorder="1"/>
    <xf numFmtId="172" fontId="7" fillId="0" borderId="0" xfId="4" applyNumberFormat="1" applyFont="1" applyFill="1" applyAlignment="1">
      <alignment horizontal="center"/>
    </xf>
    <xf numFmtId="167" fontId="7" fillId="0" borderId="35" xfId="4" applyNumberFormat="1" applyFont="1" applyFill="1" applyBorder="1"/>
    <xf numFmtId="0" fontId="7" fillId="0" borderId="0" xfId="6" applyFont="1" applyFill="1"/>
    <xf numFmtId="0" fontId="7" fillId="0" borderId="0" xfId="7" applyNumberFormat="1" applyFont="1" applyFill="1" applyAlignment="1" applyProtection="1">
      <alignment horizontal="center" wrapText="1"/>
      <protection locked="0"/>
    </xf>
    <xf numFmtId="0" fontId="7" fillId="0" borderId="0" xfId="0" applyNumberFormat="1" applyFont="1" applyFill="1" applyAlignment="1" applyProtection="1">
      <protection locked="0"/>
    </xf>
    <xf numFmtId="179" fontId="12" fillId="0" borderId="0" xfId="8" quotePrefix="1" applyNumberFormat="1" applyFont="1" applyFill="1" applyAlignment="1">
      <alignment horizontal="center"/>
    </xf>
    <xf numFmtId="3" fontId="12" fillId="0" borderId="8" xfId="8" applyNumberFormat="1" applyFont="1" applyFill="1" applyBorder="1" applyAlignment="1">
      <alignment horizontal="center" wrapText="1"/>
    </xf>
    <xf numFmtId="3" fontId="7" fillId="0" borderId="8" xfId="8" applyNumberFormat="1" applyFont="1" applyFill="1" applyBorder="1" applyAlignment="1">
      <alignment horizontal="center" wrapText="1"/>
    </xf>
    <xf numFmtId="0" fontId="7" fillId="0" borderId="12" xfId="8" applyNumberFormat="1" applyFont="1" applyFill="1" applyBorder="1"/>
    <xf numFmtId="167" fontId="7" fillId="0" borderId="14" xfId="4" applyNumberFormat="1" applyFont="1" applyFill="1" applyBorder="1"/>
    <xf numFmtId="164" fontId="11" fillId="0" borderId="16" xfId="8" applyFont="1" applyFill="1" applyBorder="1"/>
    <xf numFmtId="169" fontId="7" fillId="0" borderId="0" xfId="7" applyNumberFormat="1" applyFont="1" applyFill="1"/>
    <xf numFmtId="164" fontId="7" fillId="0" borderId="0" xfId="7" applyFont="1" applyFill="1"/>
    <xf numFmtId="10" fontId="7" fillId="0" borderId="0" xfId="1" applyNumberFormat="1" applyFont="1" applyFill="1" applyAlignment="1" applyProtection="1">
      <alignment horizontal="center"/>
      <protection locked="0"/>
    </xf>
    <xf numFmtId="170" fontId="7" fillId="0" borderId="0" xfId="1" applyNumberFormat="1" applyFont="1"/>
    <xf numFmtId="172" fontId="7" fillId="0" borderId="0" xfId="4" applyNumberFormat="1" applyFont="1" applyFill="1" applyAlignment="1">
      <alignment horizontal="right"/>
    </xf>
    <xf numFmtId="3" fontId="7" fillId="0" borderId="0" xfId="7" applyNumberFormat="1" applyFont="1" applyFill="1" applyAlignment="1"/>
    <xf numFmtId="164" fontId="7" fillId="0" borderId="0" xfId="8" applyFont="1" applyAlignment="1">
      <alignment horizontal="left" vertical="top" wrapText="1"/>
    </xf>
    <xf numFmtId="164" fontId="7" fillId="0" borderId="0" xfId="8" applyFont="1" applyAlignment="1">
      <alignment horizontal="left" vertical="top"/>
    </xf>
    <xf numFmtId="164" fontId="7" fillId="0" borderId="0" xfId="8" applyFont="1" applyAlignment="1">
      <alignment vertical="top"/>
    </xf>
    <xf numFmtId="164" fontId="7" fillId="0" borderId="0" xfId="8" applyFont="1" applyFill="1" applyAlignment="1">
      <alignment horizontal="center" vertical="top"/>
    </xf>
    <xf numFmtId="43" fontId="7" fillId="0" borderId="0" xfId="4" applyFont="1" applyAlignment="1"/>
    <xf numFmtId="37" fontId="14" fillId="2" borderId="20" xfId="25" applyNumberFormat="1" applyFont="1" applyFill="1" applyBorder="1" applyAlignment="1">
      <alignment horizontal="left" wrapText="1"/>
    </xf>
    <xf numFmtId="0" fontId="14" fillId="2" borderId="20" xfId="25" applyFont="1" applyFill="1" applyBorder="1" applyAlignment="1">
      <alignment horizontal="left" wrapText="1"/>
    </xf>
    <xf numFmtId="0" fontId="40" fillId="0" borderId="0" xfId="47" applyFont="1" applyAlignment="1">
      <alignment horizontal="centerContinuous"/>
    </xf>
    <xf numFmtId="184" fontId="21" fillId="0" borderId="0" xfId="48" applyFont="1" applyAlignment="1">
      <alignment horizontal="centerContinuous"/>
    </xf>
    <xf numFmtId="184" fontId="7" fillId="0" borderId="0" xfId="48"/>
    <xf numFmtId="185" fontId="40" fillId="0" borderId="0" xfId="47" applyNumberFormat="1" applyFont="1" applyAlignment="1">
      <alignment horizontal="centerContinuous"/>
    </xf>
    <xf numFmtId="185" fontId="40" fillId="7" borderId="0" xfId="47" applyNumberFormat="1" applyFont="1" applyFill="1" applyAlignment="1">
      <alignment horizontal="centerContinuous"/>
    </xf>
    <xf numFmtId="185" fontId="40" fillId="0" borderId="0" xfId="47" applyNumberFormat="1" applyFont="1" applyAlignment="1">
      <alignment horizontal="left"/>
    </xf>
    <xf numFmtId="0" fontId="42" fillId="0" borderId="0" xfId="47" applyFont="1"/>
    <xf numFmtId="0" fontId="42" fillId="0" borderId="0" xfId="47" applyFont="1" applyAlignment="1">
      <alignment horizontal="center"/>
    </xf>
    <xf numFmtId="184" fontId="21" fillId="0" borderId="0" xfId="48" applyFont="1"/>
    <xf numFmtId="0" fontId="42" fillId="0" borderId="0" xfId="47" applyFont="1" applyAlignment="1">
      <alignment horizontal="left"/>
    </xf>
    <xf numFmtId="167" fontId="21" fillId="0" borderId="0" xfId="49" applyNumberFormat="1" applyFont="1" applyAlignment="1">
      <alignment horizontal="center"/>
    </xf>
    <xf numFmtId="0" fontId="21" fillId="0" borderId="0" xfId="50" applyFont="1" applyAlignment="1">
      <alignment horizontal="center"/>
    </xf>
    <xf numFmtId="0" fontId="42" fillId="0" borderId="0" xfId="50" applyFont="1" applyAlignment="1">
      <alignment horizontal="center"/>
    </xf>
    <xf numFmtId="0" fontId="42" fillId="0" borderId="0" xfId="50" applyFont="1" applyAlignment="1">
      <alignment horizontal="center" wrapText="1"/>
    </xf>
    <xf numFmtId="0" fontId="42" fillId="0" borderId="0" xfId="47" applyFont="1" applyAlignment="1">
      <alignment horizontal="center" wrapText="1"/>
    </xf>
    <xf numFmtId="0" fontId="43" fillId="0" borderId="0" xfId="47" applyFont="1" applyAlignment="1">
      <alignment horizontal="center"/>
    </xf>
    <xf numFmtId="0" fontId="40" fillId="0" borderId="11" xfId="47" applyFont="1" applyBorder="1" applyAlignment="1">
      <alignment horizontal="center"/>
    </xf>
    <xf numFmtId="0" fontId="40" fillId="0" borderId="11" xfId="47" applyFont="1" applyBorder="1"/>
    <xf numFmtId="0" fontId="40" fillId="0" borderId="13" xfId="47" applyFont="1" applyBorder="1" applyAlignment="1">
      <alignment horizontal="center"/>
    </xf>
    <xf numFmtId="0" fontId="40" fillId="0" borderId="0" xfId="47" applyFont="1" applyAlignment="1">
      <alignment horizontal="center"/>
    </xf>
    <xf numFmtId="0" fontId="40" fillId="0" borderId="14" xfId="47" applyFont="1" applyBorder="1" applyAlignment="1">
      <alignment horizontal="center"/>
    </xf>
    <xf numFmtId="0" fontId="40" fillId="0" borderId="36" xfId="47" applyFont="1" applyBorder="1" applyAlignment="1">
      <alignment horizontal="center"/>
    </xf>
    <xf numFmtId="0" fontId="40" fillId="0" borderId="12" xfId="47" applyFont="1" applyBorder="1" applyAlignment="1">
      <alignment horizontal="center"/>
    </xf>
    <xf numFmtId="0" fontId="44" fillId="0" borderId="7" xfId="47" applyFont="1" applyBorder="1" applyAlignment="1">
      <alignment horizontal="center"/>
    </xf>
    <xf numFmtId="0" fontId="42" fillId="0" borderId="12" xfId="47" applyFont="1" applyBorder="1"/>
    <xf numFmtId="0" fontId="40" fillId="0" borderId="4" xfId="47" applyFont="1" applyBorder="1" applyAlignment="1">
      <alignment wrapText="1"/>
    </xf>
    <xf numFmtId="0" fontId="40" fillId="0" borderId="4" xfId="47" applyFont="1" applyBorder="1"/>
    <xf numFmtId="0" fontId="40" fillId="0" borderId="0" xfId="47" applyFont="1"/>
    <xf numFmtId="0" fontId="40" fillId="0" borderId="15" xfId="47" applyFont="1" applyBorder="1" applyAlignment="1">
      <alignment horizontal="center" wrapText="1"/>
    </xf>
    <xf numFmtId="0" fontId="43" fillId="0" borderId="4" xfId="47" applyFont="1" applyBorder="1"/>
    <xf numFmtId="0" fontId="43" fillId="0" borderId="4" xfId="47" applyFont="1" applyBorder="1" applyAlignment="1">
      <alignment horizontal="center"/>
    </xf>
    <xf numFmtId="0" fontId="40" fillId="0" borderId="17" xfId="47" applyFont="1" applyBorder="1" applyAlignment="1">
      <alignment horizontal="center" wrapText="1"/>
    </xf>
    <xf numFmtId="0" fontId="40" fillId="0" borderId="4" xfId="47" applyFont="1" applyBorder="1" applyAlignment="1">
      <alignment horizontal="center"/>
    </xf>
    <xf numFmtId="0" fontId="40" fillId="0" borderId="16" xfId="47" applyFont="1" applyBorder="1" applyAlignment="1">
      <alignment horizontal="center"/>
    </xf>
    <xf numFmtId="0" fontId="40" fillId="0" borderId="17" xfId="47" applyFont="1" applyBorder="1" applyAlignment="1">
      <alignment horizontal="center"/>
    </xf>
    <xf numFmtId="0" fontId="40" fillId="0" borderId="16" xfId="47" applyFont="1" applyBorder="1" applyAlignment="1">
      <alignment horizontal="center" wrapText="1"/>
    </xf>
    <xf numFmtId="0" fontId="40" fillId="0" borderId="15" xfId="47" applyFont="1" applyBorder="1" applyAlignment="1">
      <alignment horizontal="center"/>
    </xf>
    <xf numFmtId="0" fontId="40" fillId="0" borderId="8" xfId="47" applyFont="1" applyBorder="1" applyAlignment="1">
      <alignment horizontal="center"/>
    </xf>
    <xf numFmtId="0" fontId="40" fillId="0" borderId="16" xfId="49" applyNumberFormat="1" applyFont="1" applyBorder="1" applyAlignment="1">
      <alignment horizontal="center" wrapText="1"/>
    </xf>
    <xf numFmtId="37" fontId="45" fillId="0" borderId="0" xfId="47" applyNumberFormat="1" applyFont="1"/>
    <xf numFmtId="37" fontId="46" fillId="0" borderId="0" xfId="47" applyNumberFormat="1" applyFont="1"/>
    <xf numFmtId="0" fontId="43" fillId="0" borderId="0" xfId="47" applyFont="1"/>
    <xf numFmtId="0" fontId="42" fillId="0" borderId="0" xfId="51" applyFont="1" applyAlignment="1">
      <alignment horizontal="center"/>
    </xf>
    <xf numFmtId="37" fontId="42" fillId="7" borderId="0" xfId="52" applyNumberFormat="1" applyFont="1" applyFill="1"/>
    <xf numFmtId="37" fontId="42" fillId="0" borderId="0" xfId="52" applyNumberFormat="1" applyFont="1"/>
    <xf numFmtId="0" fontId="21" fillId="7" borderId="0" xfId="50" applyFont="1" applyFill="1" applyAlignment="1">
      <alignment horizontal="center"/>
    </xf>
    <xf numFmtId="37" fontId="42" fillId="7" borderId="0" xfId="52" applyNumberFormat="1" applyFont="1" applyFill="1" applyAlignment="1">
      <alignment horizontal="center"/>
    </xf>
    <xf numFmtId="167" fontId="21" fillId="0" borderId="0" xfId="49" applyNumberFormat="1" applyFont="1" applyFill="1"/>
    <xf numFmtId="167" fontId="21" fillId="0" borderId="0" xfId="49" applyNumberFormat="1" applyFont="1"/>
    <xf numFmtId="167" fontId="42" fillId="0" borderId="0" xfId="49" applyNumberFormat="1" applyFont="1"/>
    <xf numFmtId="167" fontId="42" fillId="7" borderId="0" xfId="49" applyNumberFormat="1" applyFont="1" applyFill="1" applyAlignment="1">
      <alignment horizontal="center"/>
    </xf>
    <xf numFmtId="184" fontId="7" fillId="7" borderId="0" xfId="48" applyFill="1"/>
    <xf numFmtId="167" fontId="42" fillId="0" borderId="0" xfId="49" applyNumberFormat="1" applyFont="1" applyAlignment="1">
      <alignment horizontal="center"/>
    </xf>
    <xf numFmtId="176" fontId="42" fillId="7" borderId="0" xfId="49" quotePrefix="1" applyNumberFormat="1" applyFont="1" applyFill="1" applyAlignment="1">
      <alignment horizontal="center"/>
    </xf>
    <xf numFmtId="167" fontId="21" fillId="7" borderId="0" xfId="49" applyNumberFormat="1" applyFont="1" applyFill="1"/>
    <xf numFmtId="0" fontId="42" fillId="7" borderId="0" xfId="47" applyFont="1" applyFill="1"/>
    <xf numFmtId="167" fontId="21" fillId="7" borderId="0" xfId="49" applyNumberFormat="1" applyFont="1" applyFill="1" applyAlignment="1">
      <alignment horizontal="center" vertical="center"/>
    </xf>
    <xf numFmtId="167" fontId="42" fillId="7" borderId="0" xfId="49" applyNumberFormat="1" applyFont="1" applyFill="1" applyAlignment="1">
      <alignment horizontal="center" vertical="center"/>
    </xf>
    <xf numFmtId="167" fontId="21" fillId="7" borderId="4" xfId="49" applyNumberFormat="1" applyFont="1" applyFill="1" applyBorder="1"/>
    <xf numFmtId="167" fontId="21" fillId="7" borderId="0" xfId="49" applyNumberFormat="1" applyFont="1" applyFill="1" applyAlignment="1">
      <alignment horizontal="center"/>
    </xf>
    <xf numFmtId="37" fontId="42" fillId="0" borderId="0" xfId="47" applyNumberFormat="1" applyFont="1"/>
    <xf numFmtId="37" fontId="47" fillId="0" borderId="0" xfId="47" applyNumberFormat="1" applyFont="1"/>
    <xf numFmtId="167" fontId="42" fillId="0" borderId="0" xfId="49" applyNumberFormat="1" applyFont="1" applyAlignment="1">
      <alignment horizontal="center" vertical="center"/>
    </xf>
    <xf numFmtId="37" fontId="21" fillId="0" borderId="0" xfId="47" applyNumberFormat="1" applyFont="1" applyAlignment="1">
      <alignment horizontal="center"/>
    </xf>
    <xf numFmtId="49" fontId="42" fillId="0" borderId="0" xfId="49" applyNumberFormat="1" applyFont="1" applyAlignment="1">
      <alignment horizontal="center"/>
    </xf>
    <xf numFmtId="37" fontId="42" fillId="0" borderId="0" xfId="47" applyNumberFormat="1" applyFont="1" applyAlignment="1">
      <alignment horizontal="center"/>
    </xf>
    <xf numFmtId="167" fontId="42" fillId="0" borderId="0" xfId="47" applyNumberFormat="1" applyFont="1"/>
    <xf numFmtId="37" fontId="48" fillId="0" borderId="0" xfId="47" applyNumberFormat="1" applyFont="1"/>
    <xf numFmtId="0" fontId="43" fillId="7" borderId="0" xfId="47" applyFont="1" applyFill="1" applyAlignment="1">
      <alignment horizontal="center"/>
    </xf>
    <xf numFmtId="37" fontId="42" fillId="7" borderId="0" xfId="47" applyNumberFormat="1" applyFont="1" applyFill="1"/>
    <xf numFmtId="167" fontId="42" fillId="7" borderId="4" xfId="49" applyNumberFormat="1" applyFont="1" applyFill="1" applyBorder="1"/>
    <xf numFmtId="167" fontId="42" fillId="7" borderId="4" xfId="47" applyNumberFormat="1" applyFont="1" applyFill="1" applyBorder="1"/>
    <xf numFmtId="0" fontId="42" fillId="7" borderId="4" xfId="47" applyFont="1" applyFill="1" applyBorder="1"/>
    <xf numFmtId="37" fontId="40" fillId="0" borderId="0" xfId="47" applyNumberFormat="1" applyFont="1" applyAlignment="1">
      <alignment horizontal="center" vertical="center"/>
    </xf>
    <xf numFmtId="37" fontId="42" fillId="7" borderId="0" xfId="49" applyNumberFormat="1" applyFont="1" applyFill="1" applyAlignment="1">
      <alignment horizontal="center"/>
    </xf>
    <xf numFmtId="37" fontId="47" fillId="0" borderId="0" xfId="47" applyNumberFormat="1" applyFont="1" applyAlignment="1">
      <alignment horizontal="center"/>
    </xf>
    <xf numFmtId="43" fontId="42" fillId="0" borderId="0" xfId="49" applyFont="1"/>
    <xf numFmtId="167" fontId="24" fillId="0" borderId="0" xfId="49" applyNumberFormat="1" applyFont="1"/>
    <xf numFmtId="37" fontId="40" fillId="0" borderId="0" xfId="47" applyNumberFormat="1" applyFont="1"/>
    <xf numFmtId="37" fontId="40" fillId="0" borderId="0" xfId="47" applyNumberFormat="1" applyFont="1" applyAlignment="1">
      <alignment horizontal="center"/>
    </xf>
    <xf numFmtId="167" fontId="21" fillId="0" borderId="3" xfId="49" applyNumberFormat="1" applyFont="1" applyBorder="1"/>
    <xf numFmtId="167" fontId="49" fillId="0" borderId="0" xfId="49" applyNumberFormat="1" applyFont="1"/>
    <xf numFmtId="167" fontId="49" fillId="0" borderId="0" xfId="49" applyNumberFormat="1" applyFont="1" applyAlignment="1">
      <alignment horizontal="center"/>
    </xf>
    <xf numFmtId="167" fontId="42" fillId="0" borderId="3" xfId="49" applyNumberFormat="1" applyFont="1" applyBorder="1"/>
    <xf numFmtId="0" fontId="48" fillId="0" borderId="0" xfId="47" applyFont="1"/>
    <xf numFmtId="0" fontId="42" fillId="0" borderId="0" xfId="47" applyFont="1" applyAlignment="1">
      <alignment horizontal="centerContinuous"/>
    </xf>
    <xf numFmtId="167" fontId="42" fillId="0" borderId="0" xfId="4" applyNumberFormat="1" applyFont="1"/>
    <xf numFmtId="164" fontId="14" fillId="0" borderId="0" xfId="38" applyFont="1"/>
    <xf numFmtId="176" fontId="42" fillId="0" borderId="0" xfId="49" quotePrefix="1" applyNumberFormat="1" applyFont="1" applyAlignment="1">
      <alignment horizontal="center"/>
    </xf>
    <xf numFmtId="0" fontId="42" fillId="0" borderId="0" xfId="47" quotePrefix="1" applyFont="1" applyAlignment="1">
      <alignment horizontal="center"/>
    </xf>
    <xf numFmtId="167" fontId="42" fillId="0" borderId="3" xfId="4" applyNumberFormat="1" applyFont="1" applyBorder="1"/>
    <xf numFmtId="0" fontId="46" fillId="0" borderId="0" xfId="51" applyFont="1" applyAlignment="1">
      <alignment horizontal="center"/>
    </xf>
    <xf numFmtId="0" fontId="21" fillId="0" borderId="0" xfId="51" applyFont="1"/>
    <xf numFmtId="0" fontId="21" fillId="0" borderId="0" xfId="51" applyFont="1" applyAlignment="1">
      <alignment horizontal="center"/>
    </xf>
    <xf numFmtId="0" fontId="21" fillId="0" borderId="0" xfId="51" applyFont="1" applyAlignment="1">
      <alignment horizontal="center" vertical="top"/>
    </xf>
    <xf numFmtId="0" fontId="42" fillId="0" borderId="0" xfId="47" applyFont="1" applyAlignment="1">
      <alignment vertical="top"/>
    </xf>
    <xf numFmtId="0" fontId="21" fillId="0" borderId="0" xfId="51" applyFont="1" applyAlignment="1">
      <alignment vertical="top"/>
    </xf>
    <xf numFmtId="0" fontId="42" fillId="0" borderId="0" xfId="47" applyFont="1" applyAlignment="1">
      <alignment horizontal="center" vertical="top"/>
    </xf>
    <xf numFmtId="167" fontId="42" fillId="0" borderId="0" xfId="49" applyNumberFormat="1" applyFont="1" applyAlignment="1">
      <alignment vertical="top"/>
    </xf>
    <xf numFmtId="0" fontId="42" fillId="0" borderId="0" xfId="50" applyFont="1" applyAlignment="1">
      <alignment vertical="top"/>
    </xf>
    <xf numFmtId="0" fontId="21" fillId="0" borderId="0" xfId="50" applyFont="1" applyAlignment="1">
      <alignment vertical="top"/>
    </xf>
    <xf numFmtId="0" fontId="21" fillId="0" borderId="0" xfId="50" applyFont="1" applyAlignment="1">
      <alignment horizontal="center" vertical="top"/>
    </xf>
    <xf numFmtId="0" fontId="21" fillId="0" borderId="0" xfId="51" applyFont="1" applyAlignment="1">
      <alignment vertical="top" wrapText="1"/>
    </xf>
    <xf numFmtId="0" fontId="21" fillId="0" borderId="0" xfId="51" applyFont="1" applyAlignment="1">
      <alignment horizontal="center" vertical="top" wrapText="1"/>
    </xf>
    <xf numFmtId="0" fontId="42" fillId="0" borderId="0" xfId="50" applyFont="1" applyAlignment="1">
      <alignment horizontal="center" vertical="top"/>
    </xf>
    <xf numFmtId="0" fontId="42" fillId="0" borderId="0" xfId="51" applyFont="1" applyAlignment="1">
      <alignment horizontal="center" vertical="top"/>
    </xf>
    <xf numFmtId="0" fontId="24" fillId="0" borderId="0" xfId="47" applyFont="1"/>
    <xf numFmtId="0" fontId="24" fillId="0" borderId="0" xfId="47" applyFont="1" applyAlignment="1">
      <alignment horizontal="center"/>
    </xf>
    <xf numFmtId="167" fontId="24" fillId="0" borderId="0" xfId="53" applyNumberFormat="1" applyFont="1"/>
    <xf numFmtId="0" fontId="51" fillId="0" borderId="0" xfId="54" applyFont="1"/>
    <xf numFmtId="0" fontId="5" fillId="0" borderId="0" xfId="54"/>
    <xf numFmtId="0" fontId="52" fillId="0" borderId="0" xfId="54" applyFont="1"/>
    <xf numFmtId="0" fontId="53" fillId="0" borderId="0" xfId="54" applyFont="1"/>
    <xf numFmtId="0" fontId="51" fillId="0" borderId="0" xfId="54" applyFont="1" applyAlignment="1">
      <alignment vertical="center"/>
    </xf>
    <xf numFmtId="0" fontId="54" fillId="7" borderId="0" xfId="54" applyFont="1" applyFill="1"/>
    <xf numFmtId="0" fontId="53" fillId="7" borderId="0" xfId="54" applyFont="1" applyFill="1"/>
    <xf numFmtId="0" fontId="55" fillId="0" borderId="0" xfId="54" applyFont="1"/>
    <xf numFmtId="0" fontId="51" fillId="0" borderId="0" xfId="54" applyFont="1" applyAlignment="1">
      <alignment horizontal="center" vertical="center"/>
    </xf>
    <xf numFmtId="0" fontId="53" fillId="0" borderId="0" xfId="54" applyFont="1" applyAlignment="1">
      <alignment horizontal="center"/>
    </xf>
    <xf numFmtId="0" fontId="53" fillId="0" borderId="0" xfId="54" applyFont="1" applyAlignment="1">
      <alignment horizontal="center" vertical="center"/>
    </xf>
    <xf numFmtId="0" fontId="53" fillId="0" borderId="4" xfId="54" applyFont="1" applyBorder="1"/>
    <xf numFmtId="0" fontId="53" fillId="0" borderId="4" xfId="54" quotePrefix="1" applyFont="1" applyBorder="1" applyAlignment="1">
      <alignment horizontal="center"/>
    </xf>
    <xf numFmtId="0" fontId="53" fillId="0" borderId="4" xfId="54" quotePrefix="1" applyFont="1" applyBorder="1" applyAlignment="1">
      <alignment horizontal="center" vertical="center"/>
    </xf>
    <xf numFmtId="0" fontId="53" fillId="0" borderId="4" xfId="54" applyFont="1" applyBorder="1" applyAlignment="1">
      <alignment horizontal="center" vertical="center"/>
    </xf>
    <xf numFmtId="0" fontId="53" fillId="0" borderId="0" xfId="54" applyFont="1" applyAlignment="1">
      <alignment horizontal="center" vertical="center" wrapText="1"/>
    </xf>
    <xf numFmtId="0" fontId="53" fillId="0" borderId="0" xfId="54" applyFont="1" applyAlignment="1">
      <alignment vertical="center"/>
    </xf>
    <xf numFmtId="0" fontId="53" fillId="0" borderId="0" xfId="54" applyFont="1" applyAlignment="1">
      <alignment horizontal="center" wrapText="1"/>
    </xf>
    <xf numFmtId="0" fontId="53" fillId="0" borderId="4" xfId="54" applyFont="1" applyBorder="1" applyAlignment="1">
      <alignment horizontal="center" wrapText="1"/>
    </xf>
    <xf numFmtId="9" fontId="53" fillId="0" borderId="4" xfId="54" applyNumberFormat="1" applyFont="1" applyBorder="1" applyAlignment="1">
      <alignment horizontal="center" wrapText="1"/>
    </xf>
    <xf numFmtId="9" fontId="53" fillId="0" borderId="0" xfId="54" applyNumberFormat="1" applyFont="1" applyAlignment="1">
      <alignment horizontal="center" vertical="center"/>
    </xf>
    <xf numFmtId="0" fontId="53" fillId="0" borderId="4" xfId="54" applyFont="1" applyBorder="1" applyAlignment="1">
      <alignment horizontal="center"/>
    </xf>
    <xf numFmtId="9" fontId="53" fillId="0" borderId="4" xfId="54" applyNumberFormat="1" applyFont="1" applyBorder="1" applyAlignment="1">
      <alignment horizontal="center"/>
    </xf>
    <xf numFmtId="167" fontId="54" fillId="0" borderId="0" xfId="55" applyNumberFormat="1" applyFont="1"/>
    <xf numFmtId="167" fontId="56" fillId="0" borderId="0" xfId="55" applyNumberFormat="1" applyFont="1" applyAlignment="1">
      <alignment wrapText="1"/>
    </xf>
    <xf numFmtId="167" fontId="57" fillId="0" borderId="0" xfId="55" applyNumberFormat="1" applyFont="1" applyAlignment="1">
      <alignment wrapText="1"/>
    </xf>
    <xf numFmtId="167" fontId="54" fillId="7" borderId="0" xfId="55" applyNumberFormat="1" applyFont="1" applyFill="1" applyAlignment="1">
      <alignment wrapText="1"/>
    </xf>
    <xf numFmtId="186" fontId="54" fillId="7" borderId="0" xfId="55" applyNumberFormat="1" applyFont="1" applyFill="1" applyAlignment="1">
      <alignment wrapText="1"/>
    </xf>
    <xf numFmtId="167" fontId="54" fillId="0" borderId="0" xfId="55" applyNumberFormat="1" applyFont="1" applyFill="1" applyAlignment="1">
      <alignment wrapText="1"/>
    </xf>
    <xf numFmtId="167" fontId="54" fillId="0" borderId="0" xfId="55" applyNumberFormat="1" applyFont="1" applyAlignment="1">
      <alignment wrapText="1"/>
    </xf>
    <xf numFmtId="167" fontId="53" fillId="7" borderId="0" xfId="54" applyNumberFormat="1" applyFont="1" applyFill="1"/>
    <xf numFmtId="167" fontId="54" fillId="7" borderId="0" xfId="55" applyNumberFormat="1" applyFont="1" applyFill="1"/>
    <xf numFmtId="167" fontId="53" fillId="0" borderId="0" xfId="54" applyNumberFormat="1" applyFont="1"/>
    <xf numFmtId="167" fontId="53" fillId="0" borderId="0" xfId="55" applyNumberFormat="1" applyFont="1" applyAlignment="1">
      <alignment wrapText="1"/>
    </xf>
    <xf numFmtId="167" fontId="54" fillId="0" borderId="9" xfId="55" applyNumberFormat="1" applyFont="1" applyBorder="1"/>
    <xf numFmtId="167" fontId="51" fillId="0" borderId="0" xfId="55" applyNumberFormat="1" applyFont="1" applyAlignment="1">
      <alignment wrapText="1"/>
    </xf>
    <xf numFmtId="167" fontId="5" fillId="0" borderId="0" xfId="54" applyNumberFormat="1"/>
    <xf numFmtId="0" fontId="58" fillId="0" borderId="0" xfId="54" applyFont="1"/>
    <xf numFmtId="0" fontId="59" fillId="0" borderId="0" xfId="54" applyFont="1"/>
    <xf numFmtId="0" fontId="60" fillId="0" borderId="0" xfId="54" applyFont="1" applyAlignment="1">
      <alignment horizontal="center" wrapText="1"/>
    </xf>
    <xf numFmtId="10" fontId="54" fillId="7" borderId="8" xfId="56" applyNumberFormat="1" applyFont="1" applyFill="1" applyBorder="1" applyAlignment="1">
      <alignment horizontal="center"/>
    </xf>
    <xf numFmtId="10" fontId="54" fillId="0" borderId="8" xfId="56" applyNumberFormat="1" applyFont="1" applyFill="1" applyBorder="1" applyAlignment="1">
      <alignment horizontal="center"/>
    </xf>
    <xf numFmtId="10" fontId="54" fillId="0" borderId="0" xfId="56" applyNumberFormat="1" applyFont="1" applyAlignment="1">
      <alignment horizontal="center"/>
    </xf>
    <xf numFmtId="0" fontId="53" fillId="0" borderId="0" xfId="54" applyFont="1" applyAlignment="1">
      <alignment horizontal="center" vertical="top"/>
    </xf>
    <xf numFmtId="0" fontId="53" fillId="0" borderId="0" xfId="54" applyFont="1" applyAlignment="1">
      <alignment wrapText="1"/>
    </xf>
    <xf numFmtId="186" fontId="53" fillId="0" borderId="0" xfId="54" applyNumberFormat="1" applyFont="1" applyAlignment="1">
      <alignment wrapText="1"/>
    </xf>
    <xf numFmtId="10" fontId="54" fillId="0" borderId="0" xfId="56" applyNumberFormat="1" applyFont="1" applyAlignment="1">
      <alignment horizontal="left"/>
    </xf>
    <xf numFmtId="187" fontId="54" fillId="0" borderId="0" xfId="56" applyNumberFormat="1" applyFont="1" applyAlignment="1">
      <alignment horizontal="center"/>
    </xf>
    <xf numFmtId="165" fontId="53" fillId="0" borderId="0" xfId="54" applyNumberFormat="1" applyFont="1" applyAlignment="1">
      <alignment horizontal="center"/>
    </xf>
    <xf numFmtId="183" fontId="53" fillId="0" borderId="0" xfId="54" applyNumberFormat="1" applyFont="1" applyAlignment="1">
      <alignment horizontal="center"/>
    </xf>
    <xf numFmtId="43" fontId="53" fillId="0" borderId="0" xfId="54" applyNumberFormat="1" applyFont="1"/>
    <xf numFmtId="0" fontId="5" fillId="0" borderId="0" xfId="54"/>
    <xf numFmtId="0" fontId="53" fillId="0" borderId="0" xfId="54" applyFont="1"/>
    <xf numFmtId="0" fontId="54" fillId="0" borderId="0" xfId="54" applyFont="1"/>
    <xf numFmtId="43" fontId="7" fillId="3" borderId="1" xfId="4" applyNumberFormat="1" applyFont="1" applyFill="1" applyBorder="1" applyAlignment="1">
      <alignment horizontal="center"/>
    </xf>
    <xf numFmtId="43" fontId="7" fillId="3" borderId="0" xfId="4" applyNumberFormat="1" applyFont="1" applyFill="1" applyAlignment="1">
      <alignment horizontal="center"/>
    </xf>
    <xf numFmtId="167" fontId="7" fillId="2" borderId="4" xfId="77" applyNumberFormat="1" applyFont="1" applyFill="1" applyBorder="1"/>
    <xf numFmtId="167" fontId="7" fillId="3" borderId="0" xfId="69" applyNumberFormat="1" applyFont="1" applyFill="1"/>
    <xf numFmtId="167" fontId="7" fillId="3" borderId="0" xfId="71" applyNumberFormat="1" applyFont="1" applyFill="1" applyProtection="1">
      <protection locked="0"/>
    </xf>
    <xf numFmtId="43" fontId="7" fillId="2" borderId="0" xfId="78" applyFont="1" applyFill="1"/>
    <xf numFmtId="41" fontId="14" fillId="6" borderId="8" xfId="25" applyNumberFormat="1" applyFont="1" applyFill="1" applyBorder="1"/>
    <xf numFmtId="41" fontId="14" fillId="6" borderId="8" xfId="26" applyFont="1" applyFill="1" applyBorder="1"/>
    <xf numFmtId="174" fontId="7" fillId="2" borderId="0" xfId="4" applyNumberFormat="1" applyFont="1" applyFill="1" applyProtection="1">
      <protection locked="0"/>
    </xf>
    <xf numFmtId="183" fontId="53" fillId="7" borderId="0" xfId="56" applyNumberFormat="1" applyFont="1" applyFill="1" applyAlignment="1">
      <alignment horizontal="center"/>
    </xf>
    <xf numFmtId="10" fontId="54" fillId="7" borderId="0" xfId="56" applyNumberFormat="1" applyFont="1" applyFill="1" applyAlignment="1">
      <alignment horizontal="center"/>
    </xf>
    <xf numFmtId="0" fontId="5" fillId="0" borderId="0" xfId="54" quotePrefix="1" applyAlignment="1">
      <alignment vertical="center"/>
    </xf>
    <xf numFmtId="167" fontId="24" fillId="3" borderId="5" xfId="4" applyNumberFormat="1" applyFont="1" applyFill="1" applyBorder="1"/>
    <xf numFmtId="167" fontId="24" fillId="3" borderId="5" xfId="4" applyNumberFormat="1" applyFont="1" applyFill="1" applyBorder="1" applyAlignment="1">
      <alignment horizontal="center"/>
    </xf>
    <xf numFmtId="167" fontId="24" fillId="0" borderId="12" xfId="4" applyNumberFormat="1" applyFont="1" applyBorder="1"/>
    <xf numFmtId="167" fontId="24" fillId="3" borderId="7" xfId="4" applyNumberFormat="1" applyFont="1" applyFill="1" applyBorder="1"/>
    <xf numFmtId="167" fontId="24" fillId="0" borderId="12" xfId="4" applyNumberFormat="1" applyFont="1" applyBorder="1" applyAlignment="1">
      <alignment horizontal="center"/>
    </xf>
    <xf numFmtId="167" fontId="24" fillId="3" borderId="13" xfId="4" applyNumberFormat="1" applyFont="1" applyFill="1" applyBorder="1"/>
    <xf numFmtId="167" fontId="24" fillId="3" borderId="13" xfId="4" applyNumberFormat="1" applyFont="1" applyFill="1" applyBorder="1" applyAlignment="1">
      <alignment horizontal="center"/>
    </xf>
    <xf numFmtId="167" fontId="24" fillId="0" borderId="14" xfId="4" applyNumberFormat="1" applyFont="1" applyBorder="1"/>
    <xf numFmtId="167" fontId="24" fillId="3" borderId="36" xfId="4" applyNumberFormat="1" applyFont="1" applyFill="1" applyBorder="1"/>
    <xf numFmtId="167" fontId="24" fillId="3" borderId="15" xfId="4" applyNumberFormat="1" applyFont="1" applyFill="1" applyBorder="1"/>
    <xf numFmtId="167" fontId="24" fillId="3" borderId="15" xfId="4" applyNumberFormat="1" applyFont="1" applyFill="1" applyBorder="1" applyAlignment="1">
      <alignment horizontal="center"/>
    </xf>
    <xf numFmtId="167" fontId="24" fillId="0" borderId="16" xfId="4" applyNumberFormat="1" applyFont="1" applyBorder="1"/>
    <xf numFmtId="167" fontId="24" fillId="3" borderId="17" xfId="4" applyNumberFormat="1" applyFont="1" applyFill="1" applyBorder="1"/>
    <xf numFmtId="167" fontId="24" fillId="0" borderId="0" xfId="4" applyNumberFormat="1" applyFont="1"/>
    <xf numFmtId="167" fontId="24" fillId="0" borderId="0" xfId="4" applyNumberFormat="1" applyFont="1" applyAlignment="1">
      <alignment horizontal="center"/>
    </xf>
    <xf numFmtId="172" fontId="7" fillId="3" borderId="0" xfId="4" applyNumberFormat="1" applyFont="1" applyFill="1"/>
    <xf numFmtId="172" fontId="7" fillId="0" borderId="6" xfId="4" applyNumberFormat="1" applyFont="1" applyBorder="1"/>
    <xf numFmtId="0" fontId="24" fillId="3" borderId="0" xfId="4" applyNumberFormat="1" applyFont="1" applyFill="1"/>
    <xf numFmtId="167" fontId="7" fillId="0" borderId="0" xfId="4" applyNumberFormat="1" applyFont="1" applyAlignment="1">
      <alignment horizontal="fill"/>
    </xf>
    <xf numFmtId="167" fontId="7" fillId="0" borderId="0" xfId="7" applyNumberFormat="1" applyFont="1"/>
    <xf numFmtId="167" fontId="7" fillId="0" borderId="0" xfId="7" applyNumberFormat="1" applyFont="1" applyAlignment="1">
      <alignment horizontal="fill"/>
    </xf>
    <xf numFmtId="3" fontId="7" fillId="0" borderId="0" xfId="4" applyNumberFormat="1" applyFont="1"/>
    <xf numFmtId="3" fontId="7" fillId="0" borderId="1" xfId="4" applyNumberFormat="1" applyFont="1" applyBorder="1"/>
    <xf numFmtId="0" fontId="12" fillId="0" borderId="0" xfId="15" applyFont="1" applyFill="1" applyAlignment="1">
      <alignment horizontal="center" wrapText="1"/>
    </xf>
    <xf numFmtId="164" fontId="12" fillId="0" borderId="0" xfId="0" applyFont="1" applyFill="1" applyAlignment="1">
      <alignment horizontal="center" wrapText="1"/>
    </xf>
    <xf numFmtId="0" fontId="7" fillId="0" borderId="0" xfId="18" applyFont="1" applyFill="1"/>
    <xf numFmtId="43" fontId="7" fillId="0" borderId="0" xfId="18" applyNumberFormat="1" applyFont="1" applyFill="1"/>
    <xf numFmtId="0" fontId="7" fillId="0" borderId="0" xfId="18" applyFont="1" applyFill="1" applyAlignment="1">
      <alignment horizontal="center" vertical="center" wrapText="1"/>
    </xf>
    <xf numFmtId="0" fontId="7" fillId="0" borderId="0" xfId="0" applyNumberFormat="1" applyFont="1" applyFill="1" applyAlignment="1">
      <alignment horizontal="center" vertical="center" wrapText="1"/>
    </xf>
    <xf numFmtId="164" fontId="7" fillId="0" borderId="0" xfId="0" applyFont="1" applyFill="1" applyAlignment="1">
      <alignment horizontal="center" vertical="center" wrapText="1"/>
    </xf>
    <xf numFmtId="167" fontId="17" fillId="0" borderId="0" xfId="4" applyNumberFormat="1" applyFont="1"/>
    <xf numFmtId="0" fontId="7" fillId="0" borderId="0" xfId="0" applyNumberFormat="1" applyFont="1" applyFill="1" applyAlignment="1" applyProtection="1">
      <alignment horizontal="left" vertical="top" wrapText="1"/>
      <protection locked="0"/>
    </xf>
    <xf numFmtId="164" fontId="7" fillId="0" borderId="0" xfId="0" applyFont="1" applyFill="1" applyAlignment="1">
      <alignment vertical="top" wrapText="1"/>
    </xf>
    <xf numFmtId="164" fontId="0" fillId="0" borderId="0" xfId="0" applyAlignment="1">
      <alignment vertical="top" wrapText="1"/>
    </xf>
    <xf numFmtId="0" fontId="7" fillId="0" borderId="0" xfId="0" applyNumberFormat="1" applyFont="1" applyFill="1" applyAlignment="1">
      <alignment horizontal="left" vertical="top" wrapText="1"/>
    </xf>
    <xf numFmtId="0" fontId="7" fillId="0" borderId="0" xfId="7" applyNumberFormat="1" applyFont="1" applyFill="1" applyAlignment="1" applyProtection="1">
      <alignment vertical="top" wrapText="1"/>
      <protection locked="0"/>
    </xf>
    <xf numFmtId="0" fontId="7" fillId="0" borderId="0" xfId="7" quotePrefix="1" applyNumberFormat="1" applyFont="1" applyFill="1" applyAlignment="1">
      <alignment horizontal="left" vertical="top" wrapText="1"/>
    </xf>
    <xf numFmtId="0" fontId="7" fillId="0" borderId="0" xfId="6" quotePrefix="1" applyNumberFormat="1" applyFont="1" applyFill="1" applyAlignment="1">
      <alignment horizontal="left" vertical="top" wrapText="1"/>
    </xf>
    <xf numFmtId="0" fontId="7" fillId="0" borderId="0" xfId="6" applyNumberFormat="1" applyFont="1" applyFill="1" applyAlignment="1">
      <alignment horizontal="left" vertical="top" wrapText="1"/>
    </xf>
    <xf numFmtId="164" fontId="7" fillId="0" borderId="0" xfId="0" applyFont="1" applyFill="1" applyAlignment="1">
      <alignment horizontal="left" vertical="top" wrapText="1"/>
    </xf>
    <xf numFmtId="164" fontId="7" fillId="0" borderId="0" xfId="7" applyFont="1" applyFill="1" applyAlignment="1">
      <alignment horizontal="left" vertical="top" wrapText="1"/>
    </xf>
    <xf numFmtId="0" fontId="7" fillId="0" borderId="0" xfId="0" applyNumberFormat="1" applyFont="1" applyFill="1" applyAlignment="1">
      <alignment horizontal="left"/>
    </xf>
    <xf numFmtId="0" fontId="7" fillId="0" borderId="0" xfId="9" applyFont="1" applyFill="1" applyAlignment="1">
      <alignment vertical="top" wrapText="1"/>
    </xf>
    <xf numFmtId="0" fontId="7" fillId="0" borderId="0" xfId="7" applyNumberFormat="1" applyFont="1" applyAlignment="1" applyProtection="1">
      <alignment vertical="top" wrapText="1"/>
      <protection locked="0"/>
    </xf>
    <xf numFmtId="0" fontId="7" fillId="0" borderId="0" xfId="0" applyNumberFormat="1" applyFont="1" applyFill="1" applyAlignment="1" applyProtection="1">
      <alignment horizontal="left" vertical="center" wrapText="1"/>
      <protection locked="0"/>
    </xf>
    <xf numFmtId="0" fontId="7" fillId="0" borderId="0" xfId="7" applyNumberFormat="1" applyFont="1" applyFill="1" applyAlignment="1" applyProtection="1">
      <alignment horizontal="left" vertical="top" wrapText="1"/>
      <protection locked="0"/>
    </xf>
    <xf numFmtId="164" fontId="7" fillId="0" borderId="0" xfId="7" applyFont="1" applyAlignment="1">
      <alignment horizontal="center"/>
    </xf>
    <xf numFmtId="49" fontId="7" fillId="0" borderId="0" xfId="7" applyNumberFormat="1" applyFont="1" applyAlignment="1" applyProtection="1">
      <alignment horizontal="center"/>
      <protection locked="0"/>
    </xf>
    <xf numFmtId="0" fontId="15" fillId="0" borderId="0" xfId="7" applyNumberFormat="1" applyFont="1" applyAlignment="1" applyProtection="1">
      <alignment vertical="top" wrapText="1"/>
      <protection locked="0"/>
    </xf>
    <xf numFmtId="164" fontId="7" fillId="0" borderId="0" xfId="8" applyFont="1" applyFill="1" applyAlignment="1">
      <alignment horizontal="left" vertical="top" wrapText="1"/>
    </xf>
    <xf numFmtId="164" fontId="7" fillId="0" borderId="0" xfId="8" applyFont="1" applyAlignment="1">
      <alignment horizontal="left" vertical="top" wrapText="1"/>
    </xf>
    <xf numFmtId="164" fontId="7" fillId="0" borderId="0" xfId="11" applyFont="1" applyFill="1" applyAlignment="1">
      <alignment vertical="top" wrapText="1"/>
    </xf>
    <xf numFmtId="164" fontId="0" fillId="0" borderId="0" xfId="0" applyAlignment="1">
      <alignment horizontal="left" vertical="top" wrapText="1"/>
    </xf>
    <xf numFmtId="3" fontId="7" fillId="0" borderId="0" xfId="8" applyNumberFormat="1" applyFont="1" applyAlignment="1">
      <alignment horizontal="center"/>
    </xf>
    <xf numFmtId="0" fontId="7" fillId="0" borderId="0" xfId="8" applyNumberFormat="1" applyFont="1" applyAlignment="1">
      <alignment horizontal="center"/>
    </xf>
    <xf numFmtId="0" fontId="7" fillId="0" borderId="0" xfId="7" applyNumberFormat="1" applyFont="1" applyAlignment="1">
      <alignment horizontal="center"/>
    </xf>
    <xf numFmtId="164" fontId="7" fillId="0" borderId="0" xfId="0" applyFont="1" applyAlignment="1">
      <alignment horizontal="left" vertical="top" wrapText="1"/>
    </xf>
    <xf numFmtId="164" fontId="7" fillId="0" borderId="0" xfId="0" applyFont="1" applyFill="1" applyAlignment="1">
      <alignment horizontal="left" wrapText="1"/>
    </xf>
    <xf numFmtId="0" fontId="11" fillId="0" borderId="0" xfId="6" applyNumberFormat="1" applyFont="1" applyFill="1" applyAlignment="1">
      <alignment horizontal="left" vertical="top" wrapText="1"/>
    </xf>
    <xf numFmtId="0" fontId="12" fillId="0" borderId="10" xfId="15" applyFont="1" applyBorder="1" applyAlignment="1">
      <alignment horizontal="center"/>
    </xf>
    <xf numFmtId="0" fontId="12" fillId="0" borderId="9" xfId="15" applyFont="1" applyBorder="1" applyAlignment="1">
      <alignment horizontal="center"/>
    </xf>
    <xf numFmtId="0" fontId="12" fillId="0" borderId="11" xfId="15" applyFont="1" applyBorder="1" applyAlignment="1">
      <alignment horizontal="center"/>
    </xf>
    <xf numFmtId="164" fontId="12" fillId="0" borderId="10" xfId="0" applyFont="1" applyBorder="1" applyAlignment="1">
      <alignment horizontal="center"/>
    </xf>
    <xf numFmtId="164" fontId="12" fillId="0" borderId="9" xfId="0" applyFont="1" applyBorder="1" applyAlignment="1">
      <alignment horizontal="center"/>
    </xf>
    <xf numFmtId="164" fontId="12" fillId="0" borderId="11" xfId="0" applyFont="1" applyBorder="1" applyAlignment="1">
      <alignment horizontal="center"/>
    </xf>
    <xf numFmtId="164" fontId="7" fillId="0" borderId="0" xfId="0" applyFont="1" applyFill="1" applyAlignment="1">
      <alignment horizontal="left" vertical="center" wrapText="1"/>
    </xf>
    <xf numFmtId="0" fontId="7" fillId="0" borderId="0" xfId="8" applyNumberFormat="1" applyFont="1" applyAlignment="1" applyProtection="1">
      <alignment horizontal="center"/>
      <protection locked="0"/>
    </xf>
    <xf numFmtId="164" fontId="7" fillId="0" borderId="0" xfId="0" applyFont="1" applyAlignment="1">
      <alignment horizontal="center"/>
    </xf>
    <xf numFmtId="0" fontId="7" fillId="0" borderId="0" xfId="0" applyNumberFormat="1" applyFont="1" applyAlignment="1">
      <alignment horizontal="center"/>
    </xf>
    <xf numFmtId="10" fontId="7" fillId="0" borderId="0" xfId="1" applyNumberFormat="1" applyFont="1" applyAlignment="1">
      <alignment horizontal="center"/>
    </xf>
    <xf numFmtId="2" fontId="30" fillId="0" borderId="0" xfId="0" applyNumberFormat="1" applyFont="1" applyAlignment="1">
      <alignment horizontal="left" wrapText="1"/>
    </xf>
    <xf numFmtId="164" fontId="30" fillId="0" borderId="0" xfId="0" applyFont="1" applyAlignment="1">
      <alignment horizontal="left"/>
    </xf>
    <xf numFmtId="164" fontId="7" fillId="0" borderId="0" xfId="8" applyFont="1" applyAlignment="1">
      <alignment horizontal="center"/>
    </xf>
    <xf numFmtId="0" fontId="14" fillId="0" borderId="0" xfId="25" applyFont="1" applyAlignment="1">
      <alignment horizontal="center"/>
    </xf>
    <xf numFmtId="0" fontId="23" fillId="0" borderId="0" xfId="25" applyFont="1" applyAlignment="1">
      <alignment horizontal="center"/>
    </xf>
    <xf numFmtId="0" fontId="14" fillId="8" borderId="0" xfId="25" applyFont="1" applyFill="1" applyAlignment="1">
      <alignment horizontal="center"/>
    </xf>
    <xf numFmtId="0" fontId="14" fillId="0" borderId="0" xfId="25" applyFont="1" applyAlignment="1">
      <alignment wrapText="1"/>
    </xf>
    <xf numFmtId="0" fontId="14" fillId="0" borderId="0" xfId="25" applyFont="1" applyAlignment="1">
      <alignment horizontal="right"/>
    </xf>
    <xf numFmtId="164" fontId="0" fillId="0" borderId="0" xfId="0" applyAlignment="1">
      <alignment horizontal="right"/>
    </xf>
    <xf numFmtId="164" fontId="0" fillId="0" borderId="0" xfId="0" applyFont="1" applyAlignment="1">
      <alignment horizontal="center"/>
    </xf>
    <xf numFmtId="0" fontId="14" fillId="0" borderId="0" xfId="25" applyFont="1" applyAlignment="1">
      <alignment horizontal="left" wrapText="1"/>
    </xf>
    <xf numFmtId="164" fontId="0" fillId="0" borderId="0" xfId="0" applyAlignment="1"/>
    <xf numFmtId="0" fontId="14" fillId="0" borderId="0" xfId="25" applyFont="1"/>
    <xf numFmtId="0" fontId="21" fillId="0" borderId="37" xfId="25" applyFont="1" applyBorder="1" applyAlignment="1">
      <alignment horizontal="center"/>
    </xf>
    <xf numFmtId="0" fontId="21" fillId="0" borderId="38" xfId="25" applyFont="1" applyBorder="1" applyAlignment="1">
      <alignment horizontal="center"/>
    </xf>
    <xf numFmtId="0" fontId="21" fillId="0" borderId="39" xfId="25" applyFont="1" applyBorder="1" applyAlignment="1">
      <alignment horizontal="center"/>
    </xf>
    <xf numFmtId="0" fontId="21" fillId="0" borderId="0" xfId="25" applyFont="1" applyAlignment="1">
      <alignment horizontal="center"/>
    </xf>
    <xf numFmtId="0" fontId="21" fillId="0" borderId="0" xfId="25" applyFont="1" applyAlignment="1">
      <alignment horizontal="right"/>
    </xf>
    <xf numFmtId="164" fontId="0" fillId="0" borderId="0" xfId="0" applyFont="1" applyAlignment="1">
      <alignment horizontal="right"/>
    </xf>
    <xf numFmtId="164" fontId="0" fillId="0" borderId="0" xfId="0" applyFont="1" applyAlignment="1"/>
    <xf numFmtId="0" fontId="42" fillId="0" borderId="0" xfId="47" applyFont="1" applyAlignment="1">
      <alignment horizontal="center"/>
    </xf>
    <xf numFmtId="0" fontId="40" fillId="0" borderId="10" xfId="47" applyFont="1" applyBorder="1" applyAlignment="1">
      <alignment horizontal="center" wrapText="1"/>
    </xf>
    <xf numFmtId="0" fontId="40" fillId="0" borderId="9" xfId="47" applyFont="1" applyBorder="1" applyAlignment="1">
      <alignment horizontal="center" wrapText="1"/>
    </xf>
    <xf numFmtId="0" fontId="40" fillId="0" borderId="11" xfId="47" applyFont="1" applyBorder="1" applyAlignment="1">
      <alignment horizontal="center" wrapText="1"/>
    </xf>
    <xf numFmtId="0" fontId="40" fillId="0" borderId="10" xfId="47" applyFont="1" applyBorder="1" applyAlignment="1">
      <alignment horizontal="center"/>
    </xf>
    <xf numFmtId="0" fontId="40" fillId="0" borderId="9" xfId="47" applyFont="1" applyBorder="1" applyAlignment="1">
      <alignment horizontal="center"/>
    </xf>
    <xf numFmtId="0" fontId="40" fillId="0" borderId="11" xfId="47" applyFont="1" applyBorder="1" applyAlignment="1">
      <alignment horizontal="center"/>
    </xf>
    <xf numFmtId="0" fontId="40" fillId="0" borderId="13" xfId="47" applyFont="1" applyBorder="1" applyAlignment="1">
      <alignment horizontal="center" wrapText="1"/>
    </xf>
    <xf numFmtId="0" fontId="40" fillId="0" borderId="0" xfId="47" applyFont="1" applyAlignment="1">
      <alignment horizontal="center" wrapText="1"/>
    </xf>
    <xf numFmtId="0" fontId="40" fillId="0" borderId="36" xfId="47" applyFont="1" applyBorder="1" applyAlignment="1">
      <alignment horizontal="center" wrapText="1"/>
    </xf>
    <xf numFmtId="0" fontId="40" fillId="0" borderId="5" xfId="47" applyFont="1" applyBorder="1" applyAlignment="1">
      <alignment horizontal="center"/>
    </xf>
    <xf numFmtId="0" fontId="40" fillId="0" borderId="6" xfId="47" applyFont="1" applyBorder="1" applyAlignment="1">
      <alignment horizontal="center"/>
    </xf>
    <xf numFmtId="0" fontId="40" fillId="0" borderId="7" xfId="47" applyFont="1" applyBorder="1" applyAlignment="1">
      <alignment horizontal="center"/>
    </xf>
    <xf numFmtId="0" fontId="44" fillId="0" borderId="10" xfId="47" applyFont="1" applyBorder="1" applyAlignment="1">
      <alignment horizontal="center" wrapText="1"/>
    </xf>
    <xf numFmtId="0" fontId="44" fillId="0" borderId="9" xfId="47" applyFont="1" applyBorder="1" applyAlignment="1">
      <alignment horizontal="center" wrapText="1"/>
    </xf>
    <xf numFmtId="0" fontId="44" fillId="0" borderId="11" xfId="47" applyFont="1" applyBorder="1" applyAlignment="1">
      <alignment horizontal="center" wrapText="1"/>
    </xf>
    <xf numFmtId="0" fontId="44" fillId="0" borderId="10" xfId="47" applyFont="1" applyBorder="1" applyAlignment="1">
      <alignment horizontal="center"/>
    </xf>
    <xf numFmtId="0" fontId="44" fillId="0" borderId="9" xfId="47" applyFont="1" applyBorder="1" applyAlignment="1">
      <alignment horizontal="center"/>
    </xf>
    <xf numFmtId="0" fontId="44" fillId="0" borderId="11" xfId="47" applyFont="1" applyBorder="1" applyAlignment="1">
      <alignment horizontal="center"/>
    </xf>
    <xf numFmtId="0" fontId="53" fillId="0" borderId="0" xfId="54" applyFont="1" applyAlignment="1">
      <alignment horizontal="left" wrapText="1"/>
    </xf>
  </cellXfs>
  <cellStyles count="111">
    <cellStyle name="Comma" xfId="4" xr:uid="{00000000-0005-0000-0000-000004000000}"/>
    <cellStyle name="Comma [0]" xfId="5" xr:uid="{00000000-0005-0000-0000-000005000000}"/>
    <cellStyle name="Comma [0] 2" xfId="26" xr:uid="{00000000-0005-0000-0000-00001A000000}"/>
    <cellStyle name="Comma [0] 2 2" xfId="104" xr:uid="{F7964B7C-C7FA-4AF3-9E23-6FFB62322BB3}"/>
    <cellStyle name="Comma 10" xfId="44" xr:uid="{00000000-0005-0000-0000-00002C000000}"/>
    <cellStyle name="Comma 10 10" xfId="98" xr:uid="{A53ABC2C-BEBD-4EDE-AA7F-5E62523F7BA7}"/>
    <cellStyle name="Comma 10 2" xfId="108" xr:uid="{E4C570EB-3EBB-4493-9187-246B6DE22CA5}"/>
    <cellStyle name="Comma 11" xfId="71" xr:uid="{00000000-0005-0000-0000-000047000000}"/>
    <cellStyle name="Comma 12" xfId="78" xr:uid="{00000000-0005-0000-0000-00004E000000}"/>
    <cellStyle name="Comma 13" xfId="94" xr:uid="{537E3193-BF8D-4ADB-9037-91FF9B4F7C01}"/>
    <cellStyle name="Comma 2" xfId="28" xr:uid="{00000000-0005-0000-0000-00001C000000}"/>
    <cellStyle name="Comma 2 2" xfId="40" xr:uid="{00000000-0005-0000-0000-000028000000}"/>
    <cellStyle name="Comma 2 2 2" xfId="101" xr:uid="{CB8A7A53-6E08-4CBD-94FD-3FCC406810AC}"/>
    <cellStyle name="Comma 2 3" xfId="49" xr:uid="{00000000-0005-0000-0000-000031000000}"/>
    <cellStyle name="Comma 3" xfId="30" xr:uid="{00000000-0005-0000-0000-00001E000000}"/>
    <cellStyle name="Comma 3 3" xfId="53" xr:uid="{00000000-0005-0000-0000-000035000000}"/>
    <cellStyle name="Comma 4" xfId="32" xr:uid="{00000000-0005-0000-0000-000020000000}"/>
    <cellStyle name="Comma 4 2" xfId="55" xr:uid="{00000000-0005-0000-0000-000037000000}"/>
    <cellStyle name="Comma 5" xfId="66" xr:uid="{00000000-0005-0000-0000-000042000000}"/>
    <cellStyle name="Comma 5 2" xfId="87" xr:uid="{2506C920-2316-4FCB-A687-4DA5682CCF76}"/>
    <cellStyle name="Comma 6" xfId="73" xr:uid="{00000000-0005-0000-0000-000049000000}"/>
    <cellStyle name="Comma 7" xfId="77" xr:uid="{00000000-0005-0000-0000-00004D000000}"/>
    <cellStyle name="Comma 7 2" xfId="105" xr:uid="{3C07815C-118D-4AE5-8599-DE8D98E4BEC8}"/>
    <cellStyle name="Comma 8" xfId="23" xr:uid="{00000000-0005-0000-0000-000017000000}"/>
    <cellStyle name="Comma 8 2" xfId="36" xr:uid="{00000000-0005-0000-0000-000024000000}"/>
    <cellStyle name="Comma 8 2 2" xfId="63" xr:uid="{00000000-0005-0000-0000-00003F000000}"/>
    <cellStyle name="Comma 8 3" xfId="59" xr:uid="{00000000-0005-0000-0000-00003B000000}"/>
    <cellStyle name="Comma 8 4" xfId="80" xr:uid="{00000000-0005-0000-0000-000050000000}"/>
    <cellStyle name="Comma 9" xfId="69" xr:uid="{00000000-0005-0000-0000-000045000000}"/>
    <cellStyle name="Currency" xfId="2" xr:uid="{00000000-0005-0000-0000-000002000000}"/>
    <cellStyle name="Currency [0]" xfId="3" xr:uid="{00000000-0005-0000-0000-000003000000}"/>
    <cellStyle name="Currency 10" xfId="68" xr:uid="{00000000-0005-0000-0000-000044000000}"/>
    <cellStyle name="Currency 11" xfId="109" xr:uid="{3A15CB16-D431-4E6B-8C44-35D6443521AC}"/>
    <cellStyle name="Currency 2" xfId="29" xr:uid="{00000000-0005-0000-0000-00001D000000}"/>
    <cellStyle name="Currency 3" xfId="34" xr:uid="{00000000-0005-0000-0000-000022000000}"/>
    <cellStyle name="Currency 4" xfId="31" xr:uid="{00000000-0005-0000-0000-00001F000000}"/>
    <cellStyle name="Currency 5" xfId="67" xr:uid="{00000000-0005-0000-0000-000043000000}"/>
    <cellStyle name="Currency 6" xfId="74" xr:uid="{00000000-0005-0000-0000-00004A000000}"/>
    <cellStyle name="Currency 6 2" xfId="91" xr:uid="{7E43901C-4FC1-448C-BBED-95E05E5F9170}"/>
    <cellStyle name="Currency 7" xfId="72" xr:uid="{00000000-0005-0000-0000-000048000000}"/>
    <cellStyle name="Currency 8" xfId="70" xr:uid="{00000000-0005-0000-0000-000046000000}"/>
    <cellStyle name="Currency 9" xfId="82" xr:uid="{00000000-0005-0000-0000-000052000000}"/>
    <cellStyle name="Hyperlink 3" xfId="96" xr:uid="{D24CA735-F56D-48C7-9AF7-B5DA0E413EC2}"/>
    <cellStyle name="Normal" xfId="0" builtinId="0"/>
    <cellStyle name="Normal 10" xfId="12" xr:uid="{00000000-0005-0000-0000-00000C000000}"/>
    <cellStyle name="Normal 10 2" xfId="33" xr:uid="{00000000-0005-0000-0000-000021000000}"/>
    <cellStyle name="Normal 10 2 2" xfId="61" xr:uid="{00000000-0005-0000-0000-00003D000000}"/>
    <cellStyle name="Normal 10 3" xfId="57" xr:uid="{00000000-0005-0000-0000-000039000000}"/>
    <cellStyle name="Normal 10 4" xfId="76" xr:uid="{00000000-0005-0000-0000-00004C000000}"/>
    <cellStyle name="Normal 10 4 2" xfId="85" xr:uid="{EF739448-9DA4-43DD-B9F6-9FF5970211D7}"/>
    <cellStyle name="Normal 102 3 2 2" xfId="52" xr:uid="{00000000-0005-0000-0000-000034000000}"/>
    <cellStyle name="Normal 11" xfId="19" xr:uid="{00000000-0005-0000-0000-000013000000}"/>
    <cellStyle name="Normal 115" xfId="103" xr:uid="{2A5A2A16-BA31-46EA-B677-8EC4D185CB4E}"/>
    <cellStyle name="Normal 12" xfId="83" xr:uid="{916187A3-2F9D-4306-A4C3-B07B92348D36}"/>
    <cellStyle name="Normal 12 2" xfId="89" xr:uid="{9724E3EB-08F8-4176-BBF9-F31BCCF9719D}"/>
    <cellStyle name="Normal 13" xfId="84" xr:uid="{80B69E08-3ECE-40FC-9ED5-ED7786A713F8}"/>
    <cellStyle name="Normal 14" xfId="93" xr:uid="{CF79E6A2-467A-4CB1-A2D4-D096D27ECC3F}"/>
    <cellStyle name="Normal 2" xfId="25" xr:uid="{00000000-0005-0000-0000-000019000000}"/>
    <cellStyle name="Normal 2 19" xfId="51" xr:uid="{00000000-0005-0000-0000-000033000000}"/>
    <cellStyle name="Normal 2 2" xfId="21" xr:uid="{00000000-0005-0000-0000-000015000000}"/>
    <cellStyle name="Normal 2 2 2" xfId="48" xr:uid="{00000000-0005-0000-0000-000030000000}"/>
    <cellStyle name="Normal 2 2 2 2" xfId="107" xr:uid="{B7F5B28C-44F5-4C69-A03F-B7F4FE329E42}"/>
    <cellStyle name="Normal 2 2 3" xfId="100" xr:uid="{3CC58BFD-3D69-45B2-8420-6C0698595E7F}"/>
    <cellStyle name="Normal 2 3" xfId="102" xr:uid="{DD1C3685-8A07-496C-AC91-AA7AA06FB845}"/>
    <cellStyle name="Normal 2 6 2 2" xfId="97" xr:uid="{29E77E62-BDFA-48ED-B623-4BA141C7B0F1}"/>
    <cellStyle name="Normal 3" xfId="38" xr:uid="{00000000-0005-0000-0000-000026000000}"/>
    <cellStyle name="Normal 3 2" xfId="17" xr:uid="{00000000-0005-0000-0000-000011000000}"/>
    <cellStyle name="Normal 3 4" xfId="92" xr:uid="{C5EF657F-EDBE-4DDE-8FF8-8729BE42CDEC}"/>
    <cellStyle name="Normal 3 8" xfId="42" xr:uid="{00000000-0005-0000-0000-00002A000000}"/>
    <cellStyle name="Normal 3_Attach O, GG, Support -New Method 2-14-11" xfId="6" xr:uid="{00000000-0005-0000-0000-000006000000}"/>
    <cellStyle name="Normal 4" xfId="110" xr:uid="{15B4EC5A-3152-4622-8BF8-AEA75E3B84BD}"/>
    <cellStyle name="Normal 4 2" xfId="50" xr:uid="{00000000-0005-0000-0000-000032000000}"/>
    <cellStyle name="Normal 4 3" xfId="47" xr:uid="{00000000-0005-0000-0000-00002F000000}"/>
    <cellStyle name="Normal 42" xfId="86" xr:uid="{8823219E-36AF-437A-B52A-D8D7FE18B682}"/>
    <cellStyle name="Normal 5" xfId="18" xr:uid="{00000000-0005-0000-0000-000012000000}"/>
    <cellStyle name="Normal 6 6" xfId="54" xr:uid="{00000000-0005-0000-0000-000036000000}"/>
    <cellStyle name="Normal 7" xfId="8" xr:uid="{00000000-0005-0000-0000-000008000000}"/>
    <cellStyle name="Normal 7 2" xfId="39" xr:uid="{00000000-0005-0000-0000-000027000000}"/>
    <cellStyle name="Normal 7 2 2" xfId="43" xr:uid="{00000000-0005-0000-0000-00002B000000}"/>
    <cellStyle name="Normal 9" xfId="22" xr:uid="{00000000-0005-0000-0000-000016000000}"/>
    <cellStyle name="Normal 9 2" xfId="24" xr:uid="{00000000-0005-0000-0000-000018000000}"/>
    <cellStyle name="Normal 9 2 2" xfId="37" xr:uid="{00000000-0005-0000-0000-000025000000}"/>
    <cellStyle name="Normal 9 2 2 2" xfId="64" xr:uid="{00000000-0005-0000-0000-000040000000}"/>
    <cellStyle name="Normal 9 2 3" xfId="60" xr:uid="{00000000-0005-0000-0000-00003C000000}"/>
    <cellStyle name="Normal 9 2 4" xfId="81" xr:uid="{00000000-0005-0000-0000-000051000000}"/>
    <cellStyle name="Normal 9 3" xfId="35" xr:uid="{00000000-0005-0000-0000-000023000000}"/>
    <cellStyle name="Normal 9 3 2" xfId="62" xr:uid="{00000000-0005-0000-0000-00003E000000}"/>
    <cellStyle name="Normal 9 4" xfId="58" xr:uid="{00000000-0005-0000-0000-00003A000000}"/>
    <cellStyle name="Normal 9 5" xfId="79" xr:uid="{00000000-0005-0000-0000-00004F000000}"/>
    <cellStyle name="Normal_21 Exh B" xfId="9" xr:uid="{00000000-0005-0000-0000-000009000000}"/>
    <cellStyle name="Normal_AR workpaper --2002 Def Tax Exp by Account 8-14-02" xfId="27" xr:uid="{00000000-0005-0000-0000-00001B000000}"/>
    <cellStyle name="Normal_ATC Projected 2008 Monthly Plant Balances for Attachment O 2 (2)" xfId="16" xr:uid="{00000000-0005-0000-0000-000010000000}"/>
    <cellStyle name="Normal_Attachment GG Example 8 26 09" xfId="13" xr:uid="{00000000-0005-0000-0000-00000D000000}"/>
    <cellStyle name="Normal_Attachment GG Template ER11-28 11-18-10" xfId="11" xr:uid="{00000000-0005-0000-0000-00000B000000}"/>
    <cellStyle name="Normal_Attachment O &amp; GG Final 11_11_09" xfId="10" xr:uid="{00000000-0005-0000-0000-00000A000000}"/>
    <cellStyle name="Normal_Attachment O Support - 2004 True-up" xfId="14" xr:uid="{00000000-0005-0000-0000-00000E000000}"/>
    <cellStyle name="Normal_Attachment Os for 2002 True-up" xfId="7" xr:uid="{00000000-0005-0000-0000-000007000000}"/>
    <cellStyle name="Normal_Schedule O Info for Mike" xfId="15" xr:uid="{00000000-0005-0000-0000-00000F000000}"/>
    <cellStyle name="Percent" xfId="1" xr:uid="{00000000-0005-0000-0000-000001000000}"/>
    <cellStyle name="Percent 10" xfId="45" xr:uid="{00000000-0005-0000-0000-00002D000000}"/>
    <cellStyle name="Percent 2" xfId="46" xr:uid="{00000000-0005-0000-0000-00002E000000}"/>
    <cellStyle name="Percent 2 2" xfId="41" xr:uid="{00000000-0005-0000-0000-000029000000}"/>
    <cellStyle name="Percent 2 2 2" xfId="99" xr:uid="{2C33BFE2-26D4-43C3-A051-B67382C95AA1}"/>
    <cellStyle name="Percent 2 3" xfId="65" xr:uid="{00000000-0005-0000-0000-000041000000}"/>
    <cellStyle name="Percent 2 4" xfId="75" xr:uid="{00000000-0005-0000-0000-00004B000000}"/>
    <cellStyle name="Percent 3 3" xfId="56" xr:uid="{00000000-0005-0000-0000-000038000000}"/>
    <cellStyle name="Percent 7 2" xfId="20" xr:uid="{00000000-0005-0000-0000-000014000000}"/>
    <cellStyle name="Percent 8" xfId="106" xr:uid="{D4892F3F-05F3-4C46-A214-63EA85CBD647}"/>
    <cellStyle name="Percent 8 2" xfId="90" xr:uid="{BFF30461-9BB4-425D-A9E7-505B24BAAF2D}"/>
    <cellStyle name="Percent 9" xfId="95" xr:uid="{B26BBE2E-3A2E-493A-B394-967D81374DAC}"/>
    <cellStyle name="SAPHierarchyCell4" xfId="88" xr:uid="{29AF32CB-0BC8-4BB3-BF8A-477765B33BAC}"/>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Worksheet%20in%20T3%20Template%20to%20Sectors.pp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DN0Q74/Documents/FINAL%20Provision%20Workbook%20-%2003.31.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DN0Q74/Documents/2022%20Formula%20Rate%20Projections/GridLiance/GHP/Attachment%203%20-%20GHP%20Tx%202022%20Projection%20-%20SDN%20Edits%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nesmith/OneDrive%20-%20Gridliance/Income%20Tax%20Filings/2019/Holdco/2019%20Gridliance%20Holdco%20SIT%20Workpapers%20FI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Cash Flow QTD"/>
      <sheetName val="3 Cash Flow YTD"/>
      <sheetName val="4 Cash Flow Fcst"/>
      <sheetName val="11 Key Indicators detail Mo."/>
      <sheetName val="9 Key Indicators"/>
      <sheetName val="10 Key Indicators detail"/>
      <sheetName val="15 QTD P&amp;L"/>
      <sheetName val="16 YTD P&amp;L"/>
      <sheetName val="34 COMPARATIVE P&amp;L Q1l"/>
      <sheetName val="35 Q1 P&amp;L by Month"/>
      <sheetName val="val"/>
      <sheetName val="Services Pricelist"/>
      <sheetName val="Data"/>
      <sheetName val="Control Report"/>
      <sheetName val="Receivables Week"/>
      <sheetName val="Q3 Customer detail"/>
      <sheetName val="CR Summary"/>
      <sheetName val="Case Data-  Raw File"/>
      <sheetName val="MF - CPU"/>
      <sheetName val="CRAWL WEEK 42"/>
      <sheetName val="Total GMSG"/>
      <sheetName val="Estimate 30.09.04 Restructure"/>
      <sheetName val="Combo"/>
      <sheetName val="APAC Disti"/>
      <sheetName val="CSCF HP Lang. "/>
      <sheetName val="HSS Sun Netra"/>
      <sheetName val="CIG+OV"/>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otnotes &gt;&gt;&gt;"/>
      <sheetName val="GHP FNs"/>
      <sheetName val="GLW FNs"/>
      <sheetName val="GLH FNs"/>
      <sheetName val="HoldCo Form 60 FNs"/>
      <sheetName val="FERC Forms &gt;&gt;&gt;"/>
      <sheetName val="GHP &gt;&gt;&gt;"/>
      <sheetName val="GHP p234"/>
      <sheetName val="GHP p261"/>
      <sheetName val="GHP p262"/>
      <sheetName val="GHP p263"/>
      <sheetName val="GHP p274"/>
      <sheetName val="GHP p275"/>
      <sheetName val="GHP p276"/>
      <sheetName val="GHP p277"/>
      <sheetName val="GLW &gt;&gt;&gt;"/>
      <sheetName val="GLW p234"/>
      <sheetName val="GLW p261"/>
      <sheetName val="GLW p262"/>
      <sheetName val="GLW p263"/>
      <sheetName val="GLW p274"/>
      <sheetName val="GLW p275"/>
      <sheetName val="GLW p276"/>
      <sheetName val="GLW p277"/>
      <sheetName val="GLH &gt;&gt;&gt;"/>
      <sheetName val="GLH p234"/>
      <sheetName val="GLH p261"/>
      <sheetName val="GLH p262"/>
      <sheetName val="GLH p263"/>
      <sheetName val="GLH p274"/>
      <sheetName val="GLH p275"/>
      <sheetName val="GLH p276"/>
      <sheetName val="GLH p277"/>
      <sheetName val="EDIT &gt;&gt;&gt;"/>
      <sheetName val="GHP - EDIT 2017"/>
      <sheetName val="GHP - EDIT 2018"/>
      <sheetName val="GLW - EDIT 2017"/>
      <sheetName val="2021 Q1 Provision &gt;&gt;&gt;"/>
      <sheetName val="Index"/>
      <sheetName val="Review Check"/>
      <sheetName val="Cash Flow Items"/>
      <sheetName val="Tax Account Rollforward"/>
      <sheetName val="Plant vs Non-Plant"/>
      <sheetName val="Journal Entries"/>
      <sheetName val="Trial Balance Data Input"/>
      <sheetName val="Chart of Accounts"/>
      <sheetName val="Tax Rates &gt;&gt;&gt;"/>
      <sheetName val="Summary of Tax Rates"/>
      <sheetName val="GHP ITA"/>
      <sheetName val="GLW ITA"/>
      <sheetName val="GLH ITA"/>
      <sheetName val="62.71% ITA"/>
      <sheetName val="72.13% ITA"/>
      <sheetName val="53.29% ITA"/>
      <sheetName val="72.13% ITA old"/>
      <sheetName val="62.71% ITA old"/>
      <sheetName val="GHP ITA old"/>
      <sheetName val="GLW ITA old"/>
      <sheetName val="GLH ITA old"/>
      <sheetName val="Opco Provisions &gt;&gt;&gt;"/>
      <sheetName val="GHP Provision"/>
      <sheetName val="GLW Provision"/>
      <sheetName val="GLH Provision"/>
      <sheetName val="2020 Meals &amp; Entertainment"/>
      <sheetName val="408 analysis"/>
      <sheetName val="236 analysis"/>
      <sheetName val="Depreciation &amp; Amortization &gt;&gt;&gt;"/>
      <sheetName val="Opco Tax Depreciation"/>
      <sheetName val="Opco Tax Amortization"/>
      <sheetName val="GLW Reacquired Debt Costs"/>
      <sheetName val="GLH 202012 State Split"/>
      <sheetName val="GHP 202012 State Split"/>
      <sheetName val="GLH State Split 3.01.2020"/>
      <sheetName val="GLH State Split 09.30.2020"/>
      <sheetName val="ManageCo Provision &gt;&gt;&gt;"/>
      <sheetName val="ManageCo Provision"/>
      <sheetName val="NOL Carryforwards "/>
      <sheetName val="2020 ManageCo RtoP"/>
      <sheetName val="2020 ManageCo Provision"/>
      <sheetName val="2019 ManageCo RtoP"/>
      <sheetName val="2019 ManageCo Provision"/>
      <sheetName val="2019 ManageCo Tax Return"/>
      <sheetName val="2019 ManageCo Standalone P&amp;L"/>
      <sheetName val="ManageCo Federal Depreciation "/>
      <sheetName val="ManageCo State Depreciation "/>
      <sheetName val="ManageCo State Apportionment"/>
      <sheetName val="Financials &gt;&gt;&gt;"/>
      <sheetName val="03.21 GHP FERC IS"/>
      <sheetName val="03.21 GHP FERC BS"/>
      <sheetName val="03.21 GLW FERC IS"/>
      <sheetName val="03.21 GLW FERC BS"/>
      <sheetName val="03.21 GLH FERC IS"/>
      <sheetName val="03.21 GLH FERC BS"/>
      <sheetName val="02.21 GHP FERC IS"/>
      <sheetName val="02.21 GHP FERC BS"/>
      <sheetName val="02.21 GLW FERC IS"/>
      <sheetName val="02.21 GLW FERC BS"/>
      <sheetName val="02.21 GLH FERC IS"/>
      <sheetName val="02.21 GLH FERC BS"/>
      <sheetName val="2020 GHP FERC IS"/>
      <sheetName val="2020 GHP FERC BS"/>
      <sheetName val="2020 GLW FERC IS"/>
      <sheetName val="2020 GLW FERC BS"/>
      <sheetName val="2020 GLH FERC IS"/>
      <sheetName val="2020 GLH FERC BS"/>
      <sheetName val="03.21 ManageCo IS"/>
      <sheetName val="03.21 ManageCo BS"/>
      <sheetName val="03.21 Consolidated IS"/>
      <sheetName val="03.21 Consolidated BS"/>
      <sheetName val="02.21 Consolidated IS"/>
      <sheetName val="02.21 Consolidated BS"/>
      <sheetName val="2020 Consolidated IS"/>
      <sheetName val="2020 Consolidated BS"/>
      <sheetName val="ManageCo IS 1.09.2021"/>
      <sheetName val="ManageCo BS 1.09.2021"/>
      <sheetName val="FORECAST DETAILS &gt;&gt;&gt;"/>
      <sheetName val="Grid_(Fcst)"/>
      <sheetName val="GHP_(Fcst)"/>
      <sheetName val="GLW_(Fcst)"/>
      <sheetName val="GLH_(Fcst)"/>
      <sheetName val="Oth_(Fcst)"/>
      <sheetName val="SUPPLEMENTAL INFO &gt;&gt;&gt;"/>
      <sheetName val="GHP"/>
      <sheetName val="GLW"/>
      <sheetName val="GLH"/>
      <sheetName val="Others"/>
      <sheetName val="CAPEX FORECAST &gt;&gt;&gt;"/>
      <sheetName val="SPP"/>
      <sheetName val="CAISO"/>
      <sheetName val="MISO"/>
      <sheetName val="ManageCo"/>
      <sheetName val="AFUDC &gt;&gt;&gt;"/>
      <sheetName val="AFUDC Calculation"/>
      <sheetName val="AFUDC Total by Project by Yr"/>
      <sheetName val="AFUDC LTD 202103 Data"/>
      <sheetName val="AFUDC in Service LTD"/>
      <sheetName val="AFUDC 2020-11"/>
      <sheetName val="Activity History 2016-04 to 202"/>
      <sheetName val="Proj IDs 2020-11-11"/>
      <sheetName val="GLH Reg Asset Adj &gt;&gt;&gt;"/>
      <sheetName val="GLH 2019 FERC Income Stmt"/>
      <sheetName val="GLH 2018 FERC Income Stmt"/>
      <sheetName val="GLH 2017 FERC Income Stmt"/>
      <sheetName val="GLH 2016 FERC Income Stmt"/>
      <sheetName val="GLH 2015 FERC Income Stmt"/>
      <sheetName val="GLH 2014 FERC Income Stmt"/>
      <sheetName val="GLH 2013 FERC Income Stmt"/>
      <sheetName val="GLH Reg Asset Summary"/>
      <sheetName val="Reg Asset Spend by Year - GAAP"/>
      <sheetName val="GHP Acquisitions &gt;&gt;&gt;"/>
      <sheetName val="TCEC Tax Entries"/>
      <sheetName val="Nixa PPA"/>
      <sheetName val="Nixa Final JE"/>
      <sheetName val="CtoB PPA"/>
      <sheetName val="CtoB Final JE"/>
      <sheetName val="Winfield Final PPA"/>
      <sheetName val="Winfield Book PPA"/>
      <sheetName val="Winfield Final JE"/>
      <sheetName val="GLW Acquisitions &gt;&gt;&gt;"/>
      <sheetName val="VEA PPA"/>
      <sheetName val="VEA Final JE"/>
      <sheetName val="Closing Schedule 2.8"/>
      <sheetName val="1"/>
      <sheetName val="2"/>
      <sheetName val="VETA Acquisition JE's"/>
      <sheetName val="VETA Acquisition True-up JE"/>
      <sheetName val="GLH Acquisitions &gt;&gt;&gt;"/>
      <sheetName val="TORC PPA"/>
      <sheetName val="TORC Final J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1">
          <cell r="C1">
            <v>44196</v>
          </cell>
        </row>
        <row r="2">
          <cell r="C2">
            <v>44286</v>
          </cell>
          <cell r="E2">
            <v>3</v>
          </cell>
        </row>
        <row r="3">
          <cell r="C3">
            <v>44561</v>
          </cell>
        </row>
      </sheetData>
      <sheetData sheetId="40"/>
      <sheetData sheetId="41"/>
      <sheetData sheetId="42"/>
      <sheetData sheetId="43"/>
      <sheetData sheetId="44"/>
      <sheetData sheetId="45"/>
      <sheetData sheetId="46"/>
      <sheetData sheetId="47">
        <row r="9">
          <cell r="C9">
            <v>0.21</v>
          </cell>
        </row>
        <row r="10">
          <cell r="C10">
            <v>5.7892734317605811E-2</v>
          </cell>
          <cell r="D10">
            <v>0</v>
          </cell>
          <cell r="E10">
            <v>8.8568694290062963E-2</v>
          </cell>
        </row>
        <row r="11">
          <cell r="C11">
            <v>0.25695381005520729</v>
          </cell>
          <cell r="D11">
            <v>0.20999999999999996</v>
          </cell>
          <cell r="E11">
            <v>0.29049967090220358</v>
          </cell>
        </row>
        <row r="12">
          <cell r="C12">
            <v>0.19906107573760148</v>
          </cell>
          <cell r="D12">
            <v>0.20999999999999996</v>
          </cell>
          <cell r="E12">
            <v>0.2019309766121406</v>
          </cell>
          <cell r="F12">
            <v>0.20986184649726711</v>
          </cell>
        </row>
        <row r="14">
          <cell r="C14">
            <v>0.13692287477689324</v>
          </cell>
          <cell r="E14">
            <v>0.15479844433178522</v>
          </cell>
        </row>
        <row r="17">
          <cell r="F17">
            <v>0</v>
          </cell>
        </row>
        <row r="19">
          <cell r="C19">
            <v>1.3458113553806106</v>
          </cell>
          <cell r="D19">
            <v>1.2658227848101264</v>
          </cell>
          <cell r="E19">
            <v>1.409442616145935</v>
          </cell>
          <cell r="F19">
            <v>1.2666560846904023</v>
          </cell>
        </row>
        <row r="21">
          <cell r="C21">
            <v>-1.215747420669722E-2</v>
          </cell>
          <cell r="D21">
            <v>0</v>
          </cell>
          <cell r="E21">
            <v>-1.859942580091322E-2</v>
          </cell>
          <cell r="F21">
            <v>-1.381535027328861E-4</v>
          </cell>
        </row>
        <row r="22">
          <cell r="C22">
            <v>1.2185499442987115E-3</v>
          </cell>
          <cell r="D22">
            <v>-2.7755575615628914E-17</v>
          </cell>
          <cell r="E22">
            <v>1.0530402413053828E-2</v>
          </cell>
          <cell r="F22">
            <v>1.0299920638612292E-18</v>
          </cell>
        </row>
        <row r="25">
          <cell r="F25">
            <v>6.5787382253755294E-4</v>
          </cell>
        </row>
        <row r="26">
          <cell r="F26">
            <v>0</v>
          </cell>
        </row>
      </sheetData>
      <sheetData sheetId="48"/>
      <sheetData sheetId="49"/>
      <sheetData sheetId="50"/>
      <sheetData sheetId="51"/>
      <sheetData sheetId="52">
        <row r="63">
          <cell r="K63">
            <v>0.27870194919307684</v>
          </cell>
        </row>
      </sheetData>
      <sheetData sheetId="53">
        <row r="63">
          <cell r="K63">
            <v>0.46713039690878705</v>
          </cell>
        </row>
      </sheetData>
      <sheetData sheetId="54"/>
      <sheetData sheetId="55"/>
      <sheetData sheetId="56"/>
      <sheetData sheetId="57"/>
      <sheetData sheetId="58"/>
      <sheetData sheetId="59"/>
      <sheetData sheetId="60">
        <row r="21">
          <cell r="C21" t="str">
            <v>PTBI</v>
          </cell>
          <cell r="E21">
            <v>2282126.8499999992</v>
          </cell>
          <cell r="F21">
            <v>1461988.038699999</v>
          </cell>
          <cell r="G21">
            <v>820138.81130000029</v>
          </cell>
          <cell r="H21">
            <v>291025</v>
          </cell>
          <cell r="I21">
            <v>84638</v>
          </cell>
          <cell r="J21">
            <v>375663</v>
          </cell>
          <cell r="K21">
            <v>163258</v>
          </cell>
          <cell r="L21">
            <v>47480</v>
          </cell>
          <cell r="M21">
            <v>210738</v>
          </cell>
          <cell r="N21">
            <v>454283</v>
          </cell>
          <cell r="O21">
            <v>132118</v>
          </cell>
          <cell r="P21">
            <v>586401</v>
          </cell>
          <cell r="Q21">
            <v>0</v>
          </cell>
          <cell r="R21">
            <v>0</v>
          </cell>
          <cell r="S21">
            <v>0</v>
          </cell>
          <cell r="T21">
            <v>0</v>
          </cell>
          <cell r="U21">
            <v>0</v>
          </cell>
          <cell r="V21">
            <v>0</v>
          </cell>
          <cell r="W21">
            <v>0</v>
          </cell>
          <cell r="X21">
            <v>0</v>
          </cell>
          <cell r="Y21">
            <v>0</v>
          </cell>
          <cell r="Z21">
            <v>0</v>
          </cell>
          <cell r="AA21">
            <v>0</v>
          </cell>
          <cell r="AB21">
            <v>0</v>
          </cell>
        </row>
        <row r="24">
          <cell r="C24" t="str">
            <v>P100</v>
          </cell>
          <cell r="E24">
            <v>4859.4787499999957</v>
          </cell>
          <cell r="F24">
            <v>4859.4787499999957</v>
          </cell>
          <cell r="G24">
            <v>0</v>
          </cell>
          <cell r="H24">
            <v>967</v>
          </cell>
          <cell r="I24">
            <v>281</v>
          </cell>
          <cell r="J24">
            <v>1248</v>
          </cell>
          <cell r="K24">
            <v>0</v>
          </cell>
          <cell r="L24">
            <v>0</v>
          </cell>
          <cell r="M24">
            <v>0</v>
          </cell>
          <cell r="N24">
            <v>967</v>
          </cell>
          <cell r="O24">
            <v>281</v>
          </cell>
          <cell r="P24">
            <v>1248</v>
          </cell>
          <cell r="Q24">
            <v>0</v>
          </cell>
          <cell r="R24">
            <v>0</v>
          </cell>
          <cell r="S24">
            <v>0</v>
          </cell>
          <cell r="T24">
            <v>0</v>
          </cell>
          <cell r="U24">
            <v>0</v>
          </cell>
          <cell r="V24">
            <v>0</v>
          </cell>
          <cell r="W24">
            <v>0</v>
          </cell>
          <cell r="X24">
            <v>0</v>
          </cell>
          <cell r="Y24">
            <v>0</v>
          </cell>
          <cell r="Z24">
            <v>0</v>
          </cell>
          <cell r="AA24">
            <v>0</v>
          </cell>
          <cell r="AB24">
            <v>0</v>
          </cell>
        </row>
        <row r="25">
          <cell r="C25" t="str">
            <v>P200</v>
          </cell>
          <cell r="E25">
            <v>691.02</v>
          </cell>
          <cell r="F25">
            <v>0</v>
          </cell>
          <cell r="G25">
            <v>691.02</v>
          </cell>
          <cell r="H25">
            <v>0</v>
          </cell>
          <cell r="I25">
            <v>0</v>
          </cell>
          <cell r="J25">
            <v>0</v>
          </cell>
          <cell r="K25">
            <v>138</v>
          </cell>
          <cell r="L25">
            <v>40</v>
          </cell>
          <cell r="M25">
            <v>178</v>
          </cell>
          <cell r="N25">
            <v>138</v>
          </cell>
          <cell r="O25">
            <v>40</v>
          </cell>
          <cell r="P25">
            <v>178</v>
          </cell>
          <cell r="Q25">
            <v>0</v>
          </cell>
          <cell r="R25">
            <v>0</v>
          </cell>
          <cell r="S25">
            <v>0</v>
          </cell>
          <cell r="T25">
            <v>0</v>
          </cell>
          <cell r="U25">
            <v>0</v>
          </cell>
          <cell r="V25">
            <v>0</v>
          </cell>
          <cell r="W25">
            <v>0</v>
          </cell>
          <cell r="X25">
            <v>0</v>
          </cell>
          <cell r="Y25">
            <v>0</v>
          </cell>
          <cell r="Z25">
            <v>0</v>
          </cell>
          <cell r="AA25">
            <v>0</v>
          </cell>
          <cell r="AB25">
            <v>0</v>
          </cell>
        </row>
        <row r="26">
          <cell r="C26" t="str">
            <v>P300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row>
        <row r="27">
          <cell r="C27" t="str">
            <v>P999</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row>
        <row r="28">
          <cell r="E28">
            <v>5550.4987499999952</v>
          </cell>
          <cell r="F28">
            <v>4859.4787499999957</v>
          </cell>
          <cell r="G28">
            <v>691.02</v>
          </cell>
        </row>
        <row r="31">
          <cell r="C31" t="str">
            <v>F100</v>
          </cell>
          <cell r="E31">
            <v>-7355.211110876965</v>
          </cell>
          <cell r="F31">
            <v>0</v>
          </cell>
          <cell r="G31">
            <v>-7355.211110876965</v>
          </cell>
          <cell r="H31">
            <v>0</v>
          </cell>
          <cell r="I31">
            <v>0</v>
          </cell>
          <cell r="J31">
            <v>0</v>
          </cell>
          <cell r="K31">
            <v>-1464</v>
          </cell>
          <cell r="L31">
            <v>-426</v>
          </cell>
          <cell r="M31">
            <v>-1890</v>
          </cell>
          <cell r="N31">
            <v>-1464</v>
          </cell>
          <cell r="O31">
            <v>-426</v>
          </cell>
          <cell r="P31">
            <v>-1890</v>
          </cell>
          <cell r="Q31">
            <v>0</v>
          </cell>
          <cell r="R31">
            <v>0</v>
          </cell>
          <cell r="S31">
            <v>0</v>
          </cell>
          <cell r="T31">
            <v>0</v>
          </cell>
          <cell r="U31">
            <v>0</v>
          </cell>
          <cell r="V31">
            <v>0</v>
          </cell>
          <cell r="W31">
            <v>0</v>
          </cell>
          <cell r="X31">
            <v>0</v>
          </cell>
          <cell r="Y31">
            <v>0</v>
          </cell>
          <cell r="Z31">
            <v>0</v>
          </cell>
          <cell r="AA31">
            <v>0</v>
          </cell>
          <cell r="AB31">
            <v>0</v>
          </cell>
        </row>
        <row r="32">
          <cell r="C32" t="str">
            <v>F100</v>
          </cell>
          <cell r="E32">
            <v>0</v>
          </cell>
          <cell r="F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row>
        <row r="33">
          <cell r="C33" t="str">
            <v>F200</v>
          </cell>
          <cell r="E33">
            <v>-559663.68000000063</v>
          </cell>
          <cell r="F33">
            <v>0</v>
          </cell>
          <cell r="G33">
            <v>-559663.68000000063</v>
          </cell>
          <cell r="H33">
            <v>0</v>
          </cell>
          <cell r="I33">
            <v>0</v>
          </cell>
          <cell r="J33">
            <v>0</v>
          </cell>
          <cell r="K33">
            <v>-111407</v>
          </cell>
          <cell r="L33">
            <v>-32400</v>
          </cell>
          <cell r="M33">
            <v>-143807</v>
          </cell>
          <cell r="N33">
            <v>-111407</v>
          </cell>
          <cell r="O33">
            <v>-32400</v>
          </cell>
          <cell r="P33">
            <v>-143807</v>
          </cell>
          <cell r="Q33">
            <v>0</v>
          </cell>
          <cell r="R33">
            <v>0</v>
          </cell>
          <cell r="S33">
            <v>0</v>
          </cell>
          <cell r="T33">
            <v>0</v>
          </cell>
          <cell r="U33">
            <v>0</v>
          </cell>
          <cell r="V33">
            <v>0</v>
          </cell>
          <cell r="W33">
            <v>0</v>
          </cell>
          <cell r="X33">
            <v>0</v>
          </cell>
          <cell r="Y33">
            <v>0</v>
          </cell>
          <cell r="Z33">
            <v>0</v>
          </cell>
          <cell r="AA33">
            <v>0</v>
          </cell>
          <cell r="AB33">
            <v>0</v>
          </cell>
        </row>
        <row r="34">
          <cell r="C34" t="str">
            <v>F999</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row>
        <row r="35">
          <cell r="E35">
            <v>-567018.89111087762</v>
          </cell>
          <cell r="F35">
            <v>0</v>
          </cell>
          <cell r="G35">
            <v>-567018.89111087762</v>
          </cell>
        </row>
        <row r="38">
          <cell r="C38" t="str">
            <v>T100</v>
          </cell>
          <cell r="D38">
            <v>190</v>
          </cell>
          <cell r="E38">
            <v>-221512.25</v>
          </cell>
          <cell r="F38">
            <v>-221512.25</v>
          </cell>
          <cell r="G38">
            <v>0</v>
          </cell>
          <cell r="H38">
            <v>-44094</v>
          </cell>
          <cell r="I38">
            <v>-12824</v>
          </cell>
          <cell r="J38">
            <v>-56918</v>
          </cell>
          <cell r="K38">
            <v>0</v>
          </cell>
          <cell r="L38">
            <v>0</v>
          </cell>
          <cell r="M38">
            <v>0</v>
          </cell>
          <cell r="N38">
            <v>-44094</v>
          </cell>
          <cell r="O38">
            <v>-12824</v>
          </cell>
          <cell r="P38">
            <v>-56918</v>
          </cell>
          <cell r="Q38">
            <v>44094</v>
          </cell>
          <cell r="R38">
            <v>12824</v>
          </cell>
          <cell r="S38">
            <v>56918</v>
          </cell>
          <cell r="T38">
            <v>0</v>
          </cell>
          <cell r="U38">
            <v>0</v>
          </cell>
          <cell r="V38">
            <v>0</v>
          </cell>
          <cell r="W38">
            <v>0</v>
          </cell>
          <cell r="X38">
            <v>0</v>
          </cell>
          <cell r="Y38">
            <v>0</v>
          </cell>
          <cell r="Z38">
            <v>0</v>
          </cell>
          <cell r="AA38">
            <v>0</v>
          </cell>
          <cell r="AB38">
            <v>0</v>
          </cell>
        </row>
        <row r="39">
          <cell r="C39" t="str">
            <v>T200</v>
          </cell>
          <cell r="D39">
            <v>282</v>
          </cell>
          <cell r="E39">
            <v>536289.09519999998</v>
          </cell>
          <cell r="F39">
            <v>536289.09519999998</v>
          </cell>
          <cell r="G39">
            <v>0</v>
          </cell>
          <cell r="H39">
            <v>106754</v>
          </cell>
          <cell r="I39">
            <v>31047</v>
          </cell>
          <cell r="J39">
            <v>137801</v>
          </cell>
          <cell r="K39">
            <v>0</v>
          </cell>
          <cell r="L39">
            <v>0</v>
          </cell>
          <cell r="M39">
            <v>0</v>
          </cell>
          <cell r="N39">
            <v>106754</v>
          </cell>
          <cell r="O39">
            <v>31047</v>
          </cell>
          <cell r="P39">
            <v>137801</v>
          </cell>
          <cell r="Q39">
            <v>0</v>
          </cell>
          <cell r="R39">
            <v>0</v>
          </cell>
          <cell r="S39">
            <v>0</v>
          </cell>
          <cell r="T39">
            <v>-106754</v>
          </cell>
          <cell r="U39">
            <v>-31047</v>
          </cell>
          <cell r="V39">
            <v>-137801</v>
          </cell>
          <cell r="W39">
            <v>0</v>
          </cell>
          <cell r="X39">
            <v>0</v>
          </cell>
          <cell r="Y39">
            <v>0</v>
          </cell>
          <cell r="Z39">
            <v>0</v>
          </cell>
          <cell r="AA39">
            <v>0</v>
          </cell>
          <cell r="AB39">
            <v>0</v>
          </cell>
        </row>
        <row r="40">
          <cell r="C40" t="str">
            <v>T210</v>
          </cell>
          <cell r="D40">
            <v>282</v>
          </cell>
          <cell r="E40">
            <v>-1820202.1285527041</v>
          </cell>
          <cell r="F40">
            <v>-1820202.1285527041</v>
          </cell>
          <cell r="G40">
            <v>0</v>
          </cell>
          <cell r="H40">
            <v>-362331</v>
          </cell>
          <cell r="I40">
            <v>-105376</v>
          </cell>
          <cell r="J40">
            <v>-467707</v>
          </cell>
          <cell r="K40">
            <v>0</v>
          </cell>
          <cell r="L40">
            <v>0</v>
          </cell>
          <cell r="M40">
            <v>0</v>
          </cell>
          <cell r="N40">
            <v>-362331</v>
          </cell>
          <cell r="O40">
            <v>-105376</v>
          </cell>
          <cell r="P40">
            <v>-467707</v>
          </cell>
          <cell r="Q40">
            <v>362331</v>
          </cell>
          <cell r="R40">
            <v>105376</v>
          </cell>
          <cell r="S40">
            <v>467707</v>
          </cell>
          <cell r="T40">
            <v>0</v>
          </cell>
          <cell r="U40">
            <v>0</v>
          </cell>
          <cell r="V40">
            <v>0</v>
          </cell>
          <cell r="W40">
            <v>0</v>
          </cell>
          <cell r="X40">
            <v>0</v>
          </cell>
          <cell r="Y40">
            <v>0</v>
          </cell>
          <cell r="Z40">
            <v>0</v>
          </cell>
          <cell r="AA40">
            <v>0</v>
          </cell>
          <cell r="AB40">
            <v>0</v>
          </cell>
        </row>
        <row r="41">
          <cell r="C41" t="str">
            <v>T220</v>
          </cell>
          <cell r="D41">
            <v>282</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C42" t="str">
            <v>T230</v>
          </cell>
          <cell r="D42">
            <v>282</v>
          </cell>
          <cell r="E42">
            <v>-132666.33999999985</v>
          </cell>
          <cell r="F42">
            <v>0</v>
          </cell>
          <cell r="G42">
            <v>-132666.33999999985</v>
          </cell>
          <cell r="H42">
            <v>0</v>
          </cell>
          <cell r="I42">
            <v>0</v>
          </cell>
          <cell r="J42">
            <v>0</v>
          </cell>
          <cell r="K42">
            <v>-26409</v>
          </cell>
          <cell r="L42">
            <v>-7680</v>
          </cell>
          <cell r="M42">
            <v>-34089</v>
          </cell>
          <cell r="N42">
            <v>-26409</v>
          </cell>
          <cell r="O42">
            <v>-7680</v>
          </cell>
          <cell r="P42">
            <v>-34089</v>
          </cell>
          <cell r="Q42">
            <v>0</v>
          </cell>
          <cell r="R42">
            <v>0</v>
          </cell>
          <cell r="S42">
            <v>0</v>
          </cell>
          <cell r="T42">
            <v>0</v>
          </cell>
          <cell r="U42">
            <v>0</v>
          </cell>
          <cell r="V42">
            <v>0</v>
          </cell>
          <cell r="W42">
            <v>26409</v>
          </cell>
          <cell r="X42">
            <v>7680</v>
          </cell>
          <cell r="Y42">
            <v>34089</v>
          </cell>
          <cell r="Z42">
            <v>0</v>
          </cell>
          <cell r="AA42">
            <v>0</v>
          </cell>
          <cell r="AB42">
            <v>0</v>
          </cell>
        </row>
        <row r="43">
          <cell r="C43" t="str">
            <v>T240</v>
          </cell>
          <cell r="D43">
            <v>282</v>
          </cell>
          <cell r="E43">
            <v>-702.47018912303338</v>
          </cell>
          <cell r="F43">
            <v>0</v>
          </cell>
          <cell r="G43">
            <v>-702.47018912303338</v>
          </cell>
          <cell r="H43">
            <v>0</v>
          </cell>
          <cell r="I43">
            <v>0</v>
          </cell>
          <cell r="J43">
            <v>0</v>
          </cell>
          <cell r="K43">
            <v>-140</v>
          </cell>
          <cell r="L43">
            <v>-41</v>
          </cell>
          <cell r="M43">
            <v>-181</v>
          </cell>
          <cell r="N43">
            <v>-140</v>
          </cell>
          <cell r="O43">
            <v>-41</v>
          </cell>
          <cell r="P43">
            <v>-181</v>
          </cell>
          <cell r="Q43">
            <v>0</v>
          </cell>
          <cell r="R43">
            <v>0</v>
          </cell>
          <cell r="S43">
            <v>0</v>
          </cell>
          <cell r="T43">
            <v>0</v>
          </cell>
          <cell r="U43">
            <v>0</v>
          </cell>
          <cell r="V43">
            <v>0</v>
          </cell>
          <cell r="W43">
            <v>140</v>
          </cell>
          <cell r="X43">
            <v>41</v>
          </cell>
          <cell r="Y43">
            <v>181</v>
          </cell>
          <cell r="Z43">
            <v>0</v>
          </cell>
          <cell r="AA43">
            <v>0</v>
          </cell>
          <cell r="AB43">
            <v>0</v>
          </cell>
        </row>
        <row r="44">
          <cell r="C44" t="str">
            <v>T300</v>
          </cell>
          <cell r="D44">
            <v>283</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row>
        <row r="45">
          <cell r="C45" t="str">
            <v>T310</v>
          </cell>
          <cell r="D45">
            <v>283</v>
          </cell>
          <cell r="E45">
            <v>-95391.549999999814</v>
          </cell>
          <cell r="F45">
            <v>0</v>
          </cell>
          <cell r="G45">
            <v>-95391.549999999814</v>
          </cell>
          <cell r="H45">
            <v>0</v>
          </cell>
          <cell r="I45">
            <v>0</v>
          </cell>
          <cell r="J45">
            <v>0</v>
          </cell>
          <cell r="K45">
            <v>-18989</v>
          </cell>
          <cell r="L45">
            <v>-5522</v>
          </cell>
          <cell r="M45">
            <v>-24511</v>
          </cell>
          <cell r="N45">
            <v>-18989</v>
          </cell>
          <cell r="O45">
            <v>-5522</v>
          </cell>
          <cell r="P45">
            <v>-24511</v>
          </cell>
          <cell r="Q45">
            <v>0</v>
          </cell>
          <cell r="R45">
            <v>0</v>
          </cell>
          <cell r="S45">
            <v>0</v>
          </cell>
          <cell r="T45">
            <v>0</v>
          </cell>
          <cell r="U45">
            <v>0</v>
          </cell>
          <cell r="V45">
            <v>0</v>
          </cell>
          <cell r="W45">
            <v>18989</v>
          </cell>
          <cell r="X45">
            <v>5522</v>
          </cell>
          <cell r="Y45">
            <v>24511</v>
          </cell>
          <cell r="Z45">
            <v>0</v>
          </cell>
          <cell r="AA45">
            <v>0</v>
          </cell>
          <cell r="AB45">
            <v>0</v>
          </cell>
        </row>
        <row r="46">
          <cell r="C46" t="str">
            <v>T320</v>
          </cell>
          <cell r="D46">
            <v>283</v>
          </cell>
          <cell r="E46">
            <v>-51452.800000000745</v>
          </cell>
          <cell r="F46">
            <v>-51452.800000000745</v>
          </cell>
          <cell r="G46">
            <v>0</v>
          </cell>
          <cell r="H46">
            <v>-10242</v>
          </cell>
          <cell r="I46">
            <v>-2979</v>
          </cell>
          <cell r="J46">
            <v>-13221</v>
          </cell>
          <cell r="K46">
            <v>0</v>
          </cell>
          <cell r="L46">
            <v>0</v>
          </cell>
          <cell r="M46">
            <v>0</v>
          </cell>
          <cell r="N46">
            <v>-10242</v>
          </cell>
          <cell r="O46">
            <v>-2979</v>
          </cell>
          <cell r="P46">
            <v>-13221</v>
          </cell>
          <cell r="Q46">
            <v>10242</v>
          </cell>
          <cell r="R46">
            <v>2979</v>
          </cell>
          <cell r="S46">
            <v>13221</v>
          </cell>
          <cell r="T46">
            <v>0</v>
          </cell>
          <cell r="U46">
            <v>0</v>
          </cell>
          <cell r="V46">
            <v>0</v>
          </cell>
          <cell r="W46">
            <v>0</v>
          </cell>
          <cell r="X46">
            <v>0</v>
          </cell>
          <cell r="Y46">
            <v>0</v>
          </cell>
          <cell r="Z46">
            <v>0</v>
          </cell>
          <cell r="AA46">
            <v>0</v>
          </cell>
          <cell r="AB46">
            <v>0</v>
          </cell>
        </row>
        <row r="47">
          <cell r="C47" t="str">
            <v>T400</v>
          </cell>
          <cell r="D47">
            <v>283</v>
          </cell>
          <cell r="E47">
            <v>-14073.58</v>
          </cell>
          <cell r="F47">
            <v>0</v>
          </cell>
          <cell r="G47">
            <v>-14073.58</v>
          </cell>
          <cell r="H47">
            <v>0</v>
          </cell>
          <cell r="I47">
            <v>0</v>
          </cell>
          <cell r="J47">
            <v>0</v>
          </cell>
          <cell r="K47">
            <v>-2802</v>
          </cell>
          <cell r="L47">
            <v>-815</v>
          </cell>
          <cell r="M47">
            <v>-3617</v>
          </cell>
          <cell r="N47">
            <v>-2802</v>
          </cell>
          <cell r="O47">
            <v>-815</v>
          </cell>
          <cell r="P47">
            <v>-3617</v>
          </cell>
          <cell r="Q47">
            <v>0</v>
          </cell>
          <cell r="R47">
            <v>0</v>
          </cell>
          <cell r="S47">
            <v>0</v>
          </cell>
          <cell r="T47">
            <v>0</v>
          </cell>
          <cell r="U47">
            <v>0</v>
          </cell>
          <cell r="V47">
            <v>0</v>
          </cell>
          <cell r="W47">
            <v>2802</v>
          </cell>
          <cell r="X47">
            <v>815</v>
          </cell>
          <cell r="Y47">
            <v>3617</v>
          </cell>
          <cell r="Z47">
            <v>0</v>
          </cell>
          <cell r="AA47">
            <v>0</v>
          </cell>
          <cell r="AB47">
            <v>0</v>
          </cell>
        </row>
        <row r="48">
          <cell r="C48" t="str">
            <v>T410</v>
          </cell>
          <cell r="D48">
            <v>283</v>
          </cell>
          <cell r="E48">
            <v>-10977</v>
          </cell>
          <cell r="F48">
            <v>0</v>
          </cell>
          <cell r="G48">
            <v>-10977</v>
          </cell>
          <cell r="H48">
            <v>0</v>
          </cell>
          <cell r="I48">
            <v>0</v>
          </cell>
          <cell r="J48">
            <v>0</v>
          </cell>
          <cell r="K48">
            <v>-2185</v>
          </cell>
          <cell r="L48">
            <v>-635</v>
          </cell>
          <cell r="M48">
            <v>-2820</v>
          </cell>
          <cell r="N48">
            <v>-2185</v>
          </cell>
          <cell r="O48">
            <v>-635</v>
          </cell>
          <cell r="P48">
            <v>-2820</v>
          </cell>
          <cell r="Q48">
            <v>0</v>
          </cell>
          <cell r="R48">
            <v>0</v>
          </cell>
          <cell r="S48">
            <v>0</v>
          </cell>
          <cell r="T48">
            <v>0</v>
          </cell>
          <cell r="U48">
            <v>0</v>
          </cell>
          <cell r="V48">
            <v>0</v>
          </cell>
          <cell r="W48">
            <v>2185</v>
          </cell>
          <cell r="X48">
            <v>635</v>
          </cell>
          <cell r="Y48">
            <v>2820</v>
          </cell>
          <cell r="Z48">
            <v>0</v>
          </cell>
          <cell r="AA48">
            <v>0</v>
          </cell>
          <cell r="AB48">
            <v>0</v>
          </cell>
        </row>
        <row r="49">
          <cell r="C49" t="str">
            <v>T500</v>
          </cell>
          <cell r="D49">
            <v>283</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row>
        <row r="50">
          <cell r="C50" t="str">
            <v>T600</v>
          </cell>
          <cell r="D50">
            <v>283</v>
          </cell>
          <cell r="E50">
            <v>124649.56</v>
          </cell>
          <cell r="F50">
            <v>124649.56</v>
          </cell>
          <cell r="G50">
            <v>0</v>
          </cell>
          <cell r="H50">
            <v>24813</v>
          </cell>
          <cell r="I50">
            <v>7216</v>
          </cell>
          <cell r="J50">
            <v>32029</v>
          </cell>
          <cell r="K50">
            <v>0</v>
          </cell>
          <cell r="L50">
            <v>0</v>
          </cell>
          <cell r="M50">
            <v>0</v>
          </cell>
          <cell r="N50">
            <v>24813</v>
          </cell>
          <cell r="O50">
            <v>7216</v>
          </cell>
          <cell r="P50">
            <v>32029</v>
          </cell>
          <cell r="Q50">
            <v>0</v>
          </cell>
          <cell r="R50">
            <v>0</v>
          </cell>
          <cell r="S50">
            <v>0</v>
          </cell>
          <cell r="T50">
            <v>-24813</v>
          </cell>
          <cell r="U50">
            <v>-7216</v>
          </cell>
          <cell r="V50">
            <v>-32029</v>
          </cell>
          <cell r="W50">
            <v>0</v>
          </cell>
          <cell r="X50">
            <v>0</v>
          </cell>
          <cell r="Y50">
            <v>0</v>
          </cell>
          <cell r="Z50">
            <v>0</v>
          </cell>
          <cell r="AA50">
            <v>0</v>
          </cell>
          <cell r="AB50">
            <v>0</v>
          </cell>
        </row>
        <row r="51">
          <cell r="C51" t="str">
            <v>T700</v>
          </cell>
          <cell r="D51">
            <v>283</v>
          </cell>
          <cell r="E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row>
        <row r="52">
          <cell r="C52" t="str">
            <v>T999</v>
          </cell>
          <cell r="D52">
            <v>283</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row>
        <row r="53">
          <cell r="E53">
            <v>-1686039.4635418276</v>
          </cell>
          <cell r="F53">
            <v>-1432228.5233527049</v>
          </cell>
          <cell r="G53">
            <v>-253810.94018912269</v>
          </cell>
        </row>
        <row r="55">
          <cell r="E55">
            <v>34618.99409729382</v>
          </cell>
          <cell r="F55">
            <v>34618.994097294053</v>
          </cell>
          <cell r="G55">
            <v>0</v>
          </cell>
        </row>
        <row r="56">
          <cell r="C56" t="str">
            <v>Federal_NOL</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row>
        <row r="57">
          <cell r="C57" t="str">
            <v>Federal_TEO</v>
          </cell>
          <cell r="E57">
            <v>-16172</v>
          </cell>
          <cell r="F57">
            <v>-16172</v>
          </cell>
          <cell r="G57">
            <v>0</v>
          </cell>
          <cell r="H57">
            <v>-3219</v>
          </cell>
          <cell r="I57">
            <v>0</v>
          </cell>
          <cell r="J57">
            <v>-3219</v>
          </cell>
          <cell r="K57">
            <v>0</v>
          </cell>
          <cell r="L57">
            <v>0</v>
          </cell>
          <cell r="M57">
            <v>0</v>
          </cell>
          <cell r="N57">
            <v>-3219</v>
          </cell>
          <cell r="O57">
            <v>0</v>
          </cell>
          <cell r="P57">
            <v>-3219</v>
          </cell>
          <cell r="Q57">
            <v>-194638</v>
          </cell>
          <cell r="R57">
            <v>0</v>
          </cell>
          <cell r="S57">
            <v>-194638</v>
          </cell>
          <cell r="T57">
            <v>61459</v>
          </cell>
          <cell r="U57">
            <v>0</v>
          </cell>
          <cell r="V57">
            <v>61459</v>
          </cell>
          <cell r="W57">
            <v>-23602</v>
          </cell>
          <cell r="X57">
            <v>0</v>
          </cell>
          <cell r="Y57">
            <v>-23602</v>
          </cell>
          <cell r="Z57">
            <v>0</v>
          </cell>
          <cell r="AA57">
            <v>0</v>
          </cell>
          <cell r="AB57">
            <v>0</v>
          </cell>
        </row>
        <row r="58">
          <cell r="E58">
            <v>18446.99409729382</v>
          </cell>
          <cell r="F58">
            <v>18446.994097294053</v>
          </cell>
          <cell r="G58">
            <v>0</v>
          </cell>
        </row>
        <row r="60">
          <cell r="C60" t="str">
            <v>State_IT</v>
          </cell>
          <cell r="E60">
            <v>0</v>
          </cell>
          <cell r="F60">
            <v>0</v>
          </cell>
          <cell r="G60">
            <v>0</v>
          </cell>
        </row>
        <row r="61">
          <cell r="C61" t="str">
            <v>State_Dep</v>
          </cell>
          <cell r="E61">
            <v>0</v>
          </cell>
          <cell r="F61">
            <v>0</v>
          </cell>
          <cell r="G61">
            <v>0</v>
          </cell>
        </row>
        <row r="62">
          <cell r="E62">
            <v>34618.99409729382</v>
          </cell>
          <cell r="F62">
            <v>34618.994097294053</v>
          </cell>
          <cell r="G62">
            <v>0</v>
          </cell>
        </row>
        <row r="63">
          <cell r="C63" t="str">
            <v>State_NOL</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row>
        <row r="64">
          <cell r="C64" t="str">
            <v>State_TEO</v>
          </cell>
          <cell r="E64">
            <v>-16172</v>
          </cell>
          <cell r="F64">
            <v>-16172</v>
          </cell>
          <cell r="G64">
            <v>0</v>
          </cell>
          <cell r="H64">
            <v>0</v>
          </cell>
          <cell r="I64">
            <v>-936</v>
          </cell>
          <cell r="J64">
            <v>-936</v>
          </cell>
          <cell r="K64">
            <v>0</v>
          </cell>
          <cell r="L64">
            <v>0</v>
          </cell>
          <cell r="M64">
            <v>0</v>
          </cell>
          <cell r="N64">
            <v>0</v>
          </cell>
          <cell r="O64">
            <v>-936</v>
          </cell>
          <cell r="P64">
            <v>-936</v>
          </cell>
          <cell r="Q64">
            <v>0</v>
          </cell>
          <cell r="R64">
            <v>-56606</v>
          </cell>
          <cell r="S64">
            <v>-56606</v>
          </cell>
          <cell r="T64">
            <v>0</v>
          </cell>
          <cell r="U64">
            <v>17874</v>
          </cell>
          <cell r="V64">
            <v>17874</v>
          </cell>
          <cell r="W64">
            <v>0</v>
          </cell>
          <cell r="X64">
            <v>-6864</v>
          </cell>
          <cell r="Y64">
            <v>-6864</v>
          </cell>
          <cell r="Z64">
            <v>0</v>
          </cell>
          <cell r="AA64">
            <v>0</v>
          </cell>
          <cell r="AB64">
            <v>0</v>
          </cell>
        </row>
        <row r="65">
          <cell r="E65">
            <v>18446.99409729382</v>
          </cell>
          <cell r="F65">
            <v>18446.994097294053</v>
          </cell>
          <cell r="G65">
            <v>0</v>
          </cell>
        </row>
        <row r="67">
          <cell r="C67" t="str">
            <v>Rounding</v>
          </cell>
          <cell r="H67">
            <v>0</v>
          </cell>
          <cell r="I67">
            <v>0</v>
          </cell>
          <cell r="J67">
            <v>0</v>
          </cell>
          <cell r="K67">
            <v>1</v>
          </cell>
          <cell r="L67">
            <v>0</v>
          </cell>
          <cell r="M67">
            <v>1</v>
          </cell>
          <cell r="N67">
            <v>1</v>
          </cell>
          <cell r="O67">
            <v>0</v>
          </cell>
          <cell r="P67">
            <v>1</v>
          </cell>
          <cell r="Q67">
            <v>0</v>
          </cell>
          <cell r="R67">
            <v>0</v>
          </cell>
          <cell r="S67">
            <v>0</v>
          </cell>
          <cell r="T67">
            <v>0</v>
          </cell>
          <cell r="U67">
            <v>0</v>
          </cell>
          <cell r="V67">
            <v>0</v>
          </cell>
          <cell r="W67">
            <v>0</v>
          </cell>
          <cell r="X67">
            <v>0</v>
          </cell>
          <cell r="Y67">
            <v>0</v>
          </cell>
          <cell r="Z67">
            <v>0</v>
          </cell>
          <cell r="AA67">
            <v>0</v>
          </cell>
          <cell r="AB67">
            <v>0</v>
          </cell>
        </row>
        <row r="68">
          <cell r="C68" t="str">
            <v>Tax_Credit_1</v>
          </cell>
          <cell r="E68">
            <v>0</v>
          </cell>
          <cell r="F68">
            <v>0</v>
          </cell>
          <cell r="G68">
            <v>0</v>
          </cell>
        </row>
        <row r="69">
          <cell r="H69">
            <v>3673</v>
          </cell>
          <cell r="I69">
            <v>1067</v>
          </cell>
          <cell r="J69">
            <v>4740</v>
          </cell>
          <cell r="K69">
            <v>1</v>
          </cell>
          <cell r="L69">
            <v>1</v>
          </cell>
          <cell r="M69">
            <v>2</v>
          </cell>
          <cell r="N69">
            <v>3674</v>
          </cell>
          <cell r="O69">
            <v>1068</v>
          </cell>
          <cell r="P69">
            <v>4742</v>
          </cell>
          <cell r="Q69">
            <v>222029</v>
          </cell>
          <cell r="R69">
            <v>64573</v>
          </cell>
          <cell r="S69">
            <v>286602</v>
          </cell>
          <cell r="T69">
            <v>-70108</v>
          </cell>
          <cell r="U69">
            <v>-20389</v>
          </cell>
          <cell r="V69">
            <v>-90497</v>
          </cell>
          <cell r="W69">
            <v>26923</v>
          </cell>
          <cell r="X69">
            <v>7829</v>
          </cell>
          <cell r="Y69">
            <v>34752</v>
          </cell>
          <cell r="Z69">
            <v>0</v>
          </cell>
          <cell r="AA69">
            <v>0</v>
          </cell>
          <cell r="AB69">
            <v>0</v>
          </cell>
        </row>
        <row r="72">
          <cell r="C72" t="str">
            <v>Discrete_1</v>
          </cell>
          <cell r="E72">
            <v>0</v>
          </cell>
          <cell r="F72">
            <v>0</v>
          </cell>
          <cell r="G72">
            <v>0</v>
          </cell>
        </row>
        <row r="73">
          <cell r="C73" t="str">
            <v>Discrete_2</v>
          </cell>
          <cell r="E73">
            <v>0</v>
          </cell>
          <cell r="F73">
            <v>0</v>
          </cell>
          <cell r="G73">
            <v>0</v>
          </cell>
        </row>
        <row r="75">
          <cell r="H75">
            <v>3673</v>
          </cell>
          <cell r="I75">
            <v>1067</v>
          </cell>
          <cell r="J75">
            <v>4740</v>
          </cell>
          <cell r="K75">
            <v>1</v>
          </cell>
          <cell r="L75">
            <v>1</v>
          </cell>
          <cell r="M75">
            <v>2</v>
          </cell>
          <cell r="N75">
            <v>3674</v>
          </cell>
          <cell r="O75">
            <v>1068</v>
          </cell>
          <cell r="P75">
            <v>4742</v>
          </cell>
          <cell r="Q75">
            <v>222029</v>
          </cell>
          <cell r="R75">
            <v>64573</v>
          </cell>
          <cell r="S75">
            <v>286602</v>
          </cell>
          <cell r="T75">
            <v>-70108</v>
          </cell>
          <cell r="U75">
            <v>-20389</v>
          </cell>
          <cell r="V75">
            <v>-90497</v>
          </cell>
          <cell r="W75">
            <v>26923</v>
          </cell>
          <cell r="X75">
            <v>7829</v>
          </cell>
          <cell r="Y75">
            <v>34752</v>
          </cell>
          <cell r="Z75">
            <v>0</v>
          </cell>
          <cell r="AA75">
            <v>0</v>
          </cell>
          <cell r="AB75">
            <v>0</v>
          </cell>
        </row>
        <row r="358">
          <cell r="C358" t="str">
            <v>PTBI</v>
          </cell>
          <cell r="E358">
            <v>4440061.3060505809</v>
          </cell>
          <cell r="F358">
            <v>7160157.3687469577</v>
          </cell>
          <cell r="G358">
            <v>-2720096.0626963768</v>
          </cell>
          <cell r="H358">
            <v>1425309</v>
          </cell>
          <cell r="I358">
            <v>414521</v>
          </cell>
          <cell r="J358">
            <v>1839830</v>
          </cell>
          <cell r="K358">
            <v>-541465</v>
          </cell>
          <cell r="L358">
            <v>-157474</v>
          </cell>
          <cell r="M358">
            <v>-698939</v>
          </cell>
          <cell r="N358">
            <v>883844</v>
          </cell>
          <cell r="O358">
            <v>257047</v>
          </cell>
          <cell r="P358">
            <v>1140891</v>
          </cell>
          <cell r="Q358">
            <v>0</v>
          </cell>
          <cell r="R358">
            <v>0</v>
          </cell>
          <cell r="S358">
            <v>0</v>
          </cell>
          <cell r="T358">
            <v>0</v>
          </cell>
          <cell r="U358">
            <v>0</v>
          </cell>
          <cell r="V358">
            <v>0</v>
          </cell>
          <cell r="W358">
            <v>0</v>
          </cell>
          <cell r="X358">
            <v>0</v>
          </cell>
          <cell r="Y358">
            <v>0</v>
          </cell>
          <cell r="Z358">
            <v>0</v>
          </cell>
          <cell r="AA358">
            <v>0</v>
          </cell>
        </row>
        <row r="361">
          <cell r="C361" t="str">
            <v>P100</v>
          </cell>
          <cell r="E361">
            <v>19437.914999999983</v>
          </cell>
          <cell r="F361">
            <v>19437.914999999983</v>
          </cell>
          <cell r="G361">
            <v>0</v>
          </cell>
          <cell r="H361">
            <v>3869</v>
          </cell>
          <cell r="I361">
            <v>1125</v>
          </cell>
          <cell r="J361">
            <v>4994</v>
          </cell>
          <cell r="K361">
            <v>0</v>
          </cell>
          <cell r="L361">
            <v>0</v>
          </cell>
          <cell r="M361">
            <v>0</v>
          </cell>
          <cell r="N361">
            <v>3869</v>
          </cell>
          <cell r="O361">
            <v>1125</v>
          </cell>
          <cell r="P361">
            <v>4994</v>
          </cell>
          <cell r="Q361">
            <v>0</v>
          </cell>
          <cell r="R361">
            <v>0</v>
          </cell>
          <cell r="S361">
            <v>0</v>
          </cell>
          <cell r="T361">
            <v>0</v>
          </cell>
          <cell r="U361">
            <v>0</v>
          </cell>
          <cell r="V361">
            <v>0</v>
          </cell>
          <cell r="W361">
            <v>0</v>
          </cell>
          <cell r="X361">
            <v>0</v>
          </cell>
          <cell r="Y361">
            <v>0</v>
          </cell>
          <cell r="Z361">
            <v>0</v>
          </cell>
          <cell r="AA361">
            <v>0</v>
          </cell>
        </row>
        <row r="362">
          <cell r="C362" t="str">
            <v>P200</v>
          </cell>
          <cell r="E362">
            <v>691.02</v>
          </cell>
          <cell r="F362">
            <v>0</v>
          </cell>
          <cell r="G362">
            <v>691.02</v>
          </cell>
          <cell r="H362">
            <v>0</v>
          </cell>
          <cell r="I362">
            <v>0</v>
          </cell>
          <cell r="J362">
            <v>0</v>
          </cell>
          <cell r="K362">
            <v>138</v>
          </cell>
          <cell r="L362">
            <v>40</v>
          </cell>
          <cell r="M362">
            <v>178</v>
          </cell>
          <cell r="N362">
            <v>138</v>
          </cell>
          <cell r="O362">
            <v>40</v>
          </cell>
          <cell r="P362">
            <v>178</v>
          </cell>
          <cell r="Q362">
            <v>0</v>
          </cell>
          <cell r="R362">
            <v>0</v>
          </cell>
          <cell r="S362">
            <v>0</v>
          </cell>
          <cell r="T362">
            <v>0</v>
          </cell>
          <cell r="U362">
            <v>0</v>
          </cell>
          <cell r="V362">
            <v>0</v>
          </cell>
          <cell r="W362">
            <v>0</v>
          </cell>
          <cell r="X362">
            <v>0</v>
          </cell>
          <cell r="Y362">
            <v>0</v>
          </cell>
          <cell r="Z362">
            <v>0</v>
          </cell>
          <cell r="AA362">
            <v>0</v>
          </cell>
        </row>
        <row r="363">
          <cell r="C363" t="str">
            <v>P300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cell r="T363">
            <v>0</v>
          </cell>
          <cell r="U363">
            <v>0</v>
          </cell>
          <cell r="V363">
            <v>0</v>
          </cell>
          <cell r="W363">
            <v>0</v>
          </cell>
          <cell r="X363">
            <v>0</v>
          </cell>
          <cell r="Y363">
            <v>0</v>
          </cell>
          <cell r="Z363">
            <v>0</v>
          </cell>
          <cell r="AA363">
            <v>0</v>
          </cell>
        </row>
        <row r="364">
          <cell r="C364" t="str">
            <v>P999</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cell r="AA364">
            <v>0</v>
          </cell>
        </row>
        <row r="365">
          <cell r="E365">
            <v>20128.934999999983</v>
          </cell>
          <cell r="F365">
            <v>19437.914999999983</v>
          </cell>
          <cell r="G365">
            <v>691.02</v>
          </cell>
        </row>
        <row r="368">
          <cell r="C368" t="str">
            <v>F100</v>
          </cell>
          <cell r="E368">
            <v>-29420.844443507864</v>
          </cell>
          <cell r="F368">
            <v>0</v>
          </cell>
          <cell r="G368">
            <v>-29420.844443507864</v>
          </cell>
          <cell r="H368">
            <v>0</v>
          </cell>
          <cell r="I368">
            <v>0</v>
          </cell>
          <cell r="J368">
            <v>0</v>
          </cell>
          <cell r="K368">
            <v>-5857</v>
          </cell>
          <cell r="L368">
            <v>-1703</v>
          </cell>
          <cell r="M368">
            <v>-7560</v>
          </cell>
          <cell r="N368">
            <v>-5857</v>
          </cell>
          <cell r="O368">
            <v>-1703</v>
          </cell>
          <cell r="P368">
            <v>-7560</v>
          </cell>
          <cell r="Q368">
            <v>0</v>
          </cell>
          <cell r="R368">
            <v>0</v>
          </cell>
          <cell r="S368">
            <v>0</v>
          </cell>
          <cell r="T368">
            <v>0</v>
          </cell>
          <cell r="U368">
            <v>0</v>
          </cell>
          <cell r="V368">
            <v>0</v>
          </cell>
          <cell r="W368">
            <v>0</v>
          </cell>
          <cell r="X368">
            <v>0</v>
          </cell>
          <cell r="Y368">
            <v>0</v>
          </cell>
          <cell r="Z368">
            <v>0</v>
          </cell>
          <cell r="AA368">
            <v>0</v>
          </cell>
        </row>
        <row r="369">
          <cell r="C369" t="str">
            <v>F100</v>
          </cell>
          <cell r="E369">
            <v>0</v>
          </cell>
          <cell r="F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row>
        <row r="370">
          <cell r="C370" t="str">
            <v>F200</v>
          </cell>
          <cell r="E370">
            <v>-1605456.0797620723</v>
          </cell>
          <cell r="F370">
            <v>0</v>
          </cell>
          <cell r="G370">
            <v>-1605456.0797620723</v>
          </cell>
          <cell r="H370">
            <v>0</v>
          </cell>
          <cell r="I370">
            <v>0</v>
          </cell>
          <cell r="J370">
            <v>0</v>
          </cell>
          <cell r="K370">
            <v>-319584</v>
          </cell>
          <cell r="L370">
            <v>-92944</v>
          </cell>
          <cell r="M370">
            <v>-412528</v>
          </cell>
          <cell r="N370">
            <v>-319584</v>
          </cell>
          <cell r="O370">
            <v>-92944</v>
          </cell>
          <cell r="P370">
            <v>-412528</v>
          </cell>
          <cell r="Q370">
            <v>0</v>
          </cell>
          <cell r="R370">
            <v>0</v>
          </cell>
          <cell r="S370">
            <v>0</v>
          </cell>
          <cell r="T370">
            <v>0</v>
          </cell>
          <cell r="U370">
            <v>0</v>
          </cell>
          <cell r="V370">
            <v>0</v>
          </cell>
          <cell r="W370">
            <v>0</v>
          </cell>
          <cell r="X370">
            <v>0</v>
          </cell>
          <cell r="Y370">
            <v>0</v>
          </cell>
          <cell r="Z370">
            <v>0</v>
          </cell>
          <cell r="AA370">
            <v>0</v>
          </cell>
        </row>
        <row r="371">
          <cell r="C371" t="str">
            <v>F999</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row>
        <row r="372">
          <cell r="E372">
            <v>-1634876.9242055803</v>
          </cell>
          <cell r="F372">
            <v>0</v>
          </cell>
          <cell r="G372">
            <v>-1634876.9242055803</v>
          </cell>
        </row>
        <row r="375">
          <cell r="C375" t="str">
            <v>T100</v>
          </cell>
          <cell r="D375">
            <v>190</v>
          </cell>
          <cell r="E375">
            <v>-886049</v>
          </cell>
          <cell r="F375">
            <v>-886049</v>
          </cell>
          <cell r="G375">
            <v>0</v>
          </cell>
          <cell r="H375">
            <v>-176378</v>
          </cell>
          <cell r="I375">
            <v>-51296</v>
          </cell>
          <cell r="J375">
            <v>-227674</v>
          </cell>
          <cell r="K375">
            <v>0</v>
          </cell>
          <cell r="L375">
            <v>0</v>
          </cell>
          <cell r="M375">
            <v>0</v>
          </cell>
          <cell r="N375">
            <v>-176378</v>
          </cell>
          <cell r="O375">
            <v>-51296</v>
          </cell>
          <cell r="P375">
            <v>-227674</v>
          </cell>
          <cell r="Q375">
            <v>176378</v>
          </cell>
          <cell r="R375">
            <v>51296</v>
          </cell>
          <cell r="S375">
            <v>227674</v>
          </cell>
          <cell r="T375">
            <v>0</v>
          </cell>
          <cell r="U375">
            <v>0</v>
          </cell>
          <cell r="V375">
            <v>0</v>
          </cell>
          <cell r="W375">
            <v>0</v>
          </cell>
          <cell r="X375">
            <v>0</v>
          </cell>
          <cell r="Y375">
            <v>0</v>
          </cell>
          <cell r="Z375">
            <v>0</v>
          </cell>
          <cell r="AA375">
            <v>0</v>
          </cell>
        </row>
        <row r="376">
          <cell r="C376" t="str">
            <v>T200</v>
          </cell>
          <cell r="D376">
            <v>282</v>
          </cell>
          <cell r="E376">
            <v>2389704.3236399223</v>
          </cell>
          <cell r="F376">
            <v>2389704.3236399223</v>
          </cell>
          <cell r="G376">
            <v>0</v>
          </cell>
          <cell r="H376">
            <v>475697</v>
          </cell>
          <cell r="I376">
            <v>138347</v>
          </cell>
          <cell r="J376">
            <v>614044</v>
          </cell>
          <cell r="K376">
            <v>0</v>
          </cell>
          <cell r="L376">
            <v>0</v>
          </cell>
          <cell r="M376">
            <v>0</v>
          </cell>
          <cell r="N376">
            <v>475697</v>
          </cell>
          <cell r="O376">
            <v>138347</v>
          </cell>
          <cell r="P376">
            <v>614044</v>
          </cell>
          <cell r="Q376">
            <v>0</v>
          </cell>
          <cell r="R376">
            <v>0</v>
          </cell>
          <cell r="S376">
            <v>0</v>
          </cell>
          <cell r="T376">
            <v>-475697</v>
          </cell>
          <cell r="U376">
            <v>-138347</v>
          </cell>
          <cell r="V376">
            <v>-614044</v>
          </cell>
          <cell r="W376">
            <v>0</v>
          </cell>
          <cell r="X376">
            <v>0</v>
          </cell>
          <cell r="Y376">
            <v>0</v>
          </cell>
          <cell r="Z376">
            <v>0</v>
          </cell>
          <cell r="AA376">
            <v>0</v>
          </cell>
        </row>
        <row r="377">
          <cell r="C377" t="str">
            <v>T210</v>
          </cell>
          <cell r="D377">
            <v>282</v>
          </cell>
          <cell r="E377">
            <v>-7280808.5142108165</v>
          </cell>
          <cell r="F377">
            <v>-7280808.5142108165</v>
          </cell>
          <cell r="G377">
            <v>0</v>
          </cell>
          <cell r="H377">
            <v>-1449326</v>
          </cell>
          <cell r="I377">
            <v>-421506</v>
          </cell>
          <cell r="J377">
            <v>-1870832</v>
          </cell>
          <cell r="K377">
            <v>0</v>
          </cell>
          <cell r="L377">
            <v>0</v>
          </cell>
          <cell r="M377">
            <v>0</v>
          </cell>
          <cell r="N377">
            <v>-1449326</v>
          </cell>
          <cell r="O377">
            <v>-421506</v>
          </cell>
          <cell r="P377">
            <v>-1870832</v>
          </cell>
          <cell r="Q377">
            <v>1449326</v>
          </cell>
          <cell r="R377">
            <v>421506</v>
          </cell>
          <cell r="S377">
            <v>1870832</v>
          </cell>
          <cell r="T377">
            <v>0</v>
          </cell>
          <cell r="U377">
            <v>0</v>
          </cell>
          <cell r="V377">
            <v>0</v>
          </cell>
          <cell r="W377">
            <v>0</v>
          </cell>
          <cell r="X377">
            <v>0</v>
          </cell>
          <cell r="Y377">
            <v>0</v>
          </cell>
          <cell r="Z377">
            <v>0</v>
          </cell>
          <cell r="AA377">
            <v>0</v>
          </cell>
        </row>
        <row r="378">
          <cell r="C378" t="str">
            <v>T220</v>
          </cell>
          <cell r="D378">
            <v>282</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row>
        <row r="379">
          <cell r="C379" t="str">
            <v>T230</v>
          </cell>
          <cell r="D379">
            <v>282</v>
          </cell>
          <cell r="E379">
            <v>-132666.33999999985</v>
          </cell>
          <cell r="F379">
            <v>0</v>
          </cell>
          <cell r="G379">
            <v>-132666.33999999985</v>
          </cell>
          <cell r="H379">
            <v>0</v>
          </cell>
          <cell r="I379">
            <v>0</v>
          </cell>
          <cell r="J379">
            <v>0</v>
          </cell>
          <cell r="K379">
            <v>-26409</v>
          </cell>
          <cell r="L379">
            <v>-7680</v>
          </cell>
          <cell r="M379">
            <v>-34089</v>
          </cell>
          <cell r="N379">
            <v>-26409</v>
          </cell>
          <cell r="O379">
            <v>-7680</v>
          </cell>
          <cell r="P379">
            <v>-34089</v>
          </cell>
          <cell r="Q379">
            <v>0</v>
          </cell>
          <cell r="R379">
            <v>0</v>
          </cell>
          <cell r="S379">
            <v>0</v>
          </cell>
          <cell r="T379">
            <v>0</v>
          </cell>
          <cell r="U379">
            <v>0</v>
          </cell>
          <cell r="V379">
            <v>0</v>
          </cell>
          <cell r="W379">
            <v>26409</v>
          </cell>
          <cell r="X379">
            <v>7680</v>
          </cell>
          <cell r="Y379">
            <v>34089</v>
          </cell>
          <cell r="Z379">
            <v>0</v>
          </cell>
          <cell r="AA379">
            <v>0</v>
          </cell>
        </row>
        <row r="380">
          <cell r="C380" t="str">
            <v>T240</v>
          </cell>
          <cell r="D380">
            <v>282</v>
          </cell>
          <cell r="E380">
            <v>-2809.8807564921335</v>
          </cell>
          <cell r="F380">
            <v>0</v>
          </cell>
          <cell r="G380">
            <v>-2809.8807564921335</v>
          </cell>
          <cell r="H380">
            <v>0</v>
          </cell>
          <cell r="I380">
            <v>0</v>
          </cell>
          <cell r="J380">
            <v>0</v>
          </cell>
          <cell r="K380">
            <v>-559</v>
          </cell>
          <cell r="L380">
            <v>-163</v>
          </cell>
          <cell r="M380">
            <v>-722</v>
          </cell>
          <cell r="N380">
            <v>-559</v>
          </cell>
          <cell r="O380">
            <v>-163</v>
          </cell>
          <cell r="P380">
            <v>-722</v>
          </cell>
          <cell r="Q380">
            <v>0</v>
          </cell>
          <cell r="R380">
            <v>0</v>
          </cell>
          <cell r="S380">
            <v>0</v>
          </cell>
          <cell r="T380">
            <v>0</v>
          </cell>
          <cell r="U380">
            <v>0</v>
          </cell>
          <cell r="V380">
            <v>0</v>
          </cell>
          <cell r="W380">
            <v>559</v>
          </cell>
          <cell r="X380">
            <v>163</v>
          </cell>
          <cell r="Y380">
            <v>722</v>
          </cell>
          <cell r="Z380">
            <v>0</v>
          </cell>
          <cell r="AA380">
            <v>0</v>
          </cell>
        </row>
        <row r="381">
          <cell r="C381" t="str">
            <v>T300</v>
          </cell>
          <cell r="D381">
            <v>283</v>
          </cell>
          <cell r="E381">
            <v>4844547.995569367</v>
          </cell>
          <cell r="F381">
            <v>0</v>
          </cell>
          <cell r="G381">
            <v>4844547.995569367</v>
          </cell>
          <cell r="H381">
            <v>0</v>
          </cell>
          <cell r="I381">
            <v>0</v>
          </cell>
          <cell r="J381">
            <v>0</v>
          </cell>
          <cell r="K381">
            <v>964361</v>
          </cell>
          <cell r="L381">
            <v>280464</v>
          </cell>
          <cell r="M381">
            <v>1244825</v>
          </cell>
          <cell r="N381">
            <v>964361</v>
          </cell>
          <cell r="O381">
            <v>280464</v>
          </cell>
          <cell r="P381">
            <v>1244825</v>
          </cell>
          <cell r="Q381">
            <v>0</v>
          </cell>
          <cell r="R381">
            <v>0</v>
          </cell>
          <cell r="S381">
            <v>0</v>
          </cell>
          <cell r="T381">
            <v>0</v>
          </cell>
          <cell r="U381">
            <v>0</v>
          </cell>
          <cell r="V381">
            <v>0</v>
          </cell>
          <cell r="W381">
            <v>0</v>
          </cell>
          <cell r="X381">
            <v>0</v>
          </cell>
          <cell r="Y381">
            <v>0</v>
          </cell>
          <cell r="Z381">
            <v>-964361</v>
          </cell>
          <cell r="AA381">
            <v>-280464</v>
          </cell>
        </row>
        <row r="382">
          <cell r="C382" t="str">
            <v>T310</v>
          </cell>
          <cell r="D382">
            <v>283</v>
          </cell>
          <cell r="E382">
            <v>-254587.80791091855</v>
          </cell>
          <cell r="F382">
            <v>0</v>
          </cell>
          <cell r="G382">
            <v>-254587.80791091855</v>
          </cell>
          <cell r="H382">
            <v>0</v>
          </cell>
          <cell r="I382">
            <v>0</v>
          </cell>
          <cell r="J382">
            <v>0</v>
          </cell>
          <cell r="K382">
            <v>-50679</v>
          </cell>
          <cell r="L382">
            <v>-14739</v>
          </cell>
          <cell r="M382">
            <v>-65418</v>
          </cell>
          <cell r="N382">
            <v>-50679</v>
          </cell>
          <cell r="O382">
            <v>-14739</v>
          </cell>
          <cell r="P382">
            <v>-65418</v>
          </cell>
          <cell r="Q382">
            <v>0</v>
          </cell>
          <cell r="R382">
            <v>0</v>
          </cell>
          <cell r="S382">
            <v>0</v>
          </cell>
          <cell r="T382">
            <v>0</v>
          </cell>
          <cell r="U382">
            <v>0</v>
          </cell>
          <cell r="V382">
            <v>0</v>
          </cell>
          <cell r="W382">
            <v>50679</v>
          </cell>
          <cell r="X382">
            <v>14739</v>
          </cell>
          <cell r="Y382">
            <v>65418</v>
          </cell>
          <cell r="Z382">
            <v>0</v>
          </cell>
          <cell r="AA382">
            <v>0</v>
          </cell>
        </row>
        <row r="383">
          <cell r="C383" t="str">
            <v>T320</v>
          </cell>
          <cell r="D383">
            <v>283</v>
          </cell>
          <cell r="E383">
            <v>-1942065.5747759063</v>
          </cell>
          <cell r="F383">
            <v>-1942065.5747759063</v>
          </cell>
          <cell r="G383">
            <v>0</v>
          </cell>
          <cell r="H383">
            <v>-386590</v>
          </cell>
          <cell r="I383">
            <v>-112431</v>
          </cell>
          <cell r="J383">
            <v>-499021</v>
          </cell>
          <cell r="K383">
            <v>0</v>
          </cell>
          <cell r="L383">
            <v>0</v>
          </cell>
          <cell r="M383">
            <v>0</v>
          </cell>
          <cell r="N383">
            <v>-386590</v>
          </cell>
          <cell r="O383">
            <v>-112431</v>
          </cell>
          <cell r="P383">
            <v>-499021</v>
          </cell>
          <cell r="Q383">
            <v>386590</v>
          </cell>
          <cell r="R383">
            <v>112431</v>
          </cell>
          <cell r="S383">
            <v>499021</v>
          </cell>
          <cell r="T383">
            <v>0</v>
          </cell>
          <cell r="U383">
            <v>0</v>
          </cell>
          <cell r="V383">
            <v>0</v>
          </cell>
          <cell r="W383">
            <v>0</v>
          </cell>
          <cell r="X383">
            <v>0</v>
          </cell>
          <cell r="Y383">
            <v>0</v>
          </cell>
          <cell r="Z383">
            <v>0</v>
          </cell>
          <cell r="AA383">
            <v>0</v>
          </cell>
        </row>
        <row r="384">
          <cell r="C384" t="str">
            <v>T400</v>
          </cell>
          <cell r="D384">
            <v>283</v>
          </cell>
          <cell r="E384">
            <v>-56294</v>
          </cell>
          <cell r="F384">
            <v>0</v>
          </cell>
          <cell r="G384">
            <v>-56294</v>
          </cell>
          <cell r="H384">
            <v>0</v>
          </cell>
          <cell r="I384">
            <v>0</v>
          </cell>
          <cell r="J384">
            <v>0</v>
          </cell>
          <cell r="K384">
            <v>-11206</v>
          </cell>
          <cell r="L384">
            <v>-3259</v>
          </cell>
          <cell r="M384">
            <v>-14465</v>
          </cell>
          <cell r="N384">
            <v>-11206</v>
          </cell>
          <cell r="O384">
            <v>-3259</v>
          </cell>
          <cell r="P384">
            <v>-14465</v>
          </cell>
          <cell r="Q384">
            <v>0</v>
          </cell>
          <cell r="R384">
            <v>0</v>
          </cell>
          <cell r="S384">
            <v>0</v>
          </cell>
          <cell r="T384">
            <v>0</v>
          </cell>
          <cell r="U384">
            <v>0</v>
          </cell>
          <cell r="V384">
            <v>0</v>
          </cell>
          <cell r="W384">
            <v>11206</v>
          </cell>
          <cell r="X384">
            <v>3259</v>
          </cell>
          <cell r="Y384">
            <v>14465</v>
          </cell>
          <cell r="Z384">
            <v>0</v>
          </cell>
          <cell r="AA384">
            <v>0</v>
          </cell>
        </row>
        <row r="385">
          <cell r="C385" t="str">
            <v>T410</v>
          </cell>
          <cell r="D385">
            <v>283</v>
          </cell>
          <cell r="E385">
            <v>-43908</v>
          </cell>
          <cell r="F385">
            <v>0</v>
          </cell>
          <cell r="G385">
            <v>-43908</v>
          </cell>
          <cell r="H385">
            <v>0</v>
          </cell>
          <cell r="I385">
            <v>0</v>
          </cell>
          <cell r="J385">
            <v>0</v>
          </cell>
          <cell r="K385">
            <v>-8740</v>
          </cell>
          <cell r="L385">
            <v>-2542</v>
          </cell>
          <cell r="M385">
            <v>-11282</v>
          </cell>
          <cell r="N385">
            <v>-8740</v>
          </cell>
          <cell r="O385">
            <v>-2542</v>
          </cell>
          <cell r="P385">
            <v>-11282</v>
          </cell>
          <cell r="Q385">
            <v>0</v>
          </cell>
          <cell r="R385">
            <v>0</v>
          </cell>
          <cell r="S385">
            <v>0</v>
          </cell>
          <cell r="T385">
            <v>0</v>
          </cell>
          <cell r="U385">
            <v>0</v>
          </cell>
          <cell r="V385">
            <v>0</v>
          </cell>
          <cell r="W385">
            <v>8740</v>
          </cell>
          <cell r="X385">
            <v>2542</v>
          </cell>
          <cell r="Y385">
            <v>11282</v>
          </cell>
          <cell r="Z385">
            <v>0</v>
          </cell>
          <cell r="AA385">
            <v>0</v>
          </cell>
        </row>
        <row r="386">
          <cell r="C386" t="str">
            <v>T500</v>
          </cell>
          <cell r="D386">
            <v>283</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row>
        <row r="387">
          <cell r="C387" t="str">
            <v>T600</v>
          </cell>
          <cell r="D387">
            <v>283</v>
          </cell>
          <cell r="E387">
            <v>-34504.313071105222</v>
          </cell>
          <cell r="F387">
            <v>-34504.313071105222</v>
          </cell>
          <cell r="G387">
            <v>0</v>
          </cell>
          <cell r="H387">
            <v>-6868</v>
          </cell>
          <cell r="I387">
            <v>-1998</v>
          </cell>
          <cell r="J387">
            <v>-8866</v>
          </cell>
          <cell r="K387">
            <v>0</v>
          </cell>
          <cell r="L387">
            <v>0</v>
          </cell>
          <cell r="M387">
            <v>0</v>
          </cell>
          <cell r="N387">
            <v>-6868</v>
          </cell>
          <cell r="O387">
            <v>-1998</v>
          </cell>
          <cell r="P387">
            <v>-8866</v>
          </cell>
          <cell r="Q387">
            <v>6868</v>
          </cell>
          <cell r="R387">
            <v>1998</v>
          </cell>
          <cell r="S387">
            <v>8866</v>
          </cell>
          <cell r="T387">
            <v>0</v>
          </cell>
          <cell r="U387">
            <v>0</v>
          </cell>
          <cell r="V387">
            <v>0</v>
          </cell>
          <cell r="W387">
            <v>0</v>
          </cell>
          <cell r="X387">
            <v>0</v>
          </cell>
          <cell r="Y387">
            <v>0</v>
          </cell>
          <cell r="Z387">
            <v>0</v>
          </cell>
          <cell r="AA387">
            <v>0</v>
          </cell>
        </row>
        <row r="388">
          <cell r="C388" t="str">
            <v>T700</v>
          </cell>
          <cell r="D388">
            <v>283</v>
          </cell>
          <cell r="E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row>
        <row r="389">
          <cell r="C389" t="str">
            <v>T999</v>
          </cell>
          <cell r="D389">
            <v>283</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row>
        <row r="390">
          <cell r="E390">
            <v>-3399441.111515949</v>
          </cell>
          <cell r="F390">
            <v>-7753723.0784179065</v>
          </cell>
          <cell r="G390">
            <v>4354281.9669019571</v>
          </cell>
        </row>
        <row r="392">
          <cell r="E392">
            <v>-574127.79467094876</v>
          </cell>
          <cell r="F392">
            <v>-574127.79467094876</v>
          </cell>
          <cell r="G392">
            <v>0</v>
          </cell>
        </row>
        <row r="393">
          <cell r="C393" t="str">
            <v>Federal_NOL</v>
          </cell>
          <cell r="E393">
            <v>574127.79467094876</v>
          </cell>
          <cell r="F393">
            <v>574127.79467094876</v>
          </cell>
          <cell r="G393">
            <v>0</v>
          </cell>
          <cell r="H393">
            <v>114286</v>
          </cell>
          <cell r="I393">
            <v>0</v>
          </cell>
          <cell r="J393">
            <v>114286</v>
          </cell>
          <cell r="K393">
            <v>0</v>
          </cell>
          <cell r="L393">
            <v>0</v>
          </cell>
          <cell r="M393">
            <v>0</v>
          </cell>
          <cell r="N393">
            <v>114286</v>
          </cell>
          <cell r="O393">
            <v>0</v>
          </cell>
          <cell r="P393">
            <v>114286</v>
          </cell>
          <cell r="Q393">
            <v>0</v>
          </cell>
          <cell r="R393">
            <v>0</v>
          </cell>
          <cell r="S393">
            <v>0</v>
          </cell>
          <cell r="T393">
            <v>-114286</v>
          </cell>
          <cell r="U393">
            <v>0</v>
          </cell>
          <cell r="V393">
            <v>-114286</v>
          </cell>
          <cell r="W393">
            <v>0</v>
          </cell>
          <cell r="X393">
            <v>0</v>
          </cell>
          <cell r="Y393">
            <v>0</v>
          </cell>
          <cell r="Z393">
            <v>0</v>
          </cell>
          <cell r="AA393">
            <v>0</v>
          </cell>
        </row>
        <row r="394">
          <cell r="C394" t="str">
            <v>Federal_TEO</v>
          </cell>
          <cell r="E394">
            <v>0</v>
          </cell>
          <cell r="F394">
            <v>0</v>
          </cell>
          <cell r="G394">
            <v>0</v>
          </cell>
          <cell r="H394">
            <v>0</v>
          </cell>
          <cell r="I394">
            <v>0</v>
          </cell>
          <cell r="J394">
            <v>0</v>
          </cell>
          <cell r="K394">
            <v>0</v>
          </cell>
          <cell r="L394">
            <v>0</v>
          </cell>
          <cell r="M394">
            <v>0</v>
          </cell>
          <cell r="N394">
            <v>0</v>
          </cell>
          <cell r="O394">
            <v>0</v>
          </cell>
          <cell r="P394">
            <v>0</v>
          </cell>
          <cell r="Q394">
            <v>-943212</v>
          </cell>
          <cell r="R394">
            <v>0</v>
          </cell>
          <cell r="S394">
            <v>-943212</v>
          </cell>
          <cell r="T394">
            <v>275599</v>
          </cell>
          <cell r="U394">
            <v>0</v>
          </cell>
          <cell r="V394">
            <v>275599</v>
          </cell>
          <cell r="W394">
            <v>-45589</v>
          </cell>
          <cell r="X394">
            <v>0</v>
          </cell>
          <cell r="Y394">
            <v>-45589</v>
          </cell>
          <cell r="Z394">
            <v>450482</v>
          </cell>
          <cell r="AA394">
            <v>0</v>
          </cell>
        </row>
        <row r="395">
          <cell r="E395">
            <v>0</v>
          </cell>
          <cell r="F395">
            <v>0</v>
          </cell>
          <cell r="G395">
            <v>0</v>
          </cell>
        </row>
        <row r="397">
          <cell r="C397" t="str">
            <v>State_IT</v>
          </cell>
          <cell r="E397">
            <v>0</v>
          </cell>
          <cell r="F397">
            <v>0</v>
          </cell>
          <cell r="G397">
            <v>0</v>
          </cell>
        </row>
        <row r="398">
          <cell r="C398" t="str">
            <v>State_Dep</v>
          </cell>
          <cell r="E398">
            <v>0</v>
          </cell>
          <cell r="F398">
            <v>0</v>
          </cell>
          <cell r="G398">
            <v>0</v>
          </cell>
        </row>
        <row r="399">
          <cell r="E399">
            <v>-574127.79467094876</v>
          </cell>
          <cell r="F399">
            <v>-574127.79467094876</v>
          </cell>
          <cell r="G399">
            <v>0</v>
          </cell>
        </row>
        <row r="400">
          <cell r="C400" t="str">
            <v>State_NOL</v>
          </cell>
          <cell r="E400">
            <v>574127.79467094876</v>
          </cell>
          <cell r="F400">
            <v>574127.79467094876</v>
          </cell>
          <cell r="G400">
            <v>0</v>
          </cell>
          <cell r="H400">
            <v>0</v>
          </cell>
          <cell r="I400">
            <v>33238</v>
          </cell>
          <cell r="J400">
            <v>33238</v>
          </cell>
          <cell r="K400">
            <v>0</v>
          </cell>
          <cell r="L400">
            <v>0</v>
          </cell>
          <cell r="M400">
            <v>0</v>
          </cell>
          <cell r="N400">
            <v>0</v>
          </cell>
          <cell r="O400">
            <v>33238</v>
          </cell>
          <cell r="P400">
            <v>33238</v>
          </cell>
          <cell r="Q400">
            <v>0</v>
          </cell>
          <cell r="R400">
            <v>0</v>
          </cell>
          <cell r="S400">
            <v>0</v>
          </cell>
          <cell r="T400">
            <v>0</v>
          </cell>
          <cell r="U400">
            <v>-33238</v>
          </cell>
          <cell r="V400">
            <v>-33238</v>
          </cell>
          <cell r="W400">
            <v>0</v>
          </cell>
          <cell r="X400">
            <v>0</v>
          </cell>
          <cell r="Y400">
            <v>0</v>
          </cell>
          <cell r="Z400">
            <v>0</v>
          </cell>
          <cell r="AA400">
            <v>0</v>
          </cell>
        </row>
        <row r="401">
          <cell r="C401" t="str">
            <v>State_TEO</v>
          </cell>
          <cell r="E401">
            <v>0</v>
          </cell>
          <cell r="F401">
            <v>0</v>
          </cell>
          <cell r="G401">
            <v>0</v>
          </cell>
          <cell r="H401">
            <v>0</v>
          </cell>
          <cell r="I401">
            <v>0</v>
          </cell>
          <cell r="J401">
            <v>0</v>
          </cell>
          <cell r="K401">
            <v>0</v>
          </cell>
          <cell r="L401">
            <v>0</v>
          </cell>
          <cell r="M401">
            <v>0</v>
          </cell>
          <cell r="N401">
            <v>0</v>
          </cell>
          <cell r="O401">
            <v>0</v>
          </cell>
          <cell r="P401">
            <v>0</v>
          </cell>
          <cell r="Q401">
            <v>0</v>
          </cell>
          <cell r="R401">
            <v>-274313</v>
          </cell>
          <cell r="S401">
            <v>-274313</v>
          </cell>
          <cell r="T401">
            <v>0</v>
          </cell>
          <cell r="U401">
            <v>80153</v>
          </cell>
          <cell r="V401">
            <v>80153</v>
          </cell>
          <cell r="W401">
            <v>0</v>
          </cell>
          <cell r="X401">
            <v>-13259</v>
          </cell>
          <cell r="Y401">
            <v>-13259</v>
          </cell>
          <cell r="Z401">
            <v>0</v>
          </cell>
          <cell r="AA401">
            <v>131013</v>
          </cell>
        </row>
        <row r="402">
          <cell r="E402">
            <v>0</v>
          </cell>
          <cell r="F402">
            <v>0</v>
          </cell>
          <cell r="G402">
            <v>0</v>
          </cell>
        </row>
        <row r="404">
          <cell r="C404" t="str">
            <v>Rounding</v>
          </cell>
          <cell r="H404">
            <v>0</v>
          </cell>
          <cell r="I404">
            <v>0</v>
          </cell>
          <cell r="J404">
            <v>0</v>
          </cell>
          <cell r="K404">
            <v>-1</v>
          </cell>
          <cell r="L404">
            <v>-1</v>
          </cell>
          <cell r="M404">
            <v>-2</v>
          </cell>
          <cell r="N404">
            <v>-1</v>
          </cell>
          <cell r="O404">
            <v>-1</v>
          </cell>
          <cell r="P404">
            <v>-2</v>
          </cell>
          <cell r="Q404">
            <v>0</v>
          </cell>
          <cell r="R404">
            <v>0</v>
          </cell>
          <cell r="S404">
            <v>0</v>
          </cell>
          <cell r="T404">
            <v>0</v>
          </cell>
          <cell r="U404">
            <v>0</v>
          </cell>
          <cell r="V404">
            <v>0</v>
          </cell>
          <cell r="W404">
            <v>0</v>
          </cell>
          <cell r="X404">
            <v>0</v>
          </cell>
          <cell r="Y404">
            <v>0</v>
          </cell>
          <cell r="Z404">
            <v>0</v>
          </cell>
          <cell r="AA404">
            <v>0</v>
          </cell>
        </row>
        <row r="405">
          <cell r="C405" t="str">
            <v>Tax_Credit_1</v>
          </cell>
          <cell r="E405">
            <v>0</v>
          </cell>
          <cell r="F405">
            <v>0</v>
          </cell>
          <cell r="G405">
            <v>0</v>
          </cell>
        </row>
        <row r="406">
          <cell r="H406">
            <v>-1</v>
          </cell>
          <cell r="I406">
            <v>0</v>
          </cell>
          <cell r="J406">
            <v>-1</v>
          </cell>
          <cell r="K406">
            <v>-1</v>
          </cell>
          <cell r="L406">
            <v>-1</v>
          </cell>
          <cell r="M406">
            <v>-2</v>
          </cell>
          <cell r="N406">
            <v>-2</v>
          </cell>
          <cell r="O406">
            <v>-1</v>
          </cell>
          <cell r="P406">
            <v>-3</v>
          </cell>
          <cell r="Q406">
            <v>1075950</v>
          </cell>
          <cell r="R406">
            <v>312918</v>
          </cell>
          <cell r="S406">
            <v>1388868</v>
          </cell>
          <cell r="T406">
            <v>-314384</v>
          </cell>
          <cell r="U406">
            <v>-91432</v>
          </cell>
          <cell r="V406">
            <v>-405816</v>
          </cell>
          <cell r="W406">
            <v>52004</v>
          </cell>
          <cell r="X406">
            <v>15124</v>
          </cell>
          <cell r="Y406">
            <v>67128</v>
          </cell>
          <cell r="Z406">
            <v>-513879</v>
          </cell>
          <cell r="AA406">
            <v>-149451</v>
          </cell>
        </row>
        <row r="409">
          <cell r="C409" t="str">
            <v>Discrete_1</v>
          </cell>
          <cell r="E409">
            <v>0</v>
          </cell>
          <cell r="F409">
            <v>0</v>
          </cell>
          <cell r="G409">
            <v>0</v>
          </cell>
        </row>
        <row r="410">
          <cell r="C410" t="str">
            <v>Discrete_2</v>
          </cell>
          <cell r="E410">
            <v>0</v>
          </cell>
          <cell r="F410">
            <v>0</v>
          </cell>
          <cell r="G410">
            <v>0</v>
          </cell>
        </row>
        <row r="412">
          <cell r="H412">
            <v>-1</v>
          </cell>
          <cell r="I412">
            <v>0</v>
          </cell>
          <cell r="J412">
            <v>-1</v>
          </cell>
          <cell r="K412">
            <v>-1</v>
          </cell>
          <cell r="L412">
            <v>-1</v>
          </cell>
          <cell r="M412">
            <v>-2</v>
          </cell>
          <cell r="N412">
            <v>-2</v>
          </cell>
          <cell r="O412">
            <v>-1</v>
          </cell>
          <cell r="P412">
            <v>-3</v>
          </cell>
          <cell r="Q412">
            <v>1075950</v>
          </cell>
          <cell r="R412">
            <v>312918</v>
          </cell>
          <cell r="S412">
            <v>1388868</v>
          </cell>
          <cell r="T412">
            <v>-314384</v>
          </cell>
          <cell r="U412">
            <v>-91432</v>
          </cell>
          <cell r="V412">
            <v>-405816</v>
          </cell>
          <cell r="W412">
            <v>52004</v>
          </cell>
          <cell r="X412">
            <v>15124</v>
          </cell>
          <cell r="Y412">
            <v>67128</v>
          </cell>
          <cell r="Z412">
            <v>-513879</v>
          </cell>
          <cell r="AA412">
            <v>-149451</v>
          </cell>
        </row>
      </sheetData>
      <sheetData sheetId="61">
        <row r="358">
          <cell r="C358" t="str">
            <v>PTBI</v>
          </cell>
          <cell r="E358">
            <v>12104221.368647994</v>
          </cell>
          <cell r="F358">
            <v>9729711.0742479935</v>
          </cell>
          <cell r="G358">
            <v>2374510.2944000005</v>
          </cell>
          <cell r="H358">
            <v>2043239</v>
          </cell>
          <cell r="I358">
            <v>0</v>
          </cell>
          <cell r="J358">
            <v>2043239</v>
          </cell>
          <cell r="K358">
            <v>498647</v>
          </cell>
          <cell r="L358">
            <v>0</v>
          </cell>
          <cell r="M358">
            <v>498647</v>
          </cell>
          <cell r="N358">
            <v>2541886</v>
          </cell>
          <cell r="O358">
            <v>0</v>
          </cell>
          <cell r="P358">
            <v>2541886</v>
          </cell>
          <cell r="Q358">
            <v>0</v>
          </cell>
          <cell r="R358">
            <v>0</v>
          </cell>
          <cell r="S358">
            <v>0</v>
          </cell>
          <cell r="T358">
            <v>0</v>
          </cell>
          <cell r="U358">
            <v>0</v>
          </cell>
          <cell r="V358">
            <v>0</v>
          </cell>
          <cell r="W358">
            <v>0</v>
          </cell>
          <cell r="X358">
            <v>0</v>
          </cell>
          <cell r="Y358">
            <v>0</v>
          </cell>
          <cell r="Z358">
            <v>0</v>
          </cell>
          <cell r="AA358">
            <v>0</v>
          </cell>
          <cell r="AB358">
            <v>0</v>
          </cell>
        </row>
        <row r="361">
          <cell r="C361" t="str">
            <v>P100</v>
          </cell>
          <cell r="E361">
            <v>28396.155000000002</v>
          </cell>
          <cell r="F361">
            <v>28396.155000000002</v>
          </cell>
          <cell r="G361">
            <v>0</v>
          </cell>
          <cell r="H361">
            <v>5963</v>
          </cell>
          <cell r="I361">
            <v>0</v>
          </cell>
          <cell r="J361">
            <v>5963</v>
          </cell>
          <cell r="K361">
            <v>0</v>
          </cell>
          <cell r="L361">
            <v>0</v>
          </cell>
          <cell r="M361">
            <v>0</v>
          </cell>
          <cell r="N361">
            <v>5963</v>
          </cell>
          <cell r="O361">
            <v>0</v>
          </cell>
          <cell r="P361">
            <v>5963</v>
          </cell>
          <cell r="Q361">
            <v>0</v>
          </cell>
          <cell r="R361">
            <v>0</v>
          </cell>
          <cell r="S361">
            <v>0</v>
          </cell>
          <cell r="T361">
            <v>0</v>
          </cell>
          <cell r="U361">
            <v>0</v>
          </cell>
          <cell r="V361">
            <v>0</v>
          </cell>
          <cell r="W361">
            <v>0</v>
          </cell>
          <cell r="X361">
            <v>0</v>
          </cell>
          <cell r="Y361">
            <v>0</v>
          </cell>
          <cell r="Z361">
            <v>0</v>
          </cell>
          <cell r="AA361">
            <v>0</v>
          </cell>
          <cell r="AB361">
            <v>0</v>
          </cell>
        </row>
        <row r="362">
          <cell r="C362" t="str">
            <v>P200</v>
          </cell>
          <cell r="E362">
            <v>1282.1099999999999</v>
          </cell>
          <cell r="F362">
            <v>0</v>
          </cell>
          <cell r="G362">
            <v>1282.1099999999999</v>
          </cell>
          <cell r="H362">
            <v>0</v>
          </cell>
          <cell r="I362">
            <v>0</v>
          </cell>
          <cell r="J362">
            <v>0</v>
          </cell>
          <cell r="K362">
            <v>269</v>
          </cell>
          <cell r="L362">
            <v>0</v>
          </cell>
          <cell r="M362">
            <v>269</v>
          </cell>
          <cell r="N362">
            <v>269</v>
          </cell>
          <cell r="O362">
            <v>0</v>
          </cell>
          <cell r="P362">
            <v>269</v>
          </cell>
          <cell r="Q362">
            <v>0</v>
          </cell>
          <cell r="R362">
            <v>0</v>
          </cell>
          <cell r="S362">
            <v>0</v>
          </cell>
          <cell r="T362">
            <v>0</v>
          </cell>
          <cell r="U362">
            <v>0</v>
          </cell>
          <cell r="V362">
            <v>0</v>
          </cell>
          <cell r="W362">
            <v>0</v>
          </cell>
          <cell r="X362">
            <v>0</v>
          </cell>
          <cell r="Y362">
            <v>0</v>
          </cell>
          <cell r="Z362">
            <v>0</v>
          </cell>
          <cell r="AA362">
            <v>0</v>
          </cell>
          <cell r="AB362">
            <v>0</v>
          </cell>
        </row>
        <row r="363">
          <cell r="C363" t="str">
            <v>P300</v>
          </cell>
          <cell r="E363">
            <v>132000</v>
          </cell>
          <cell r="F363">
            <v>0</v>
          </cell>
          <cell r="G363">
            <v>132000</v>
          </cell>
          <cell r="H363">
            <v>0</v>
          </cell>
          <cell r="I363">
            <v>0</v>
          </cell>
          <cell r="J363">
            <v>0</v>
          </cell>
          <cell r="K363">
            <v>27720</v>
          </cell>
          <cell r="L363">
            <v>0</v>
          </cell>
          <cell r="M363">
            <v>27720</v>
          </cell>
          <cell r="N363">
            <v>27720</v>
          </cell>
          <cell r="O363">
            <v>0</v>
          </cell>
          <cell r="P363">
            <v>27720</v>
          </cell>
          <cell r="Q363">
            <v>0</v>
          </cell>
          <cell r="R363">
            <v>0</v>
          </cell>
          <cell r="S363">
            <v>0</v>
          </cell>
          <cell r="T363">
            <v>0</v>
          </cell>
          <cell r="U363">
            <v>0</v>
          </cell>
          <cell r="V363">
            <v>0</v>
          </cell>
          <cell r="W363">
            <v>0</v>
          </cell>
          <cell r="X363">
            <v>0</v>
          </cell>
          <cell r="Y363">
            <v>0</v>
          </cell>
          <cell r="Z363">
            <v>0</v>
          </cell>
          <cell r="AA363">
            <v>0</v>
          </cell>
          <cell r="AB363">
            <v>0</v>
          </cell>
        </row>
        <row r="364">
          <cell r="C364" t="str">
            <v>P999</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v>0</v>
          </cell>
        </row>
        <row r="365">
          <cell r="E365">
            <v>161678.26500000001</v>
          </cell>
          <cell r="F365">
            <v>28396.155000000002</v>
          </cell>
          <cell r="G365">
            <v>133282.10999999999</v>
          </cell>
        </row>
        <row r="368">
          <cell r="C368" t="str">
            <v>F100</v>
          </cell>
          <cell r="E368">
            <v>-125007.72183379241</v>
          </cell>
          <cell r="F368">
            <v>0</v>
          </cell>
          <cell r="G368">
            <v>-125007.72183379241</v>
          </cell>
          <cell r="H368">
            <v>0</v>
          </cell>
          <cell r="I368">
            <v>0</v>
          </cell>
          <cell r="J368">
            <v>0</v>
          </cell>
          <cell r="K368">
            <v>-26252</v>
          </cell>
          <cell r="L368">
            <v>0</v>
          </cell>
          <cell r="M368">
            <v>-26252</v>
          </cell>
          <cell r="N368">
            <v>-26252</v>
          </cell>
          <cell r="O368">
            <v>0</v>
          </cell>
          <cell r="P368">
            <v>-26252</v>
          </cell>
          <cell r="Q368">
            <v>0</v>
          </cell>
          <cell r="R368">
            <v>0</v>
          </cell>
          <cell r="S368">
            <v>0</v>
          </cell>
          <cell r="T368">
            <v>0</v>
          </cell>
          <cell r="U368">
            <v>0</v>
          </cell>
          <cell r="V368">
            <v>0</v>
          </cell>
          <cell r="W368">
            <v>0</v>
          </cell>
          <cell r="X368">
            <v>0</v>
          </cell>
          <cell r="Y368">
            <v>0</v>
          </cell>
          <cell r="Z368">
            <v>0</v>
          </cell>
          <cell r="AA368">
            <v>0</v>
          </cell>
          <cell r="AB368">
            <v>0</v>
          </cell>
        </row>
        <row r="369">
          <cell r="C369" t="str">
            <v>F100</v>
          </cell>
          <cell r="E369">
            <v>0</v>
          </cell>
          <cell r="F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row>
        <row r="370">
          <cell r="C370" t="str">
            <v>F200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v>0</v>
          </cell>
        </row>
        <row r="371">
          <cell r="C371" t="str">
            <v>F999</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B371">
            <v>0</v>
          </cell>
        </row>
        <row r="372">
          <cell r="E372">
            <v>-125007.72183379241</v>
          </cell>
          <cell r="F372">
            <v>0</v>
          </cell>
          <cell r="G372">
            <v>-125007.72183379241</v>
          </cell>
        </row>
        <row r="375">
          <cell r="C375" t="str">
            <v>T100</v>
          </cell>
          <cell r="D375">
            <v>190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row>
        <row r="376">
          <cell r="C376" t="str">
            <v>T200</v>
          </cell>
          <cell r="D376">
            <v>282</v>
          </cell>
          <cell r="E376">
            <v>3637316.5433590692</v>
          </cell>
          <cell r="F376">
            <v>3637316.5433590692</v>
          </cell>
          <cell r="G376">
            <v>0</v>
          </cell>
          <cell r="H376">
            <v>763836</v>
          </cell>
          <cell r="I376">
            <v>0</v>
          </cell>
          <cell r="J376">
            <v>763836</v>
          </cell>
          <cell r="K376">
            <v>0</v>
          </cell>
          <cell r="L376">
            <v>0</v>
          </cell>
          <cell r="M376">
            <v>0</v>
          </cell>
          <cell r="N376">
            <v>763836</v>
          </cell>
          <cell r="O376">
            <v>0</v>
          </cell>
          <cell r="P376">
            <v>763836</v>
          </cell>
          <cell r="Q376">
            <v>0</v>
          </cell>
          <cell r="R376">
            <v>0</v>
          </cell>
          <cell r="S376">
            <v>0</v>
          </cell>
          <cell r="T376">
            <v>-763836</v>
          </cell>
          <cell r="U376">
            <v>0</v>
          </cell>
          <cell r="V376">
            <v>-763836</v>
          </cell>
          <cell r="W376">
            <v>0</v>
          </cell>
          <cell r="X376">
            <v>0</v>
          </cell>
          <cell r="Y376">
            <v>0</v>
          </cell>
          <cell r="Z376">
            <v>0</v>
          </cell>
          <cell r="AA376">
            <v>0</v>
          </cell>
          <cell r="AB376">
            <v>0</v>
          </cell>
        </row>
        <row r="377">
          <cell r="C377" t="str">
            <v>T210</v>
          </cell>
          <cell r="D377">
            <v>282</v>
          </cell>
          <cell r="E377">
            <v>-11933045.242598414</v>
          </cell>
          <cell r="F377">
            <v>-11933045.242598414</v>
          </cell>
          <cell r="G377">
            <v>0</v>
          </cell>
          <cell r="H377">
            <v>-2505940</v>
          </cell>
          <cell r="I377">
            <v>0</v>
          </cell>
          <cell r="J377">
            <v>-2505940</v>
          </cell>
          <cell r="K377">
            <v>0</v>
          </cell>
          <cell r="L377">
            <v>0</v>
          </cell>
          <cell r="M377">
            <v>0</v>
          </cell>
          <cell r="N377">
            <v>-2505940</v>
          </cell>
          <cell r="O377">
            <v>0</v>
          </cell>
          <cell r="P377">
            <v>-2505940</v>
          </cell>
          <cell r="Q377">
            <v>2505940</v>
          </cell>
          <cell r="R377">
            <v>0</v>
          </cell>
          <cell r="S377">
            <v>2505940</v>
          </cell>
          <cell r="T377">
            <v>0</v>
          </cell>
          <cell r="U377">
            <v>0</v>
          </cell>
          <cell r="V377">
            <v>0</v>
          </cell>
          <cell r="W377">
            <v>0</v>
          </cell>
          <cell r="X377">
            <v>0</v>
          </cell>
          <cell r="Y377">
            <v>0</v>
          </cell>
          <cell r="Z377">
            <v>0</v>
          </cell>
          <cell r="AA377">
            <v>0</v>
          </cell>
          <cell r="AB377">
            <v>0</v>
          </cell>
        </row>
        <row r="378">
          <cell r="C378" t="str">
            <v>T220</v>
          </cell>
          <cell r="D378">
            <v>282</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row>
        <row r="379">
          <cell r="C379" t="str">
            <v>T230</v>
          </cell>
          <cell r="D379">
            <v>282</v>
          </cell>
          <cell r="E379">
            <v>2091.5700000000652</v>
          </cell>
          <cell r="F379">
            <v>0</v>
          </cell>
          <cell r="G379">
            <v>2091.5700000000652</v>
          </cell>
          <cell r="H379">
            <v>0</v>
          </cell>
          <cell r="I379">
            <v>0</v>
          </cell>
          <cell r="J379">
            <v>0</v>
          </cell>
          <cell r="K379">
            <v>439</v>
          </cell>
          <cell r="L379">
            <v>0</v>
          </cell>
          <cell r="M379">
            <v>439</v>
          </cell>
          <cell r="N379">
            <v>439</v>
          </cell>
          <cell r="O379">
            <v>0</v>
          </cell>
          <cell r="P379">
            <v>439</v>
          </cell>
          <cell r="Q379">
            <v>0</v>
          </cell>
          <cell r="R379">
            <v>0</v>
          </cell>
          <cell r="S379">
            <v>0</v>
          </cell>
          <cell r="T379">
            <v>0</v>
          </cell>
          <cell r="U379">
            <v>0</v>
          </cell>
          <cell r="V379">
            <v>0</v>
          </cell>
          <cell r="W379">
            <v>0</v>
          </cell>
          <cell r="X379">
            <v>0</v>
          </cell>
          <cell r="Y379">
            <v>0</v>
          </cell>
          <cell r="Z379">
            <v>-439</v>
          </cell>
          <cell r="AA379">
            <v>0</v>
          </cell>
          <cell r="AB379">
            <v>-439</v>
          </cell>
        </row>
        <row r="380">
          <cell r="C380" t="str">
            <v>T240</v>
          </cell>
          <cell r="D380">
            <v>282</v>
          </cell>
          <cell r="E380">
            <v>-39099.514566207588</v>
          </cell>
          <cell r="F380">
            <v>0</v>
          </cell>
          <cell r="G380">
            <v>-39099.514566207588</v>
          </cell>
          <cell r="H380">
            <v>0</v>
          </cell>
          <cell r="I380">
            <v>0</v>
          </cell>
          <cell r="J380">
            <v>0</v>
          </cell>
          <cell r="K380">
            <v>-8211</v>
          </cell>
          <cell r="L380">
            <v>0</v>
          </cell>
          <cell r="M380">
            <v>-8211</v>
          </cell>
          <cell r="N380">
            <v>-8211</v>
          </cell>
          <cell r="O380">
            <v>0</v>
          </cell>
          <cell r="P380">
            <v>-8211</v>
          </cell>
          <cell r="Q380">
            <v>0</v>
          </cell>
          <cell r="R380">
            <v>0</v>
          </cell>
          <cell r="S380">
            <v>0</v>
          </cell>
          <cell r="T380">
            <v>0</v>
          </cell>
          <cell r="U380">
            <v>0</v>
          </cell>
          <cell r="V380">
            <v>0</v>
          </cell>
          <cell r="W380">
            <v>8211</v>
          </cell>
          <cell r="X380">
            <v>0</v>
          </cell>
          <cell r="Y380">
            <v>8211</v>
          </cell>
          <cell r="Z380">
            <v>0</v>
          </cell>
          <cell r="AA380">
            <v>0</v>
          </cell>
          <cell r="AB380">
            <v>0</v>
          </cell>
        </row>
        <row r="381">
          <cell r="C381" t="str">
            <v>T300</v>
          </cell>
          <cell r="D381">
            <v>283</v>
          </cell>
          <cell r="E381">
            <v>2033513.142</v>
          </cell>
          <cell r="F381">
            <v>0</v>
          </cell>
          <cell r="G381">
            <v>2033513.142</v>
          </cell>
          <cell r="H381">
            <v>0</v>
          </cell>
          <cell r="I381">
            <v>0</v>
          </cell>
          <cell r="J381">
            <v>0</v>
          </cell>
          <cell r="K381">
            <v>427038</v>
          </cell>
          <cell r="L381">
            <v>0</v>
          </cell>
          <cell r="M381">
            <v>427038</v>
          </cell>
          <cell r="N381">
            <v>427038</v>
          </cell>
          <cell r="O381">
            <v>0</v>
          </cell>
          <cell r="P381">
            <v>427038</v>
          </cell>
          <cell r="Q381">
            <v>0</v>
          </cell>
          <cell r="R381">
            <v>0</v>
          </cell>
          <cell r="S381">
            <v>0</v>
          </cell>
          <cell r="T381">
            <v>0</v>
          </cell>
          <cell r="U381">
            <v>0</v>
          </cell>
          <cell r="V381">
            <v>0</v>
          </cell>
          <cell r="W381">
            <v>0</v>
          </cell>
          <cell r="X381">
            <v>0</v>
          </cell>
          <cell r="Y381">
            <v>0</v>
          </cell>
          <cell r="Z381">
            <v>-427038</v>
          </cell>
          <cell r="AA381">
            <v>0</v>
          </cell>
          <cell r="AB381">
            <v>-427038</v>
          </cell>
        </row>
        <row r="382">
          <cell r="C382" t="str">
            <v>T310</v>
          </cell>
          <cell r="D382">
            <v>283</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B382">
            <v>0</v>
          </cell>
        </row>
        <row r="383">
          <cell r="C383" t="str">
            <v>T320</v>
          </cell>
          <cell r="D383">
            <v>283</v>
          </cell>
          <cell r="E383">
            <v>-1057587.572128905</v>
          </cell>
          <cell r="F383">
            <v>-1057587.572128905</v>
          </cell>
          <cell r="G383">
            <v>0</v>
          </cell>
          <cell r="H383">
            <v>-222093</v>
          </cell>
          <cell r="I383">
            <v>0</v>
          </cell>
          <cell r="J383">
            <v>-222093</v>
          </cell>
          <cell r="K383">
            <v>0</v>
          </cell>
          <cell r="L383">
            <v>0</v>
          </cell>
          <cell r="M383">
            <v>0</v>
          </cell>
          <cell r="N383">
            <v>-222093</v>
          </cell>
          <cell r="O383">
            <v>0</v>
          </cell>
          <cell r="P383">
            <v>-222093</v>
          </cell>
          <cell r="Q383">
            <v>222093</v>
          </cell>
          <cell r="R383">
            <v>0</v>
          </cell>
          <cell r="S383">
            <v>222093</v>
          </cell>
          <cell r="T383">
            <v>0</v>
          </cell>
          <cell r="U383">
            <v>0</v>
          </cell>
          <cell r="V383">
            <v>0</v>
          </cell>
          <cell r="W383">
            <v>0</v>
          </cell>
          <cell r="X383">
            <v>0</v>
          </cell>
          <cell r="Y383">
            <v>0</v>
          </cell>
          <cell r="Z383">
            <v>0</v>
          </cell>
          <cell r="AA383">
            <v>0</v>
          </cell>
          <cell r="AB383">
            <v>0</v>
          </cell>
        </row>
        <row r="384">
          <cell r="C384" t="str">
            <v>T400</v>
          </cell>
          <cell r="D384">
            <v>283</v>
          </cell>
          <cell r="E384">
            <v>-5562658</v>
          </cell>
          <cell r="F384">
            <v>0</v>
          </cell>
          <cell r="G384">
            <v>-5562658</v>
          </cell>
          <cell r="H384">
            <v>0</v>
          </cell>
          <cell r="I384">
            <v>0</v>
          </cell>
          <cell r="J384">
            <v>0</v>
          </cell>
          <cell r="K384">
            <v>-1168158</v>
          </cell>
          <cell r="L384">
            <v>0</v>
          </cell>
          <cell r="M384">
            <v>-1168158</v>
          </cell>
          <cell r="N384">
            <v>-1168158</v>
          </cell>
          <cell r="O384">
            <v>0</v>
          </cell>
          <cell r="P384">
            <v>-1168158</v>
          </cell>
          <cell r="Q384">
            <v>0</v>
          </cell>
          <cell r="R384">
            <v>0</v>
          </cell>
          <cell r="S384">
            <v>0</v>
          </cell>
          <cell r="T384">
            <v>0</v>
          </cell>
          <cell r="U384">
            <v>0</v>
          </cell>
          <cell r="V384">
            <v>0</v>
          </cell>
          <cell r="W384">
            <v>1168158</v>
          </cell>
          <cell r="X384">
            <v>0</v>
          </cell>
          <cell r="Y384">
            <v>1168158</v>
          </cell>
          <cell r="Z384">
            <v>0</v>
          </cell>
          <cell r="AA384">
            <v>0</v>
          </cell>
          <cell r="AB384">
            <v>0</v>
          </cell>
        </row>
        <row r="385">
          <cell r="C385" t="str">
            <v>T410</v>
          </cell>
          <cell r="D385">
            <v>283</v>
          </cell>
          <cell r="E385">
            <v>89344.92</v>
          </cell>
          <cell r="F385">
            <v>0</v>
          </cell>
          <cell r="G385">
            <v>89344.92</v>
          </cell>
          <cell r="H385">
            <v>0</v>
          </cell>
          <cell r="I385">
            <v>0</v>
          </cell>
          <cell r="J385">
            <v>0</v>
          </cell>
          <cell r="K385">
            <v>18762</v>
          </cell>
          <cell r="L385">
            <v>0</v>
          </cell>
          <cell r="M385">
            <v>18762</v>
          </cell>
          <cell r="N385">
            <v>18762</v>
          </cell>
          <cell r="O385">
            <v>0</v>
          </cell>
          <cell r="P385">
            <v>18762</v>
          </cell>
          <cell r="Q385">
            <v>0</v>
          </cell>
          <cell r="R385">
            <v>0</v>
          </cell>
          <cell r="S385">
            <v>0</v>
          </cell>
          <cell r="T385">
            <v>0</v>
          </cell>
          <cell r="U385">
            <v>0</v>
          </cell>
          <cell r="V385">
            <v>0</v>
          </cell>
          <cell r="W385">
            <v>0</v>
          </cell>
          <cell r="X385">
            <v>0</v>
          </cell>
          <cell r="Y385">
            <v>0</v>
          </cell>
          <cell r="Z385">
            <v>-18762</v>
          </cell>
          <cell r="AA385">
            <v>0</v>
          </cell>
          <cell r="AB385">
            <v>-18762</v>
          </cell>
        </row>
        <row r="386">
          <cell r="C386" t="str">
            <v>T500</v>
          </cell>
          <cell r="D386">
            <v>283</v>
          </cell>
          <cell r="E386">
            <v>1094023.2</v>
          </cell>
          <cell r="F386">
            <v>0</v>
          </cell>
          <cell r="G386">
            <v>1094023.2</v>
          </cell>
          <cell r="H386">
            <v>0</v>
          </cell>
          <cell r="I386">
            <v>0</v>
          </cell>
          <cell r="J386">
            <v>0</v>
          </cell>
          <cell r="K386">
            <v>229745</v>
          </cell>
          <cell r="L386">
            <v>0</v>
          </cell>
          <cell r="M386">
            <v>229745</v>
          </cell>
          <cell r="N386">
            <v>229745</v>
          </cell>
          <cell r="O386">
            <v>0</v>
          </cell>
          <cell r="P386">
            <v>229745</v>
          </cell>
          <cell r="Q386">
            <v>0</v>
          </cell>
          <cell r="R386">
            <v>0</v>
          </cell>
          <cell r="S386">
            <v>0</v>
          </cell>
          <cell r="T386">
            <v>0</v>
          </cell>
          <cell r="U386">
            <v>0</v>
          </cell>
          <cell r="V386">
            <v>0</v>
          </cell>
          <cell r="W386">
            <v>0</v>
          </cell>
          <cell r="X386">
            <v>0</v>
          </cell>
          <cell r="Y386">
            <v>0</v>
          </cell>
          <cell r="Z386">
            <v>-229745</v>
          </cell>
          <cell r="AA386">
            <v>0</v>
          </cell>
          <cell r="AB386">
            <v>-229745</v>
          </cell>
        </row>
        <row r="387">
          <cell r="C387" t="str">
            <v>T600</v>
          </cell>
          <cell r="D387">
            <v>283</v>
          </cell>
          <cell r="E387">
            <v>-37670.357651167258</v>
          </cell>
          <cell r="F387">
            <v>-37670.357651167258</v>
          </cell>
          <cell r="G387">
            <v>0</v>
          </cell>
          <cell r="H387">
            <v>-7911</v>
          </cell>
          <cell r="I387">
            <v>0</v>
          </cell>
          <cell r="J387">
            <v>-7911</v>
          </cell>
          <cell r="K387">
            <v>0</v>
          </cell>
          <cell r="L387">
            <v>0</v>
          </cell>
          <cell r="M387">
            <v>0</v>
          </cell>
          <cell r="N387">
            <v>-7911</v>
          </cell>
          <cell r="O387">
            <v>0</v>
          </cell>
          <cell r="P387">
            <v>-7911</v>
          </cell>
          <cell r="Q387">
            <v>7911</v>
          </cell>
          <cell r="R387">
            <v>0</v>
          </cell>
          <cell r="S387">
            <v>7911</v>
          </cell>
          <cell r="T387">
            <v>0</v>
          </cell>
          <cell r="U387">
            <v>0</v>
          </cell>
          <cell r="V387">
            <v>0</v>
          </cell>
          <cell r="W387">
            <v>0</v>
          </cell>
          <cell r="X387">
            <v>0</v>
          </cell>
          <cell r="Y387">
            <v>0</v>
          </cell>
          <cell r="Z387">
            <v>0</v>
          </cell>
          <cell r="AA387">
            <v>0</v>
          </cell>
          <cell r="AB387">
            <v>0</v>
          </cell>
        </row>
        <row r="388">
          <cell r="C388" t="str">
            <v>T700</v>
          </cell>
          <cell r="D388">
            <v>283</v>
          </cell>
          <cell r="E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v>0</v>
          </cell>
        </row>
        <row r="389">
          <cell r="C389" t="str">
            <v>T999</v>
          </cell>
          <cell r="D389">
            <v>283</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row>
        <row r="390">
          <cell r="E390">
            <v>-11773771.311585626</v>
          </cell>
          <cell r="F390">
            <v>-9390986.6290194169</v>
          </cell>
          <cell r="G390">
            <v>-2382784.6825662078</v>
          </cell>
        </row>
        <row r="392">
          <cell r="E392">
            <v>367120.60022857785</v>
          </cell>
          <cell r="F392">
            <v>367120.60022857599</v>
          </cell>
          <cell r="G392">
            <v>0</v>
          </cell>
        </row>
        <row r="393">
          <cell r="C393" t="str">
            <v>Federal_NOL</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row>
        <row r="394">
          <cell r="C394" t="str">
            <v>Federal_TEO</v>
          </cell>
          <cell r="E394">
            <v>-171493</v>
          </cell>
          <cell r="F394">
            <v>-171493</v>
          </cell>
          <cell r="G394">
            <v>0</v>
          </cell>
          <cell r="H394">
            <v>-36013</v>
          </cell>
          <cell r="I394">
            <v>0</v>
          </cell>
          <cell r="J394">
            <v>-36013</v>
          </cell>
          <cell r="K394">
            <v>0</v>
          </cell>
          <cell r="L394">
            <v>0</v>
          </cell>
          <cell r="M394">
            <v>0</v>
          </cell>
          <cell r="N394">
            <v>-36013</v>
          </cell>
          <cell r="O394">
            <v>0</v>
          </cell>
          <cell r="P394">
            <v>-36013</v>
          </cell>
          <cell r="Q394">
            <v>-1278043</v>
          </cell>
          <cell r="R394">
            <v>0</v>
          </cell>
          <cell r="S394">
            <v>-1278043</v>
          </cell>
          <cell r="T394">
            <v>356811</v>
          </cell>
          <cell r="U394">
            <v>0</v>
          </cell>
          <cell r="V394">
            <v>356811</v>
          </cell>
          <cell r="W394">
            <v>-549518</v>
          </cell>
          <cell r="X394">
            <v>0</v>
          </cell>
          <cell r="Y394">
            <v>-549518</v>
          </cell>
          <cell r="Z394">
            <v>315773</v>
          </cell>
          <cell r="AA394">
            <v>0</v>
          </cell>
          <cell r="AB394">
            <v>315773</v>
          </cell>
        </row>
        <row r="395">
          <cell r="E395">
            <v>195627.60022857785</v>
          </cell>
          <cell r="F395">
            <v>195627.60022857599</v>
          </cell>
          <cell r="G395">
            <v>0</v>
          </cell>
        </row>
        <row r="397">
          <cell r="C397" t="str">
            <v>State_IT</v>
          </cell>
          <cell r="E397">
            <v>0</v>
          </cell>
          <cell r="F397">
            <v>0</v>
          </cell>
          <cell r="G397">
            <v>0</v>
          </cell>
        </row>
        <row r="398">
          <cell r="C398" t="str">
            <v>State_Dep</v>
          </cell>
          <cell r="E398">
            <v>0</v>
          </cell>
          <cell r="F398">
            <v>0</v>
          </cell>
          <cell r="G398">
            <v>0</v>
          </cell>
        </row>
        <row r="399">
          <cell r="E399">
            <v>367120.60022857785</v>
          </cell>
          <cell r="F399">
            <v>367120.60022857599</v>
          </cell>
          <cell r="G399">
            <v>0</v>
          </cell>
        </row>
        <row r="400">
          <cell r="C400" t="str">
            <v>State_NOL</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cell r="T400">
            <v>0</v>
          </cell>
          <cell r="U400">
            <v>0</v>
          </cell>
          <cell r="V400">
            <v>0</v>
          </cell>
          <cell r="W400">
            <v>0</v>
          </cell>
          <cell r="X400">
            <v>0</v>
          </cell>
          <cell r="Y400">
            <v>0</v>
          </cell>
          <cell r="Z400">
            <v>0</v>
          </cell>
          <cell r="AA400">
            <v>0</v>
          </cell>
          <cell r="AB400">
            <v>0</v>
          </cell>
        </row>
        <row r="401">
          <cell r="C401" t="str">
            <v>State_TEO</v>
          </cell>
          <cell r="E401">
            <v>-171493</v>
          </cell>
          <cell r="F401">
            <v>-171493</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B401">
            <v>0</v>
          </cell>
        </row>
        <row r="402">
          <cell r="E402">
            <v>195627.60022857785</v>
          </cell>
          <cell r="F402">
            <v>195627.60022857599</v>
          </cell>
          <cell r="G402">
            <v>0</v>
          </cell>
        </row>
        <row r="404">
          <cell r="C404" t="str">
            <v>Rounding</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cell r="AA404">
            <v>0</v>
          </cell>
          <cell r="AB404">
            <v>0</v>
          </cell>
        </row>
        <row r="405">
          <cell r="C405" t="str">
            <v>Tax_Credit_1</v>
          </cell>
          <cell r="E405">
            <v>0</v>
          </cell>
          <cell r="F405">
            <v>0</v>
          </cell>
          <cell r="G405">
            <v>0</v>
          </cell>
        </row>
        <row r="406">
          <cell r="H406">
            <v>41081</v>
          </cell>
          <cell r="I406">
            <v>0</v>
          </cell>
          <cell r="J406">
            <v>41081</v>
          </cell>
          <cell r="K406">
            <v>-1</v>
          </cell>
          <cell r="L406">
            <v>0</v>
          </cell>
          <cell r="M406">
            <v>-1</v>
          </cell>
          <cell r="N406">
            <v>41080</v>
          </cell>
          <cell r="O406">
            <v>0</v>
          </cell>
          <cell r="P406">
            <v>41080</v>
          </cell>
          <cell r="Q406">
            <v>1457901</v>
          </cell>
          <cell r="R406">
            <v>0</v>
          </cell>
          <cell r="S406">
            <v>1457901</v>
          </cell>
          <cell r="T406">
            <v>-407025</v>
          </cell>
          <cell r="U406">
            <v>0</v>
          </cell>
          <cell r="V406">
            <v>-407025</v>
          </cell>
          <cell r="W406">
            <v>626851</v>
          </cell>
          <cell r="X406">
            <v>0</v>
          </cell>
          <cell r="Y406">
            <v>626851</v>
          </cell>
          <cell r="Z406">
            <v>-360211</v>
          </cell>
          <cell r="AA406">
            <v>0</v>
          </cell>
          <cell r="AB406">
            <v>-360211</v>
          </cell>
        </row>
        <row r="409">
          <cell r="C409" t="str">
            <v>Discrete_1</v>
          </cell>
          <cell r="E409">
            <v>0</v>
          </cell>
          <cell r="F409">
            <v>0</v>
          </cell>
          <cell r="G409">
            <v>0</v>
          </cell>
        </row>
        <row r="410">
          <cell r="C410" t="str">
            <v>Discrete_2</v>
          </cell>
          <cell r="E410">
            <v>0</v>
          </cell>
          <cell r="F410">
            <v>0</v>
          </cell>
          <cell r="G410">
            <v>0</v>
          </cell>
        </row>
        <row r="412">
          <cell r="H412">
            <v>41081</v>
          </cell>
          <cell r="I412">
            <v>0</v>
          </cell>
          <cell r="J412">
            <v>41081</v>
          </cell>
          <cell r="K412">
            <v>-1</v>
          </cell>
          <cell r="L412">
            <v>0</v>
          </cell>
          <cell r="M412">
            <v>-1</v>
          </cell>
          <cell r="N412">
            <v>41080</v>
          </cell>
          <cell r="O412">
            <v>0</v>
          </cell>
          <cell r="P412">
            <v>41080</v>
          </cell>
          <cell r="Q412">
            <v>1457901</v>
          </cell>
          <cell r="R412">
            <v>0</v>
          </cell>
          <cell r="S412">
            <v>1457901</v>
          </cell>
          <cell r="T412">
            <v>-407025</v>
          </cell>
          <cell r="U412">
            <v>0</v>
          </cell>
          <cell r="V412">
            <v>-407025</v>
          </cell>
          <cell r="W412">
            <v>626851</v>
          </cell>
          <cell r="X412">
            <v>0</v>
          </cell>
          <cell r="Y412">
            <v>626851</v>
          </cell>
          <cell r="Z412">
            <v>-360211</v>
          </cell>
          <cell r="AA412">
            <v>0</v>
          </cell>
          <cell r="AB412">
            <v>-360211</v>
          </cell>
        </row>
      </sheetData>
      <sheetData sheetId="62">
        <row r="21">
          <cell r="C21" t="str">
            <v>PTBI</v>
          </cell>
          <cell r="E21">
            <v>-644369.34000000008</v>
          </cell>
          <cell r="F21">
            <v>-1061560.8987499997</v>
          </cell>
          <cell r="G21">
            <v>417191.5587499995</v>
          </cell>
          <cell r="H21">
            <v>-214362</v>
          </cell>
          <cell r="I21">
            <v>-94021</v>
          </cell>
          <cell r="J21">
            <v>-308383</v>
          </cell>
          <cell r="K21">
            <v>84244</v>
          </cell>
          <cell r="L21">
            <v>36950</v>
          </cell>
          <cell r="M21">
            <v>121194</v>
          </cell>
          <cell r="N21">
            <v>-130118</v>
          </cell>
          <cell r="O21">
            <v>-57071</v>
          </cell>
          <cell r="P21">
            <v>-187189</v>
          </cell>
          <cell r="Q21">
            <v>0</v>
          </cell>
          <cell r="R21">
            <v>0</v>
          </cell>
          <cell r="S21">
            <v>0</v>
          </cell>
          <cell r="T21">
            <v>0</v>
          </cell>
          <cell r="U21">
            <v>0</v>
          </cell>
          <cell r="V21">
            <v>0</v>
          </cell>
          <cell r="W21">
            <v>0</v>
          </cell>
          <cell r="X21">
            <v>0</v>
          </cell>
          <cell r="Y21">
            <v>0</v>
          </cell>
          <cell r="Z21">
            <v>0</v>
          </cell>
          <cell r="AA21">
            <v>0</v>
          </cell>
          <cell r="AB21">
            <v>0</v>
          </cell>
        </row>
        <row r="24">
          <cell r="C24" t="str">
            <v>P100</v>
          </cell>
          <cell r="E24">
            <v>1782.7900000000002</v>
          </cell>
          <cell r="F24">
            <v>1782.7900000000002</v>
          </cell>
          <cell r="G24">
            <v>0</v>
          </cell>
          <cell r="H24">
            <v>360</v>
          </cell>
          <cell r="I24">
            <v>158</v>
          </cell>
          <cell r="J24">
            <v>518</v>
          </cell>
          <cell r="K24">
            <v>0</v>
          </cell>
          <cell r="L24">
            <v>0</v>
          </cell>
          <cell r="M24">
            <v>0</v>
          </cell>
          <cell r="N24">
            <v>360</v>
          </cell>
          <cell r="O24">
            <v>158</v>
          </cell>
          <cell r="P24">
            <v>518</v>
          </cell>
          <cell r="Q24">
            <v>0</v>
          </cell>
          <cell r="R24">
            <v>0</v>
          </cell>
          <cell r="S24">
            <v>0</v>
          </cell>
          <cell r="T24">
            <v>0</v>
          </cell>
          <cell r="U24">
            <v>0</v>
          </cell>
          <cell r="V24">
            <v>0</v>
          </cell>
          <cell r="W24">
            <v>0</v>
          </cell>
          <cell r="X24">
            <v>0</v>
          </cell>
          <cell r="Y24">
            <v>0</v>
          </cell>
          <cell r="Z24">
            <v>0</v>
          </cell>
          <cell r="AA24">
            <v>0</v>
          </cell>
          <cell r="AB24">
            <v>0</v>
          </cell>
        </row>
        <row r="25">
          <cell r="C25" t="str">
            <v>P200</v>
          </cell>
          <cell r="E25">
            <v>3275.6600000000003</v>
          </cell>
          <cell r="F25">
            <v>0</v>
          </cell>
          <cell r="G25">
            <v>3275.6600000000003</v>
          </cell>
          <cell r="H25">
            <v>0</v>
          </cell>
          <cell r="I25">
            <v>0</v>
          </cell>
          <cell r="J25">
            <v>0</v>
          </cell>
          <cell r="K25">
            <v>661</v>
          </cell>
          <cell r="L25">
            <v>290</v>
          </cell>
          <cell r="M25">
            <v>951</v>
          </cell>
          <cell r="N25">
            <v>661</v>
          </cell>
          <cell r="O25">
            <v>290</v>
          </cell>
          <cell r="P25">
            <v>951</v>
          </cell>
          <cell r="Q25">
            <v>0</v>
          </cell>
          <cell r="R25">
            <v>0</v>
          </cell>
          <cell r="S25">
            <v>0</v>
          </cell>
          <cell r="T25">
            <v>0</v>
          </cell>
          <cell r="U25">
            <v>0</v>
          </cell>
          <cell r="V25">
            <v>0</v>
          </cell>
          <cell r="W25">
            <v>0</v>
          </cell>
          <cell r="X25">
            <v>0</v>
          </cell>
          <cell r="Y25">
            <v>0</v>
          </cell>
          <cell r="Z25">
            <v>0</v>
          </cell>
          <cell r="AA25">
            <v>0</v>
          </cell>
          <cell r="AB25">
            <v>0</v>
          </cell>
        </row>
        <row r="26">
          <cell r="C26" t="str">
            <v>P300</v>
          </cell>
          <cell r="E26">
            <v>256721.35</v>
          </cell>
          <cell r="F26">
            <v>0</v>
          </cell>
          <cell r="G26">
            <v>256721.35</v>
          </cell>
          <cell r="H26">
            <v>0</v>
          </cell>
          <cell r="I26">
            <v>0</v>
          </cell>
          <cell r="J26">
            <v>0</v>
          </cell>
          <cell r="K26">
            <v>51840</v>
          </cell>
          <cell r="L26">
            <v>22737</v>
          </cell>
          <cell r="M26">
            <v>74577</v>
          </cell>
          <cell r="N26">
            <v>51840</v>
          </cell>
          <cell r="O26">
            <v>22737</v>
          </cell>
          <cell r="P26">
            <v>74577</v>
          </cell>
          <cell r="Q26">
            <v>0</v>
          </cell>
          <cell r="R26">
            <v>0</v>
          </cell>
          <cell r="S26">
            <v>0</v>
          </cell>
          <cell r="T26">
            <v>0</v>
          </cell>
          <cell r="U26">
            <v>0</v>
          </cell>
          <cell r="V26">
            <v>0</v>
          </cell>
          <cell r="W26">
            <v>0</v>
          </cell>
          <cell r="X26">
            <v>0</v>
          </cell>
          <cell r="Y26">
            <v>0</v>
          </cell>
          <cell r="Z26">
            <v>0</v>
          </cell>
          <cell r="AA26">
            <v>0</v>
          </cell>
          <cell r="AB26">
            <v>0</v>
          </cell>
        </row>
        <row r="27">
          <cell r="C27" t="str">
            <v>P999</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row>
        <row r="28">
          <cell r="E28">
            <v>261779.80000000002</v>
          </cell>
          <cell r="F28">
            <v>1782.7900000000002</v>
          </cell>
          <cell r="G28">
            <v>259997.01</v>
          </cell>
        </row>
        <row r="31">
          <cell r="C31" t="str">
            <v>F100</v>
          </cell>
          <cell r="E31">
            <v>-18798.441595448192</v>
          </cell>
          <cell r="F31">
            <v>0</v>
          </cell>
          <cell r="G31">
            <v>-18798.441595448192</v>
          </cell>
          <cell r="H31">
            <v>0</v>
          </cell>
          <cell r="I31">
            <v>0</v>
          </cell>
          <cell r="J31">
            <v>0</v>
          </cell>
          <cell r="K31">
            <v>-3796</v>
          </cell>
          <cell r="L31">
            <v>-1665</v>
          </cell>
          <cell r="M31">
            <v>-5461</v>
          </cell>
          <cell r="N31">
            <v>-3796</v>
          </cell>
          <cell r="O31">
            <v>-1665</v>
          </cell>
          <cell r="P31">
            <v>-5461</v>
          </cell>
          <cell r="Q31">
            <v>0</v>
          </cell>
          <cell r="R31">
            <v>0</v>
          </cell>
          <cell r="S31">
            <v>0</v>
          </cell>
          <cell r="T31">
            <v>0</v>
          </cell>
          <cell r="U31">
            <v>0</v>
          </cell>
          <cell r="V31">
            <v>0</v>
          </cell>
          <cell r="W31">
            <v>0</v>
          </cell>
          <cell r="X31">
            <v>0</v>
          </cell>
          <cell r="Y31">
            <v>0</v>
          </cell>
          <cell r="Z31">
            <v>0</v>
          </cell>
          <cell r="AA31">
            <v>0</v>
          </cell>
          <cell r="AB31">
            <v>0</v>
          </cell>
        </row>
        <row r="32">
          <cell r="C32" t="str">
            <v>F100</v>
          </cell>
          <cell r="E32">
            <v>0</v>
          </cell>
          <cell r="F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row>
        <row r="33">
          <cell r="C33" t="str">
            <v>F200</v>
          </cell>
          <cell r="E33">
            <v>-517532.51999999955</v>
          </cell>
          <cell r="F33">
            <v>0</v>
          </cell>
          <cell r="G33">
            <v>-517532.51999999955</v>
          </cell>
          <cell r="H33">
            <v>0</v>
          </cell>
          <cell r="I33">
            <v>0</v>
          </cell>
          <cell r="J33">
            <v>0</v>
          </cell>
          <cell r="K33">
            <v>-104506</v>
          </cell>
          <cell r="L33">
            <v>-45837</v>
          </cell>
          <cell r="M33">
            <v>-150343</v>
          </cell>
          <cell r="N33">
            <v>-104506</v>
          </cell>
          <cell r="O33">
            <v>-45837</v>
          </cell>
          <cell r="P33">
            <v>-150343</v>
          </cell>
          <cell r="Q33">
            <v>0</v>
          </cell>
          <cell r="R33">
            <v>0</v>
          </cell>
          <cell r="S33">
            <v>0</v>
          </cell>
          <cell r="T33">
            <v>0</v>
          </cell>
          <cell r="U33">
            <v>0</v>
          </cell>
          <cell r="V33">
            <v>0</v>
          </cell>
          <cell r="W33">
            <v>0</v>
          </cell>
          <cell r="X33">
            <v>0</v>
          </cell>
          <cell r="Y33">
            <v>0</v>
          </cell>
          <cell r="Z33">
            <v>0</v>
          </cell>
          <cell r="AA33">
            <v>0</v>
          </cell>
          <cell r="AB33">
            <v>0</v>
          </cell>
        </row>
        <row r="34">
          <cell r="C34" t="str">
            <v>F999</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row>
        <row r="35">
          <cell r="E35">
            <v>-536330.96159544773</v>
          </cell>
          <cell r="F35">
            <v>0</v>
          </cell>
          <cell r="G35">
            <v>-536330.96159544773</v>
          </cell>
        </row>
        <row r="38">
          <cell r="C38" t="str">
            <v>T100</v>
          </cell>
          <cell r="D38">
            <v>190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row>
        <row r="39">
          <cell r="C39" t="str">
            <v>T200</v>
          </cell>
          <cell r="D39">
            <v>282</v>
          </cell>
          <cell r="E39">
            <v>130944.38960000001</v>
          </cell>
          <cell r="F39">
            <v>130944.38960000001</v>
          </cell>
          <cell r="G39">
            <v>0</v>
          </cell>
          <cell r="H39">
            <v>26442</v>
          </cell>
          <cell r="I39">
            <v>11598</v>
          </cell>
          <cell r="J39">
            <v>38040</v>
          </cell>
          <cell r="K39">
            <v>0</v>
          </cell>
          <cell r="L39">
            <v>0</v>
          </cell>
          <cell r="M39">
            <v>0</v>
          </cell>
          <cell r="N39">
            <v>26442</v>
          </cell>
          <cell r="O39">
            <v>11598</v>
          </cell>
          <cell r="P39">
            <v>38040</v>
          </cell>
          <cell r="Q39">
            <v>0</v>
          </cell>
          <cell r="R39">
            <v>0</v>
          </cell>
          <cell r="S39">
            <v>0</v>
          </cell>
          <cell r="T39">
            <v>-26442</v>
          </cell>
          <cell r="U39">
            <v>-11598</v>
          </cell>
          <cell r="V39">
            <v>-38040</v>
          </cell>
          <cell r="W39">
            <v>0</v>
          </cell>
          <cell r="X39">
            <v>0</v>
          </cell>
          <cell r="Y39">
            <v>0</v>
          </cell>
          <cell r="Z39">
            <v>0</v>
          </cell>
          <cell r="AA39">
            <v>0</v>
          </cell>
          <cell r="AB39">
            <v>0</v>
          </cell>
        </row>
        <row r="40">
          <cell r="C40" t="str">
            <v>T210</v>
          </cell>
          <cell r="D40">
            <v>282</v>
          </cell>
          <cell r="E40">
            <v>-478322.62464426819</v>
          </cell>
          <cell r="F40">
            <v>-478322.62464426819</v>
          </cell>
          <cell r="G40">
            <v>0</v>
          </cell>
          <cell r="H40">
            <v>-96588</v>
          </cell>
          <cell r="I40">
            <v>-42364</v>
          </cell>
          <cell r="J40">
            <v>-138952</v>
          </cell>
          <cell r="K40">
            <v>0</v>
          </cell>
          <cell r="L40">
            <v>0</v>
          </cell>
          <cell r="M40">
            <v>0</v>
          </cell>
          <cell r="N40">
            <v>-96588</v>
          </cell>
          <cell r="O40">
            <v>-42364</v>
          </cell>
          <cell r="P40">
            <v>-138952</v>
          </cell>
          <cell r="Q40">
            <v>96588</v>
          </cell>
          <cell r="R40">
            <v>42364</v>
          </cell>
          <cell r="S40">
            <v>138952</v>
          </cell>
          <cell r="T40">
            <v>0</v>
          </cell>
          <cell r="U40">
            <v>0</v>
          </cell>
          <cell r="V40">
            <v>0</v>
          </cell>
          <cell r="W40">
            <v>0</v>
          </cell>
          <cell r="X40">
            <v>0</v>
          </cell>
          <cell r="Y40">
            <v>0</v>
          </cell>
          <cell r="Z40">
            <v>0</v>
          </cell>
          <cell r="AA40">
            <v>0</v>
          </cell>
          <cell r="AB40">
            <v>0</v>
          </cell>
        </row>
        <row r="41">
          <cell r="C41" t="str">
            <v>T220</v>
          </cell>
          <cell r="D41">
            <v>282</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C42" t="str">
            <v>T230</v>
          </cell>
          <cell r="D42">
            <v>282</v>
          </cell>
          <cell r="E42">
            <v>10291.069999999949</v>
          </cell>
          <cell r="F42">
            <v>0</v>
          </cell>
          <cell r="G42">
            <v>10291.069999999949</v>
          </cell>
          <cell r="H42">
            <v>0</v>
          </cell>
          <cell r="I42">
            <v>0</v>
          </cell>
          <cell r="J42">
            <v>0</v>
          </cell>
          <cell r="K42">
            <v>2078</v>
          </cell>
          <cell r="L42">
            <v>911</v>
          </cell>
          <cell r="M42">
            <v>2989</v>
          </cell>
          <cell r="N42">
            <v>2078</v>
          </cell>
          <cell r="O42">
            <v>911</v>
          </cell>
          <cell r="P42">
            <v>2989</v>
          </cell>
          <cell r="Q42">
            <v>0</v>
          </cell>
          <cell r="R42">
            <v>0</v>
          </cell>
          <cell r="S42">
            <v>0</v>
          </cell>
          <cell r="T42">
            <v>0</v>
          </cell>
          <cell r="U42">
            <v>0</v>
          </cell>
          <cell r="V42">
            <v>0</v>
          </cell>
          <cell r="W42">
            <v>0</v>
          </cell>
          <cell r="X42">
            <v>0</v>
          </cell>
          <cell r="Y42">
            <v>0</v>
          </cell>
          <cell r="Z42">
            <v>-2078</v>
          </cell>
          <cell r="AA42">
            <v>-911</v>
          </cell>
          <cell r="AB42">
            <v>-2989</v>
          </cell>
        </row>
        <row r="43">
          <cell r="C43" t="str">
            <v>T240</v>
          </cell>
          <cell r="D43">
            <v>282</v>
          </cell>
          <cell r="E43">
            <v>-2894.977154551807</v>
          </cell>
          <cell r="F43">
            <v>0</v>
          </cell>
          <cell r="G43">
            <v>-2894.977154551807</v>
          </cell>
          <cell r="H43">
            <v>0</v>
          </cell>
          <cell r="I43">
            <v>0</v>
          </cell>
          <cell r="J43">
            <v>0</v>
          </cell>
          <cell r="K43">
            <v>-585</v>
          </cell>
          <cell r="L43">
            <v>-256</v>
          </cell>
          <cell r="M43">
            <v>-841</v>
          </cell>
          <cell r="N43">
            <v>-585</v>
          </cell>
          <cell r="O43">
            <v>-256</v>
          </cell>
          <cell r="P43">
            <v>-841</v>
          </cell>
          <cell r="Q43">
            <v>0</v>
          </cell>
          <cell r="R43">
            <v>0</v>
          </cell>
          <cell r="S43">
            <v>0</v>
          </cell>
          <cell r="T43">
            <v>0</v>
          </cell>
          <cell r="U43">
            <v>0</v>
          </cell>
          <cell r="V43">
            <v>0</v>
          </cell>
          <cell r="W43">
            <v>585</v>
          </cell>
          <cell r="X43">
            <v>256</v>
          </cell>
          <cell r="Y43">
            <v>841</v>
          </cell>
          <cell r="Z43">
            <v>0</v>
          </cell>
          <cell r="AA43">
            <v>0</v>
          </cell>
          <cell r="AB43">
            <v>0</v>
          </cell>
        </row>
        <row r="44">
          <cell r="C44" t="str">
            <v>T300</v>
          </cell>
          <cell r="D44">
            <v>283</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row>
        <row r="45">
          <cell r="C45" t="str">
            <v>T310</v>
          </cell>
          <cell r="D45">
            <v>283</v>
          </cell>
          <cell r="E45">
            <v>-148253.69999999995</v>
          </cell>
          <cell r="F45">
            <v>0</v>
          </cell>
          <cell r="G45">
            <v>-148253.69999999995</v>
          </cell>
          <cell r="H45">
            <v>0</v>
          </cell>
          <cell r="I45">
            <v>0</v>
          </cell>
          <cell r="J45">
            <v>0</v>
          </cell>
          <cell r="K45">
            <v>-29937</v>
          </cell>
          <cell r="L45">
            <v>-13131</v>
          </cell>
          <cell r="M45">
            <v>-43068</v>
          </cell>
          <cell r="N45">
            <v>-29937</v>
          </cell>
          <cell r="O45">
            <v>-13131</v>
          </cell>
          <cell r="P45">
            <v>-43068</v>
          </cell>
          <cell r="Q45">
            <v>0</v>
          </cell>
          <cell r="R45">
            <v>0</v>
          </cell>
          <cell r="S45">
            <v>0</v>
          </cell>
          <cell r="T45">
            <v>0</v>
          </cell>
          <cell r="U45">
            <v>0</v>
          </cell>
          <cell r="V45">
            <v>0</v>
          </cell>
          <cell r="W45">
            <v>29937</v>
          </cell>
          <cell r="X45">
            <v>13131</v>
          </cell>
          <cell r="Y45">
            <v>43068</v>
          </cell>
          <cell r="Z45">
            <v>0</v>
          </cell>
          <cell r="AA45">
            <v>0</v>
          </cell>
          <cell r="AB45">
            <v>0</v>
          </cell>
        </row>
        <row r="46">
          <cell r="C46" t="str">
            <v>T320</v>
          </cell>
          <cell r="D46">
            <v>283</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row>
        <row r="47">
          <cell r="C47" t="str">
            <v>T400</v>
          </cell>
          <cell r="D47">
            <v>283</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row>
        <row r="48">
          <cell r="C48" t="str">
            <v>T410</v>
          </cell>
          <cell r="D48">
            <v>283</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row>
        <row r="49">
          <cell r="C49" t="str">
            <v>T500</v>
          </cell>
          <cell r="D49">
            <v>283</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row>
        <row r="50">
          <cell r="C50" t="str">
            <v>T600</v>
          </cell>
          <cell r="D50">
            <v>283</v>
          </cell>
          <cell r="E50">
            <v>256412.81000000006</v>
          </cell>
          <cell r="F50">
            <v>256412.81000000006</v>
          </cell>
          <cell r="G50">
            <v>0</v>
          </cell>
          <cell r="H50">
            <v>51778</v>
          </cell>
          <cell r="I50">
            <v>22710</v>
          </cell>
          <cell r="J50">
            <v>74488</v>
          </cell>
          <cell r="K50">
            <v>0</v>
          </cell>
          <cell r="L50">
            <v>0</v>
          </cell>
          <cell r="M50">
            <v>0</v>
          </cell>
          <cell r="N50">
            <v>51778</v>
          </cell>
          <cell r="O50">
            <v>22710</v>
          </cell>
          <cell r="P50">
            <v>74488</v>
          </cell>
          <cell r="Q50">
            <v>0</v>
          </cell>
          <cell r="R50">
            <v>0</v>
          </cell>
          <cell r="S50">
            <v>0</v>
          </cell>
          <cell r="T50">
            <v>-51778</v>
          </cell>
          <cell r="U50">
            <v>-22710</v>
          </cell>
          <cell r="V50">
            <v>-74488</v>
          </cell>
          <cell r="W50">
            <v>0</v>
          </cell>
          <cell r="X50">
            <v>0</v>
          </cell>
          <cell r="Y50">
            <v>0</v>
          </cell>
          <cell r="Z50">
            <v>0</v>
          </cell>
          <cell r="AA50">
            <v>0</v>
          </cell>
          <cell r="AB50">
            <v>0</v>
          </cell>
        </row>
        <row r="51">
          <cell r="C51" t="str">
            <v>T700</v>
          </cell>
          <cell r="D51">
            <v>283</v>
          </cell>
          <cell r="E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row>
        <row r="52">
          <cell r="C52" t="str">
            <v>T999</v>
          </cell>
          <cell r="D52">
            <v>283</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row>
        <row r="53">
          <cell r="E53">
            <v>-231823.03219881997</v>
          </cell>
          <cell r="F53">
            <v>-90965.425044268137</v>
          </cell>
          <cell r="G53">
            <v>-140857.60715455181</v>
          </cell>
        </row>
        <row r="55">
          <cell r="E55">
            <v>-1150743.5337942678</v>
          </cell>
          <cell r="F55">
            <v>-1150743.5337942678</v>
          </cell>
          <cell r="G55">
            <v>0</v>
          </cell>
        </row>
        <row r="56">
          <cell r="C56" t="str">
            <v>Federal_NOL</v>
          </cell>
          <cell r="E56">
            <v>1150743.5337942678</v>
          </cell>
          <cell r="F56">
            <v>1150743.5337942678</v>
          </cell>
          <cell r="G56">
            <v>0</v>
          </cell>
          <cell r="H56">
            <v>232371</v>
          </cell>
          <cell r="I56">
            <v>0</v>
          </cell>
          <cell r="J56">
            <v>232371</v>
          </cell>
          <cell r="K56">
            <v>0</v>
          </cell>
          <cell r="L56">
            <v>0</v>
          </cell>
          <cell r="M56">
            <v>0</v>
          </cell>
          <cell r="N56">
            <v>232371</v>
          </cell>
          <cell r="O56">
            <v>0</v>
          </cell>
          <cell r="P56">
            <v>232371</v>
          </cell>
          <cell r="Q56">
            <v>0</v>
          </cell>
          <cell r="R56">
            <v>0</v>
          </cell>
          <cell r="S56">
            <v>0</v>
          </cell>
          <cell r="T56">
            <v>-232371</v>
          </cell>
          <cell r="U56">
            <v>0</v>
          </cell>
          <cell r="V56">
            <v>-232371</v>
          </cell>
          <cell r="W56">
            <v>0</v>
          </cell>
          <cell r="X56">
            <v>0</v>
          </cell>
          <cell r="Y56">
            <v>0</v>
          </cell>
          <cell r="Z56">
            <v>0</v>
          </cell>
          <cell r="AA56">
            <v>0</v>
          </cell>
          <cell r="AB56">
            <v>0</v>
          </cell>
        </row>
        <row r="57">
          <cell r="C57" t="str">
            <v>Federal_TEO</v>
          </cell>
          <cell r="E57">
            <v>0</v>
          </cell>
          <cell r="F57">
            <v>0</v>
          </cell>
          <cell r="G57">
            <v>0</v>
          </cell>
          <cell r="H57">
            <v>0</v>
          </cell>
          <cell r="I57">
            <v>0</v>
          </cell>
          <cell r="J57">
            <v>0</v>
          </cell>
          <cell r="K57">
            <v>0</v>
          </cell>
          <cell r="L57">
            <v>0</v>
          </cell>
          <cell r="M57">
            <v>0</v>
          </cell>
          <cell r="N57">
            <v>0</v>
          </cell>
          <cell r="O57">
            <v>0</v>
          </cell>
          <cell r="P57">
            <v>0</v>
          </cell>
          <cell r="Q57">
            <v>-45119</v>
          </cell>
          <cell r="R57">
            <v>0</v>
          </cell>
          <cell r="S57">
            <v>-45119</v>
          </cell>
          <cell r="T57">
            <v>145086</v>
          </cell>
          <cell r="U57">
            <v>0</v>
          </cell>
          <cell r="V57">
            <v>145086</v>
          </cell>
          <cell r="W57">
            <v>-14258</v>
          </cell>
          <cell r="X57">
            <v>0</v>
          </cell>
          <cell r="Y57">
            <v>-14258</v>
          </cell>
          <cell r="Z57">
            <v>971</v>
          </cell>
          <cell r="AA57">
            <v>0</v>
          </cell>
          <cell r="AB57">
            <v>971</v>
          </cell>
        </row>
        <row r="58">
          <cell r="E58">
            <v>0</v>
          </cell>
          <cell r="F58">
            <v>0</v>
          </cell>
          <cell r="G58">
            <v>0</v>
          </cell>
        </row>
        <row r="60">
          <cell r="C60" t="str">
            <v>State_IT</v>
          </cell>
          <cell r="E60">
            <v>0</v>
          </cell>
          <cell r="F60">
            <v>0</v>
          </cell>
          <cell r="G60">
            <v>0</v>
          </cell>
        </row>
        <row r="61">
          <cell r="C61" t="str">
            <v>State_Dep</v>
          </cell>
          <cell r="E61">
            <v>0</v>
          </cell>
          <cell r="F61">
            <v>0</v>
          </cell>
          <cell r="G61">
            <v>0</v>
          </cell>
        </row>
        <row r="62">
          <cell r="E62">
            <v>-1150743.5337942678</v>
          </cell>
          <cell r="F62">
            <v>-1150743.5337942678</v>
          </cell>
          <cell r="G62">
            <v>0</v>
          </cell>
        </row>
        <row r="63">
          <cell r="C63" t="str">
            <v>State_NOL</v>
          </cell>
          <cell r="E63">
            <v>1150743.5337942678</v>
          </cell>
          <cell r="F63">
            <v>1150743.5337942678</v>
          </cell>
          <cell r="G63">
            <v>0</v>
          </cell>
          <cell r="H63">
            <v>0</v>
          </cell>
          <cell r="I63">
            <v>101920</v>
          </cell>
          <cell r="J63">
            <v>101920</v>
          </cell>
          <cell r="K63">
            <v>0</v>
          </cell>
          <cell r="L63">
            <v>0</v>
          </cell>
          <cell r="M63">
            <v>0</v>
          </cell>
          <cell r="N63">
            <v>0</v>
          </cell>
          <cell r="O63">
            <v>101920</v>
          </cell>
          <cell r="P63">
            <v>101920</v>
          </cell>
          <cell r="Q63">
            <v>0</v>
          </cell>
          <cell r="R63">
            <v>0</v>
          </cell>
          <cell r="S63">
            <v>0</v>
          </cell>
          <cell r="T63">
            <v>0</v>
          </cell>
          <cell r="U63">
            <v>-101920</v>
          </cell>
          <cell r="V63">
            <v>-101920</v>
          </cell>
          <cell r="W63">
            <v>0</v>
          </cell>
          <cell r="X63">
            <v>0</v>
          </cell>
          <cell r="Y63">
            <v>0</v>
          </cell>
          <cell r="Z63">
            <v>0</v>
          </cell>
          <cell r="AA63">
            <v>0</v>
          </cell>
          <cell r="AB63">
            <v>0</v>
          </cell>
        </row>
        <row r="64">
          <cell r="C64" t="str">
            <v>State_TEO</v>
          </cell>
          <cell r="E64">
            <v>0</v>
          </cell>
          <cell r="F64">
            <v>0</v>
          </cell>
          <cell r="G64">
            <v>0</v>
          </cell>
          <cell r="H64">
            <v>0</v>
          </cell>
          <cell r="I64">
            <v>0</v>
          </cell>
          <cell r="J64">
            <v>0</v>
          </cell>
          <cell r="K64">
            <v>0</v>
          </cell>
          <cell r="L64">
            <v>0</v>
          </cell>
          <cell r="M64">
            <v>0</v>
          </cell>
          <cell r="N64">
            <v>0</v>
          </cell>
          <cell r="O64">
            <v>0</v>
          </cell>
          <cell r="P64">
            <v>0</v>
          </cell>
          <cell r="Q64">
            <v>0</v>
          </cell>
          <cell r="R64">
            <v>-19790</v>
          </cell>
          <cell r="S64">
            <v>-19790</v>
          </cell>
          <cell r="T64">
            <v>0</v>
          </cell>
          <cell r="U64">
            <v>63636</v>
          </cell>
          <cell r="V64">
            <v>63636</v>
          </cell>
          <cell r="W64">
            <v>0</v>
          </cell>
          <cell r="X64">
            <v>-6253</v>
          </cell>
          <cell r="Y64">
            <v>-6253</v>
          </cell>
          <cell r="Z64">
            <v>0</v>
          </cell>
          <cell r="AA64">
            <v>426</v>
          </cell>
          <cell r="AB64">
            <v>426</v>
          </cell>
        </row>
        <row r="65">
          <cell r="E65">
            <v>0</v>
          </cell>
          <cell r="F65">
            <v>0</v>
          </cell>
          <cell r="G65">
            <v>0</v>
          </cell>
        </row>
        <row r="67">
          <cell r="C67" t="str">
            <v>Rounding</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row>
        <row r="68">
          <cell r="C68" t="str">
            <v>Tax_Credit_1</v>
          </cell>
          <cell r="E68">
            <v>0</v>
          </cell>
          <cell r="F68">
            <v>0</v>
          </cell>
          <cell r="G68">
            <v>0</v>
          </cell>
        </row>
        <row r="69">
          <cell r="H69">
            <v>1</v>
          </cell>
          <cell r="I69">
            <v>1</v>
          </cell>
          <cell r="J69">
            <v>2</v>
          </cell>
          <cell r="K69">
            <v>-1</v>
          </cell>
          <cell r="L69">
            <v>-1</v>
          </cell>
          <cell r="M69">
            <v>-2</v>
          </cell>
          <cell r="N69">
            <v>0</v>
          </cell>
          <cell r="O69">
            <v>0</v>
          </cell>
          <cell r="P69">
            <v>0</v>
          </cell>
          <cell r="Q69">
            <v>51469</v>
          </cell>
          <cell r="R69">
            <v>22574</v>
          </cell>
          <cell r="S69">
            <v>74043</v>
          </cell>
          <cell r="T69">
            <v>-165505</v>
          </cell>
          <cell r="U69">
            <v>-72592</v>
          </cell>
          <cell r="V69">
            <v>-238097</v>
          </cell>
          <cell r="W69">
            <v>16264</v>
          </cell>
          <cell r="X69">
            <v>7134</v>
          </cell>
          <cell r="Y69">
            <v>23398</v>
          </cell>
          <cell r="Z69">
            <v>-1107</v>
          </cell>
          <cell r="AA69">
            <v>-485</v>
          </cell>
          <cell r="AB69">
            <v>-1592</v>
          </cell>
        </row>
        <row r="72">
          <cell r="C72" t="str">
            <v>Discrete_1</v>
          </cell>
          <cell r="E72">
            <v>0</v>
          </cell>
          <cell r="F72">
            <v>0</v>
          </cell>
          <cell r="G72">
            <v>0</v>
          </cell>
        </row>
        <row r="73">
          <cell r="C73" t="str">
            <v>Discrete_2</v>
          </cell>
          <cell r="E73">
            <v>0</v>
          </cell>
          <cell r="F73">
            <v>0</v>
          </cell>
          <cell r="G73">
            <v>0</v>
          </cell>
        </row>
        <row r="75">
          <cell r="H75">
            <v>1</v>
          </cell>
          <cell r="I75">
            <v>1</v>
          </cell>
          <cell r="J75">
            <v>2</v>
          </cell>
          <cell r="K75">
            <v>-1</v>
          </cell>
          <cell r="L75">
            <v>-1</v>
          </cell>
          <cell r="M75">
            <v>-2</v>
          </cell>
          <cell r="N75">
            <v>0</v>
          </cell>
          <cell r="O75">
            <v>0</v>
          </cell>
          <cell r="P75">
            <v>0</v>
          </cell>
          <cell r="Q75">
            <v>51469</v>
          </cell>
          <cell r="R75">
            <v>22574</v>
          </cell>
          <cell r="S75">
            <v>74043</v>
          </cell>
          <cell r="T75">
            <v>-165505</v>
          </cell>
          <cell r="U75">
            <v>-72592</v>
          </cell>
          <cell r="V75">
            <v>-238097</v>
          </cell>
          <cell r="W75">
            <v>16264</v>
          </cell>
          <cell r="X75">
            <v>7134</v>
          </cell>
          <cell r="Y75">
            <v>23398</v>
          </cell>
          <cell r="Z75">
            <v>-1107</v>
          </cell>
          <cell r="AA75">
            <v>-485</v>
          </cell>
          <cell r="AB75">
            <v>-1592</v>
          </cell>
        </row>
        <row r="358">
          <cell r="C358" t="str">
            <v>PTBI</v>
          </cell>
          <cell r="E358">
            <v>314525.46033222787</v>
          </cell>
          <cell r="F358">
            <v>-1170080.3242570397</v>
          </cell>
          <cell r="G358">
            <v>1484605.7845892676</v>
          </cell>
          <cell r="H358">
            <v>-236275</v>
          </cell>
          <cell r="I358">
            <v>-103632</v>
          </cell>
          <cell r="J358">
            <v>-339907</v>
          </cell>
          <cell r="K358">
            <v>299788</v>
          </cell>
          <cell r="L358">
            <v>131490</v>
          </cell>
          <cell r="M358">
            <v>431278</v>
          </cell>
          <cell r="N358">
            <v>63513</v>
          </cell>
          <cell r="O358">
            <v>27858</v>
          </cell>
          <cell r="P358">
            <v>91371</v>
          </cell>
          <cell r="Q358">
            <v>0</v>
          </cell>
          <cell r="R358">
            <v>0</v>
          </cell>
          <cell r="S358">
            <v>0</v>
          </cell>
          <cell r="T358">
            <v>0</v>
          </cell>
          <cell r="U358">
            <v>0</v>
          </cell>
          <cell r="V358">
            <v>0</v>
          </cell>
          <cell r="W358">
            <v>0</v>
          </cell>
          <cell r="X358">
            <v>0</v>
          </cell>
          <cell r="Y358">
            <v>0</v>
          </cell>
          <cell r="Z358">
            <v>0</v>
          </cell>
          <cell r="AA358">
            <v>0</v>
          </cell>
          <cell r="AB358">
            <v>0</v>
          </cell>
        </row>
        <row r="361">
          <cell r="C361" t="str">
            <v>P100</v>
          </cell>
          <cell r="E361">
            <v>7131.1600000000008</v>
          </cell>
          <cell r="F361">
            <v>7131.1600000000008</v>
          </cell>
          <cell r="G361">
            <v>0</v>
          </cell>
          <cell r="H361">
            <v>1440</v>
          </cell>
          <cell r="I361">
            <v>632</v>
          </cell>
          <cell r="J361">
            <v>2072</v>
          </cell>
          <cell r="K361">
            <v>0</v>
          </cell>
          <cell r="L361">
            <v>0</v>
          </cell>
          <cell r="M361">
            <v>0</v>
          </cell>
          <cell r="N361">
            <v>1440</v>
          </cell>
          <cell r="O361">
            <v>632</v>
          </cell>
          <cell r="P361">
            <v>2072</v>
          </cell>
          <cell r="Q361">
            <v>0</v>
          </cell>
          <cell r="R361">
            <v>0</v>
          </cell>
          <cell r="S361">
            <v>0</v>
          </cell>
          <cell r="T361">
            <v>0</v>
          </cell>
          <cell r="U361">
            <v>0</v>
          </cell>
          <cell r="V361">
            <v>0</v>
          </cell>
          <cell r="W361">
            <v>0</v>
          </cell>
          <cell r="X361">
            <v>0</v>
          </cell>
          <cell r="Y361">
            <v>0</v>
          </cell>
          <cell r="Z361">
            <v>0</v>
          </cell>
          <cell r="AA361">
            <v>0</v>
          </cell>
          <cell r="AB361">
            <v>0</v>
          </cell>
        </row>
        <row r="362">
          <cell r="C362" t="str">
            <v>P200</v>
          </cell>
          <cell r="E362">
            <v>13102.640000000001</v>
          </cell>
          <cell r="F362">
            <v>0</v>
          </cell>
          <cell r="G362">
            <v>13102.640000000001</v>
          </cell>
          <cell r="H362">
            <v>0</v>
          </cell>
          <cell r="I362">
            <v>0</v>
          </cell>
          <cell r="J362">
            <v>0</v>
          </cell>
          <cell r="K362">
            <v>2646</v>
          </cell>
          <cell r="L362">
            <v>1160</v>
          </cell>
          <cell r="M362">
            <v>3806</v>
          </cell>
          <cell r="N362">
            <v>2646</v>
          </cell>
          <cell r="O362">
            <v>1160</v>
          </cell>
          <cell r="P362">
            <v>3806</v>
          </cell>
          <cell r="Q362">
            <v>0</v>
          </cell>
          <cell r="R362">
            <v>0</v>
          </cell>
          <cell r="S362">
            <v>0</v>
          </cell>
          <cell r="T362">
            <v>0</v>
          </cell>
          <cell r="U362">
            <v>0</v>
          </cell>
          <cell r="V362">
            <v>0</v>
          </cell>
          <cell r="W362">
            <v>0</v>
          </cell>
          <cell r="X362">
            <v>0</v>
          </cell>
          <cell r="Y362">
            <v>0</v>
          </cell>
          <cell r="Z362">
            <v>0</v>
          </cell>
          <cell r="AA362">
            <v>0</v>
          </cell>
          <cell r="AB362">
            <v>0</v>
          </cell>
        </row>
        <row r="363">
          <cell r="C363" t="str">
            <v>P300</v>
          </cell>
          <cell r="E363">
            <v>1026885.4</v>
          </cell>
          <cell r="F363">
            <v>0</v>
          </cell>
          <cell r="G363">
            <v>1026885.4</v>
          </cell>
          <cell r="H363">
            <v>0</v>
          </cell>
          <cell r="I363">
            <v>0</v>
          </cell>
          <cell r="J363">
            <v>0</v>
          </cell>
          <cell r="K363">
            <v>207360</v>
          </cell>
          <cell r="L363">
            <v>90950</v>
          </cell>
          <cell r="M363">
            <v>298310</v>
          </cell>
          <cell r="N363">
            <v>207360</v>
          </cell>
          <cell r="O363">
            <v>90950</v>
          </cell>
          <cell r="P363">
            <v>298310</v>
          </cell>
          <cell r="Q363">
            <v>0</v>
          </cell>
          <cell r="R363">
            <v>0</v>
          </cell>
          <cell r="S363">
            <v>0</v>
          </cell>
          <cell r="T363">
            <v>0</v>
          </cell>
          <cell r="U363">
            <v>0</v>
          </cell>
          <cell r="V363">
            <v>0</v>
          </cell>
          <cell r="W363">
            <v>0</v>
          </cell>
          <cell r="X363">
            <v>0</v>
          </cell>
          <cell r="Y363">
            <v>0</v>
          </cell>
          <cell r="Z363">
            <v>0</v>
          </cell>
          <cell r="AA363">
            <v>0</v>
          </cell>
          <cell r="AB363">
            <v>0</v>
          </cell>
        </row>
        <row r="364">
          <cell r="C364" t="str">
            <v>P999</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v>0</v>
          </cell>
        </row>
        <row r="365">
          <cell r="E365">
            <v>1047119.2000000001</v>
          </cell>
          <cell r="F365">
            <v>7131.1600000000008</v>
          </cell>
          <cell r="G365">
            <v>1039988.04</v>
          </cell>
        </row>
        <row r="368">
          <cell r="C368" t="str">
            <v>F100</v>
          </cell>
          <cell r="E368">
            <v>-75193.766381792768</v>
          </cell>
          <cell r="F368">
            <v>0</v>
          </cell>
          <cell r="G368">
            <v>-75193.766381792768</v>
          </cell>
          <cell r="H368">
            <v>0</v>
          </cell>
          <cell r="I368">
            <v>0</v>
          </cell>
          <cell r="J368">
            <v>0</v>
          </cell>
          <cell r="K368">
            <v>-15184</v>
          </cell>
          <cell r="L368">
            <v>-6660</v>
          </cell>
          <cell r="M368">
            <v>-21844</v>
          </cell>
          <cell r="N368">
            <v>-15184</v>
          </cell>
          <cell r="O368">
            <v>-6660</v>
          </cell>
          <cell r="P368">
            <v>-21844</v>
          </cell>
          <cell r="Q368">
            <v>0</v>
          </cell>
          <cell r="R368">
            <v>0</v>
          </cell>
          <cell r="S368">
            <v>0</v>
          </cell>
          <cell r="T368">
            <v>0</v>
          </cell>
          <cell r="U368">
            <v>0</v>
          </cell>
          <cell r="V368">
            <v>0</v>
          </cell>
          <cell r="W368">
            <v>0</v>
          </cell>
          <cell r="X368">
            <v>0</v>
          </cell>
          <cell r="Y368">
            <v>0</v>
          </cell>
          <cell r="Z368">
            <v>0</v>
          </cell>
          <cell r="AA368">
            <v>0</v>
          </cell>
          <cell r="AB368">
            <v>0</v>
          </cell>
        </row>
        <row r="369">
          <cell r="C369" t="str">
            <v>F100</v>
          </cell>
          <cell r="E369">
            <v>0</v>
          </cell>
          <cell r="F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row>
        <row r="370">
          <cell r="C370" t="str">
            <v>F200</v>
          </cell>
          <cell r="E370">
            <v>-2149123.268818547</v>
          </cell>
          <cell r="F370">
            <v>0</v>
          </cell>
          <cell r="G370">
            <v>-2149123.268818547</v>
          </cell>
          <cell r="H370">
            <v>0</v>
          </cell>
          <cell r="I370">
            <v>0</v>
          </cell>
          <cell r="J370">
            <v>0</v>
          </cell>
          <cell r="K370">
            <v>-433975</v>
          </cell>
          <cell r="L370">
            <v>-190345</v>
          </cell>
          <cell r="M370">
            <v>-624320</v>
          </cell>
          <cell r="N370">
            <v>-433975</v>
          </cell>
          <cell r="O370">
            <v>-190345</v>
          </cell>
          <cell r="P370">
            <v>-624320</v>
          </cell>
          <cell r="Q370">
            <v>0</v>
          </cell>
          <cell r="R370">
            <v>0</v>
          </cell>
          <cell r="S370">
            <v>0</v>
          </cell>
          <cell r="T370">
            <v>0</v>
          </cell>
          <cell r="U370">
            <v>0</v>
          </cell>
          <cell r="V370">
            <v>0</v>
          </cell>
          <cell r="W370">
            <v>0</v>
          </cell>
          <cell r="X370">
            <v>0</v>
          </cell>
          <cell r="Y370">
            <v>0</v>
          </cell>
          <cell r="Z370">
            <v>0</v>
          </cell>
          <cell r="AA370">
            <v>0</v>
          </cell>
          <cell r="AB370">
            <v>0</v>
          </cell>
        </row>
        <row r="371">
          <cell r="C371" t="str">
            <v>F999</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B371">
            <v>0</v>
          </cell>
        </row>
        <row r="372">
          <cell r="E372">
            <v>-2224317.0352003397</v>
          </cell>
          <cell r="F372">
            <v>0</v>
          </cell>
          <cell r="G372">
            <v>-2224317.0352003397</v>
          </cell>
        </row>
        <row r="375">
          <cell r="C375" t="str">
            <v>T100</v>
          </cell>
          <cell r="D375">
            <v>190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row>
        <row r="376">
          <cell r="C376" t="str">
            <v>T200</v>
          </cell>
          <cell r="D376">
            <v>282</v>
          </cell>
          <cell r="E376">
            <v>574187.26217600121</v>
          </cell>
          <cell r="F376">
            <v>574187.26217600121</v>
          </cell>
          <cell r="G376">
            <v>0</v>
          </cell>
          <cell r="H376">
            <v>115946</v>
          </cell>
          <cell r="I376">
            <v>50855</v>
          </cell>
          <cell r="J376">
            <v>166801</v>
          </cell>
          <cell r="K376">
            <v>0</v>
          </cell>
          <cell r="L376">
            <v>0</v>
          </cell>
          <cell r="M376">
            <v>0</v>
          </cell>
          <cell r="N376">
            <v>115946</v>
          </cell>
          <cell r="O376">
            <v>50855</v>
          </cell>
          <cell r="P376">
            <v>166801</v>
          </cell>
          <cell r="Q376">
            <v>0</v>
          </cell>
          <cell r="R376">
            <v>0</v>
          </cell>
          <cell r="S376">
            <v>0</v>
          </cell>
          <cell r="T376">
            <v>-115946</v>
          </cell>
          <cell r="U376">
            <v>-50855</v>
          </cell>
          <cell r="V376">
            <v>-166801</v>
          </cell>
          <cell r="W376">
            <v>0</v>
          </cell>
          <cell r="X376">
            <v>0</v>
          </cell>
          <cell r="Y376">
            <v>0</v>
          </cell>
          <cell r="Z376">
            <v>0</v>
          </cell>
          <cell r="AA376">
            <v>0</v>
          </cell>
          <cell r="AB376">
            <v>0</v>
          </cell>
        </row>
        <row r="377">
          <cell r="C377" t="str">
            <v>T210</v>
          </cell>
          <cell r="D377">
            <v>282</v>
          </cell>
          <cell r="E377">
            <v>-1913290.4985770728</v>
          </cell>
          <cell r="F377">
            <v>-1913290.4985770728</v>
          </cell>
          <cell r="G377">
            <v>0</v>
          </cell>
          <cell r="H377">
            <v>-386353</v>
          </cell>
          <cell r="I377">
            <v>-169458</v>
          </cell>
          <cell r="J377">
            <v>-555811</v>
          </cell>
          <cell r="K377">
            <v>0</v>
          </cell>
          <cell r="L377">
            <v>0</v>
          </cell>
          <cell r="M377">
            <v>0</v>
          </cell>
          <cell r="N377">
            <v>-386353</v>
          </cell>
          <cell r="O377">
            <v>-169458</v>
          </cell>
          <cell r="P377">
            <v>-555811</v>
          </cell>
          <cell r="Q377">
            <v>386353</v>
          </cell>
          <cell r="R377">
            <v>169458</v>
          </cell>
          <cell r="S377">
            <v>555811</v>
          </cell>
          <cell r="T377">
            <v>0</v>
          </cell>
          <cell r="U377">
            <v>0</v>
          </cell>
          <cell r="V377">
            <v>0</v>
          </cell>
          <cell r="W377">
            <v>0</v>
          </cell>
          <cell r="X377">
            <v>0</v>
          </cell>
          <cell r="Y377">
            <v>0</v>
          </cell>
          <cell r="Z377">
            <v>0</v>
          </cell>
          <cell r="AA377">
            <v>0</v>
          </cell>
          <cell r="AB377">
            <v>0</v>
          </cell>
        </row>
        <row r="378">
          <cell r="C378" t="str">
            <v>T220</v>
          </cell>
          <cell r="D378">
            <v>282</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row>
        <row r="379">
          <cell r="C379" t="str">
            <v>T230</v>
          </cell>
          <cell r="D379">
            <v>282</v>
          </cell>
          <cell r="E379">
            <v>10291.069999999949</v>
          </cell>
          <cell r="F379">
            <v>0</v>
          </cell>
          <cell r="G379">
            <v>10291.069999999949</v>
          </cell>
          <cell r="H379">
            <v>0</v>
          </cell>
          <cell r="I379">
            <v>0</v>
          </cell>
          <cell r="J379">
            <v>0</v>
          </cell>
          <cell r="K379">
            <v>2078</v>
          </cell>
          <cell r="L379">
            <v>911</v>
          </cell>
          <cell r="M379">
            <v>2989</v>
          </cell>
          <cell r="N379">
            <v>2078</v>
          </cell>
          <cell r="O379">
            <v>911</v>
          </cell>
          <cell r="P379">
            <v>2989</v>
          </cell>
          <cell r="Q379">
            <v>0</v>
          </cell>
          <cell r="R379">
            <v>0</v>
          </cell>
          <cell r="S379">
            <v>0</v>
          </cell>
          <cell r="T379">
            <v>0</v>
          </cell>
          <cell r="U379">
            <v>0</v>
          </cell>
          <cell r="V379">
            <v>0</v>
          </cell>
          <cell r="W379">
            <v>0</v>
          </cell>
          <cell r="X379">
            <v>0</v>
          </cell>
          <cell r="Y379">
            <v>0</v>
          </cell>
          <cell r="Z379">
            <v>-2078</v>
          </cell>
          <cell r="AA379">
            <v>-911</v>
          </cell>
          <cell r="AB379">
            <v>-2989</v>
          </cell>
        </row>
        <row r="380">
          <cell r="C380" t="str">
            <v>T240</v>
          </cell>
          <cell r="D380">
            <v>282</v>
          </cell>
          <cell r="E380">
            <v>-11579.908618207228</v>
          </cell>
          <cell r="F380">
            <v>0</v>
          </cell>
          <cell r="G380">
            <v>-11579.908618207228</v>
          </cell>
          <cell r="H380">
            <v>0</v>
          </cell>
          <cell r="I380">
            <v>0</v>
          </cell>
          <cell r="J380">
            <v>0</v>
          </cell>
          <cell r="K380">
            <v>-2338</v>
          </cell>
          <cell r="L380">
            <v>-1026</v>
          </cell>
          <cell r="M380">
            <v>-3364</v>
          </cell>
          <cell r="N380">
            <v>-2338</v>
          </cell>
          <cell r="O380">
            <v>-1026</v>
          </cell>
          <cell r="P380">
            <v>-3364</v>
          </cell>
          <cell r="Q380">
            <v>0</v>
          </cell>
          <cell r="R380">
            <v>0</v>
          </cell>
          <cell r="S380">
            <v>0</v>
          </cell>
          <cell r="T380">
            <v>0</v>
          </cell>
          <cell r="U380">
            <v>0</v>
          </cell>
          <cell r="V380">
            <v>0</v>
          </cell>
          <cell r="W380">
            <v>2338</v>
          </cell>
          <cell r="X380">
            <v>1026</v>
          </cell>
          <cell r="Y380">
            <v>3364</v>
          </cell>
          <cell r="Z380">
            <v>0</v>
          </cell>
          <cell r="AA380">
            <v>0</v>
          </cell>
          <cell r="AB380">
            <v>0</v>
          </cell>
        </row>
        <row r="381">
          <cell r="C381" t="str">
            <v>T300</v>
          </cell>
          <cell r="D381">
            <v>283</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cell r="Y381">
            <v>0</v>
          </cell>
          <cell r="Z381">
            <v>0</v>
          </cell>
          <cell r="AA381">
            <v>0</v>
          </cell>
          <cell r="AB381">
            <v>0</v>
          </cell>
        </row>
        <row r="382">
          <cell r="C382" t="str">
            <v>T310</v>
          </cell>
          <cell r="D382">
            <v>283</v>
          </cell>
          <cell r="E382">
            <v>-298987.95077072066</v>
          </cell>
          <cell r="F382">
            <v>0</v>
          </cell>
          <cell r="G382">
            <v>-298987.95077072066</v>
          </cell>
          <cell r="H382">
            <v>0</v>
          </cell>
          <cell r="I382">
            <v>0</v>
          </cell>
          <cell r="J382">
            <v>0</v>
          </cell>
          <cell r="K382">
            <v>-60375</v>
          </cell>
          <cell r="L382">
            <v>-26481</v>
          </cell>
          <cell r="M382">
            <v>-86856</v>
          </cell>
          <cell r="N382">
            <v>-60375</v>
          </cell>
          <cell r="O382">
            <v>-26481</v>
          </cell>
          <cell r="P382">
            <v>-86856</v>
          </cell>
          <cell r="Q382">
            <v>0</v>
          </cell>
          <cell r="R382">
            <v>0</v>
          </cell>
          <cell r="S382">
            <v>0</v>
          </cell>
          <cell r="T382">
            <v>0</v>
          </cell>
          <cell r="U382">
            <v>0</v>
          </cell>
          <cell r="V382">
            <v>0</v>
          </cell>
          <cell r="W382">
            <v>60375</v>
          </cell>
          <cell r="X382">
            <v>26481</v>
          </cell>
          <cell r="Y382">
            <v>86856</v>
          </cell>
          <cell r="Z382">
            <v>0</v>
          </cell>
          <cell r="AA382">
            <v>0</v>
          </cell>
          <cell r="AB382">
            <v>0</v>
          </cell>
        </row>
        <row r="383">
          <cell r="C383" t="str">
            <v>T320</v>
          </cell>
          <cell r="D383">
            <v>283</v>
          </cell>
          <cell r="E383">
            <v>-1048811.7094975188</v>
          </cell>
          <cell r="F383">
            <v>-1048811.7094975188</v>
          </cell>
          <cell r="G383">
            <v>0</v>
          </cell>
          <cell r="H383">
            <v>-211788</v>
          </cell>
          <cell r="I383">
            <v>-92892</v>
          </cell>
          <cell r="J383">
            <v>-304680</v>
          </cell>
          <cell r="K383">
            <v>0</v>
          </cell>
          <cell r="L383">
            <v>0</v>
          </cell>
          <cell r="M383">
            <v>0</v>
          </cell>
          <cell r="N383">
            <v>-211788</v>
          </cell>
          <cell r="O383">
            <v>-92892</v>
          </cell>
          <cell r="P383">
            <v>-304680</v>
          </cell>
          <cell r="Q383">
            <v>211788</v>
          </cell>
          <cell r="R383">
            <v>92892</v>
          </cell>
          <cell r="S383">
            <v>304680</v>
          </cell>
          <cell r="T383">
            <v>0</v>
          </cell>
          <cell r="U383">
            <v>0</v>
          </cell>
          <cell r="V383">
            <v>0</v>
          </cell>
          <cell r="W383">
            <v>0</v>
          </cell>
          <cell r="X383">
            <v>0</v>
          </cell>
          <cell r="Y383">
            <v>0</v>
          </cell>
          <cell r="Z383">
            <v>0</v>
          </cell>
          <cell r="AA383">
            <v>0</v>
          </cell>
          <cell r="AB383">
            <v>0</v>
          </cell>
        </row>
        <row r="384">
          <cell r="C384" t="str">
            <v>T400</v>
          </cell>
          <cell r="D384">
            <v>283</v>
          </cell>
          <cell r="E384">
            <v>0</v>
          </cell>
          <cell r="F384">
            <v>0</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v>0</v>
          </cell>
        </row>
        <row r="385">
          <cell r="C385" t="str">
            <v>T410</v>
          </cell>
          <cell r="D385">
            <v>283</v>
          </cell>
          <cell r="E385">
            <v>0</v>
          </cell>
          <cell r="F385">
            <v>0</v>
          </cell>
          <cell r="G385">
            <v>0</v>
          </cell>
          <cell r="H385">
            <v>0</v>
          </cell>
          <cell r="I385">
            <v>0</v>
          </cell>
          <cell r="J385">
            <v>0</v>
          </cell>
          <cell r="K385">
            <v>0</v>
          </cell>
          <cell r="L385">
            <v>0</v>
          </cell>
          <cell r="M385">
            <v>0</v>
          </cell>
          <cell r="N385">
            <v>0</v>
          </cell>
          <cell r="O385">
            <v>0</v>
          </cell>
          <cell r="P385">
            <v>0</v>
          </cell>
          <cell r="Q385">
            <v>0</v>
          </cell>
          <cell r="R385">
            <v>0</v>
          </cell>
          <cell r="S385">
            <v>0</v>
          </cell>
          <cell r="T385">
            <v>0</v>
          </cell>
          <cell r="U385">
            <v>0</v>
          </cell>
          <cell r="V385">
            <v>0</v>
          </cell>
          <cell r="W385">
            <v>0</v>
          </cell>
          <cell r="X385">
            <v>0</v>
          </cell>
          <cell r="Y385">
            <v>0</v>
          </cell>
          <cell r="Z385">
            <v>0</v>
          </cell>
          <cell r="AA385">
            <v>0</v>
          </cell>
          <cell r="AB385">
            <v>0</v>
          </cell>
        </row>
        <row r="386">
          <cell r="C386" t="str">
            <v>T500</v>
          </cell>
          <cell r="D386">
            <v>283</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B386">
            <v>0</v>
          </cell>
        </row>
        <row r="387">
          <cell r="C387" t="str">
            <v>T600</v>
          </cell>
          <cell r="D387">
            <v>283</v>
          </cell>
          <cell r="E387">
            <v>987940.35387687781</v>
          </cell>
          <cell r="F387">
            <v>987940.35387687781</v>
          </cell>
          <cell r="G387">
            <v>0</v>
          </cell>
          <cell r="H387">
            <v>199496</v>
          </cell>
          <cell r="I387">
            <v>87501</v>
          </cell>
          <cell r="J387">
            <v>286997</v>
          </cell>
          <cell r="K387">
            <v>0</v>
          </cell>
          <cell r="L387">
            <v>0</v>
          </cell>
          <cell r="M387">
            <v>0</v>
          </cell>
          <cell r="N387">
            <v>199496</v>
          </cell>
          <cell r="O387">
            <v>87501</v>
          </cell>
          <cell r="P387">
            <v>286997</v>
          </cell>
          <cell r="Q387">
            <v>0</v>
          </cell>
          <cell r="R387">
            <v>0</v>
          </cell>
          <cell r="S387">
            <v>0</v>
          </cell>
          <cell r="T387">
            <v>-199496</v>
          </cell>
          <cell r="U387">
            <v>-87501</v>
          </cell>
          <cell r="V387">
            <v>-286997</v>
          </cell>
          <cell r="W387">
            <v>0</v>
          </cell>
          <cell r="X387">
            <v>0</v>
          </cell>
          <cell r="Y387">
            <v>0</v>
          </cell>
          <cell r="Z387">
            <v>0</v>
          </cell>
          <cell r="AA387">
            <v>0</v>
          </cell>
          <cell r="AB387">
            <v>0</v>
          </cell>
        </row>
        <row r="388">
          <cell r="C388" t="str">
            <v>T700</v>
          </cell>
          <cell r="D388">
            <v>283</v>
          </cell>
          <cell r="E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v>0</v>
          </cell>
        </row>
        <row r="389">
          <cell r="C389" t="str">
            <v>T999</v>
          </cell>
          <cell r="D389">
            <v>283</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row>
        <row r="390">
          <cell r="E390">
            <v>-1700251.3814106404</v>
          </cell>
          <cell r="F390">
            <v>-1399974.5920217128</v>
          </cell>
          <cell r="G390">
            <v>-300276.78938892792</v>
          </cell>
        </row>
        <row r="392">
          <cell r="E392">
            <v>-2562923.7562787523</v>
          </cell>
          <cell r="F392">
            <v>-2562923.7562787523</v>
          </cell>
          <cell r="G392">
            <v>0</v>
          </cell>
        </row>
        <row r="393">
          <cell r="C393" t="str">
            <v>Federal_NOL</v>
          </cell>
          <cell r="E393">
            <v>2562923.7562787523</v>
          </cell>
          <cell r="F393">
            <v>2562923.7562787523</v>
          </cell>
          <cell r="G393">
            <v>0</v>
          </cell>
          <cell r="H393">
            <v>517534</v>
          </cell>
          <cell r="I393">
            <v>0</v>
          </cell>
          <cell r="J393">
            <v>517534</v>
          </cell>
          <cell r="K393">
            <v>0</v>
          </cell>
          <cell r="L393">
            <v>0</v>
          </cell>
          <cell r="M393">
            <v>0</v>
          </cell>
          <cell r="N393">
            <v>517534</v>
          </cell>
          <cell r="O393">
            <v>0</v>
          </cell>
          <cell r="P393">
            <v>517534</v>
          </cell>
          <cell r="Q393">
            <v>0</v>
          </cell>
          <cell r="R393">
            <v>0</v>
          </cell>
          <cell r="S393">
            <v>0</v>
          </cell>
          <cell r="T393">
            <v>-517534</v>
          </cell>
          <cell r="U393">
            <v>0</v>
          </cell>
          <cell r="V393">
            <v>-517534</v>
          </cell>
          <cell r="W393">
            <v>0</v>
          </cell>
          <cell r="X393">
            <v>0</v>
          </cell>
          <cell r="Y393">
            <v>0</v>
          </cell>
          <cell r="Z393">
            <v>0</v>
          </cell>
          <cell r="AA393">
            <v>0</v>
          </cell>
          <cell r="AB393">
            <v>0</v>
          </cell>
        </row>
        <row r="394">
          <cell r="C394" t="str">
            <v>Federal_TEO</v>
          </cell>
          <cell r="E394">
            <v>0</v>
          </cell>
          <cell r="F394">
            <v>0</v>
          </cell>
          <cell r="G394">
            <v>0</v>
          </cell>
          <cell r="H394">
            <v>0</v>
          </cell>
          <cell r="I394">
            <v>0</v>
          </cell>
          <cell r="J394">
            <v>0</v>
          </cell>
          <cell r="K394">
            <v>0</v>
          </cell>
          <cell r="L394">
            <v>0</v>
          </cell>
          <cell r="M394">
            <v>0</v>
          </cell>
          <cell r="N394">
            <v>0</v>
          </cell>
          <cell r="O394">
            <v>0</v>
          </cell>
          <cell r="P394">
            <v>0</v>
          </cell>
          <cell r="Q394">
            <v>-279410</v>
          </cell>
          <cell r="R394">
            <v>0</v>
          </cell>
          <cell r="S394">
            <v>-279410</v>
          </cell>
          <cell r="T394">
            <v>389108</v>
          </cell>
          <cell r="U394">
            <v>0</v>
          </cell>
          <cell r="V394">
            <v>389108</v>
          </cell>
          <cell r="W394">
            <v>-29295</v>
          </cell>
          <cell r="X394">
            <v>0</v>
          </cell>
          <cell r="Y394">
            <v>-29295</v>
          </cell>
          <cell r="Z394">
            <v>971</v>
          </cell>
          <cell r="AA394">
            <v>0</v>
          </cell>
          <cell r="AB394">
            <v>971</v>
          </cell>
        </row>
        <row r="395">
          <cell r="E395">
            <v>0</v>
          </cell>
          <cell r="F395">
            <v>0</v>
          </cell>
          <cell r="G395">
            <v>0</v>
          </cell>
        </row>
        <row r="397">
          <cell r="C397" t="str">
            <v>State_IT</v>
          </cell>
          <cell r="E397">
            <v>0</v>
          </cell>
          <cell r="F397">
            <v>0</v>
          </cell>
          <cell r="G397">
            <v>0</v>
          </cell>
        </row>
        <row r="398">
          <cell r="C398" t="str">
            <v>State_Dep</v>
          </cell>
          <cell r="E398">
            <v>0</v>
          </cell>
          <cell r="F398">
            <v>0</v>
          </cell>
          <cell r="G398">
            <v>0</v>
          </cell>
        </row>
        <row r="399">
          <cell r="E399">
            <v>-2562923.7562787523</v>
          </cell>
          <cell r="F399">
            <v>-2562923.7562787523</v>
          </cell>
          <cell r="G399">
            <v>0</v>
          </cell>
        </row>
        <row r="400">
          <cell r="C400" t="str">
            <v>State_NOL</v>
          </cell>
          <cell r="E400">
            <v>2562923.7562787523</v>
          </cell>
          <cell r="F400">
            <v>2562923.7562787523</v>
          </cell>
          <cell r="G400">
            <v>0</v>
          </cell>
          <cell r="H400">
            <v>0</v>
          </cell>
          <cell r="I400">
            <v>226995</v>
          </cell>
          <cell r="J400">
            <v>226995</v>
          </cell>
          <cell r="K400">
            <v>0</v>
          </cell>
          <cell r="L400">
            <v>0</v>
          </cell>
          <cell r="M400">
            <v>0</v>
          </cell>
          <cell r="N400">
            <v>0</v>
          </cell>
          <cell r="O400">
            <v>226995</v>
          </cell>
          <cell r="P400">
            <v>226995</v>
          </cell>
          <cell r="Q400">
            <v>0</v>
          </cell>
          <cell r="R400">
            <v>0</v>
          </cell>
          <cell r="S400">
            <v>0</v>
          </cell>
          <cell r="T400">
            <v>0</v>
          </cell>
          <cell r="U400">
            <v>-226995</v>
          </cell>
          <cell r="V400">
            <v>-226995</v>
          </cell>
          <cell r="W400">
            <v>0</v>
          </cell>
          <cell r="X400">
            <v>0</v>
          </cell>
          <cell r="Y400">
            <v>0</v>
          </cell>
          <cell r="Z400">
            <v>0</v>
          </cell>
          <cell r="AA400">
            <v>0</v>
          </cell>
          <cell r="AB400">
            <v>0</v>
          </cell>
        </row>
        <row r="401">
          <cell r="C401" t="str">
            <v>State_TEO</v>
          </cell>
          <cell r="E401">
            <v>0</v>
          </cell>
          <cell r="F401">
            <v>0</v>
          </cell>
          <cell r="G401">
            <v>0</v>
          </cell>
          <cell r="H401">
            <v>0</v>
          </cell>
          <cell r="I401">
            <v>0</v>
          </cell>
          <cell r="J401">
            <v>0</v>
          </cell>
          <cell r="K401">
            <v>0</v>
          </cell>
          <cell r="L401">
            <v>0</v>
          </cell>
          <cell r="M401">
            <v>0</v>
          </cell>
          <cell r="N401">
            <v>0</v>
          </cell>
          <cell r="O401">
            <v>0</v>
          </cell>
          <cell r="P401">
            <v>0</v>
          </cell>
          <cell r="Q401">
            <v>0</v>
          </cell>
          <cell r="R401">
            <v>-122552</v>
          </cell>
          <cell r="S401">
            <v>-122552</v>
          </cell>
          <cell r="T401">
            <v>0</v>
          </cell>
          <cell r="U401">
            <v>170667</v>
          </cell>
          <cell r="V401">
            <v>170667</v>
          </cell>
          <cell r="W401">
            <v>0</v>
          </cell>
          <cell r="X401">
            <v>-12849</v>
          </cell>
          <cell r="Y401">
            <v>-12849</v>
          </cell>
          <cell r="Z401">
            <v>0</v>
          </cell>
          <cell r="AA401">
            <v>426</v>
          </cell>
          <cell r="AB401">
            <v>426</v>
          </cell>
        </row>
        <row r="402">
          <cell r="E402">
            <v>0</v>
          </cell>
          <cell r="F402">
            <v>0</v>
          </cell>
          <cell r="G402">
            <v>0</v>
          </cell>
        </row>
        <row r="404">
          <cell r="C404" t="str">
            <v>Rounding</v>
          </cell>
          <cell r="H404">
            <v>1</v>
          </cell>
          <cell r="I404">
            <v>0</v>
          </cell>
          <cell r="J404">
            <v>1</v>
          </cell>
          <cell r="K404">
            <v>-1</v>
          </cell>
          <cell r="L404">
            <v>-1</v>
          </cell>
          <cell r="M404">
            <v>-2</v>
          </cell>
          <cell r="N404">
            <v>0</v>
          </cell>
          <cell r="O404">
            <v>-1</v>
          </cell>
          <cell r="P404">
            <v>-1</v>
          </cell>
          <cell r="Q404">
            <v>0</v>
          </cell>
          <cell r="R404">
            <v>0</v>
          </cell>
          <cell r="S404">
            <v>0</v>
          </cell>
          <cell r="T404">
            <v>0</v>
          </cell>
          <cell r="U404">
            <v>0</v>
          </cell>
          <cell r="V404">
            <v>0</v>
          </cell>
          <cell r="W404">
            <v>0</v>
          </cell>
          <cell r="X404">
            <v>0</v>
          </cell>
          <cell r="Y404">
            <v>0</v>
          </cell>
          <cell r="Z404">
            <v>0</v>
          </cell>
          <cell r="AA404">
            <v>0</v>
          </cell>
          <cell r="AB404">
            <v>0</v>
          </cell>
        </row>
        <row r="405">
          <cell r="C405" t="str">
            <v>Tax_Credit_1</v>
          </cell>
          <cell r="E405">
            <v>0</v>
          </cell>
          <cell r="F405">
            <v>0</v>
          </cell>
          <cell r="G405">
            <v>0</v>
          </cell>
        </row>
        <row r="406">
          <cell r="H406">
            <v>1</v>
          </cell>
          <cell r="I406">
            <v>1</v>
          </cell>
          <cell r="J406">
            <v>2</v>
          </cell>
          <cell r="K406">
            <v>-1</v>
          </cell>
          <cell r="L406">
            <v>-2</v>
          </cell>
          <cell r="M406">
            <v>-3</v>
          </cell>
          <cell r="N406">
            <v>0</v>
          </cell>
          <cell r="O406">
            <v>-1</v>
          </cell>
          <cell r="P406">
            <v>-1</v>
          </cell>
          <cell r="Q406">
            <v>318731</v>
          </cell>
          <cell r="R406">
            <v>139798</v>
          </cell>
          <cell r="S406">
            <v>458529</v>
          </cell>
          <cell r="T406">
            <v>-443868</v>
          </cell>
          <cell r="U406">
            <v>-194684</v>
          </cell>
          <cell r="V406">
            <v>-638552</v>
          </cell>
          <cell r="W406">
            <v>33418</v>
          </cell>
          <cell r="X406">
            <v>14658</v>
          </cell>
          <cell r="Y406">
            <v>48076</v>
          </cell>
          <cell r="Z406">
            <v>-1107</v>
          </cell>
          <cell r="AA406">
            <v>-485</v>
          </cell>
          <cell r="AB406">
            <v>-1592</v>
          </cell>
        </row>
        <row r="408">
          <cell r="C408" t="str">
            <v>Rounding</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v>0</v>
          </cell>
        </row>
        <row r="409">
          <cell r="C409" t="str">
            <v>Discrete_1</v>
          </cell>
          <cell r="E409">
            <v>0</v>
          </cell>
          <cell r="F409">
            <v>0</v>
          </cell>
          <cell r="G409">
            <v>0</v>
          </cell>
        </row>
        <row r="410">
          <cell r="C410" t="str">
            <v>Discrete_2</v>
          </cell>
          <cell r="E410">
            <v>0</v>
          </cell>
          <cell r="F410">
            <v>0</v>
          </cell>
          <cell r="G410">
            <v>0</v>
          </cell>
        </row>
        <row r="412">
          <cell r="H412">
            <v>1</v>
          </cell>
          <cell r="I412">
            <v>1</v>
          </cell>
          <cell r="J412">
            <v>2</v>
          </cell>
          <cell r="K412">
            <v>-1</v>
          </cell>
          <cell r="L412">
            <v>-2</v>
          </cell>
          <cell r="M412">
            <v>-3</v>
          </cell>
          <cell r="N412">
            <v>0</v>
          </cell>
          <cell r="O412">
            <v>-1</v>
          </cell>
          <cell r="P412">
            <v>-1</v>
          </cell>
          <cell r="Q412">
            <v>318731</v>
          </cell>
          <cell r="R412">
            <v>139798</v>
          </cell>
          <cell r="S412">
            <v>458529</v>
          </cell>
          <cell r="T412">
            <v>-443868</v>
          </cell>
          <cell r="U412">
            <v>-194684</v>
          </cell>
          <cell r="V412">
            <v>-638552</v>
          </cell>
          <cell r="W412">
            <v>33418</v>
          </cell>
          <cell r="X412">
            <v>14658</v>
          </cell>
          <cell r="Y412">
            <v>48076</v>
          </cell>
          <cell r="Z412">
            <v>-1107</v>
          </cell>
          <cell r="AA412">
            <v>-485</v>
          </cell>
          <cell r="AB412">
            <v>-1592</v>
          </cell>
        </row>
      </sheetData>
      <sheetData sheetId="63">
        <row r="10457">
          <cell r="AE10457">
            <v>7131.1600000000008</v>
          </cell>
        </row>
      </sheetData>
      <sheetData sheetId="64"/>
      <sheetData sheetId="65"/>
      <sheetData sheetId="66"/>
      <sheetData sheetId="67">
        <row r="145">
          <cell r="P145">
            <v>1913290.4985770728</v>
          </cell>
        </row>
      </sheetData>
      <sheetData sheetId="68"/>
      <sheetData sheetId="69"/>
      <sheetData sheetId="70">
        <row r="21">
          <cell r="K21">
            <v>0.74274777160251892</v>
          </cell>
        </row>
      </sheetData>
      <sheetData sheetId="71"/>
      <sheetData sheetId="72"/>
      <sheetData sheetId="73"/>
      <sheetData sheetId="74"/>
      <sheetData sheetId="75">
        <row r="237">
          <cell r="C237" t="str">
            <v>PTBI</v>
          </cell>
          <cell r="E237">
            <v>-3163304.4399999902</v>
          </cell>
          <cell r="F237">
            <v>-3167246.8399999901</v>
          </cell>
          <cell r="G237">
            <v>3942.4</v>
          </cell>
          <cell r="H237">
            <v>-664684</v>
          </cell>
          <cell r="I237">
            <v>-2084</v>
          </cell>
          <cell r="J237">
            <v>-666768</v>
          </cell>
          <cell r="K237">
            <v>827</v>
          </cell>
          <cell r="L237">
            <v>3</v>
          </cell>
          <cell r="M237">
            <v>830</v>
          </cell>
          <cell r="N237">
            <v>-663857</v>
          </cell>
          <cell r="O237">
            <v>-2081</v>
          </cell>
          <cell r="P237">
            <v>-665938</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-664684</v>
          </cell>
          <cell r="AG237">
            <v>-2084</v>
          </cell>
          <cell r="AH237">
            <v>-666768</v>
          </cell>
          <cell r="AI237">
            <v>827</v>
          </cell>
          <cell r="AJ237">
            <v>3</v>
          </cell>
          <cell r="AK237">
            <v>830</v>
          </cell>
          <cell r="AL237">
            <v>-663857</v>
          </cell>
          <cell r="AM237">
            <v>-2081</v>
          </cell>
          <cell r="AN237">
            <v>-665938</v>
          </cell>
        </row>
        <row r="240">
          <cell r="C240" t="str">
            <v>P100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row>
        <row r="241">
          <cell r="C241" t="str">
            <v>P200</v>
          </cell>
          <cell r="E241">
            <v>-3942.4</v>
          </cell>
          <cell r="F241">
            <v>0</v>
          </cell>
          <cell r="G241">
            <v>-3942.4</v>
          </cell>
          <cell r="H241">
            <v>0</v>
          </cell>
          <cell r="I241">
            <v>0</v>
          </cell>
          <cell r="J241">
            <v>0</v>
          </cell>
          <cell r="K241">
            <v>-827</v>
          </cell>
          <cell r="L241">
            <v>-3</v>
          </cell>
          <cell r="M241">
            <v>-830</v>
          </cell>
          <cell r="N241">
            <v>-827</v>
          </cell>
          <cell r="O241">
            <v>-3</v>
          </cell>
          <cell r="P241">
            <v>-830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-827</v>
          </cell>
          <cell r="AJ241">
            <v>-3</v>
          </cell>
          <cell r="AK241">
            <v>-830</v>
          </cell>
          <cell r="AL241">
            <v>-827</v>
          </cell>
          <cell r="AM241">
            <v>-3</v>
          </cell>
          <cell r="AN241">
            <v>-830</v>
          </cell>
        </row>
        <row r="242">
          <cell r="C242" t="str">
            <v>P300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row>
        <row r="243">
          <cell r="C243" t="str">
            <v>P999</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row>
        <row r="244">
          <cell r="E244">
            <v>-3942.4</v>
          </cell>
          <cell r="F244">
            <v>0</v>
          </cell>
          <cell r="G244">
            <v>-3942.4</v>
          </cell>
        </row>
        <row r="247">
          <cell r="C247" t="str">
            <v>F100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row>
        <row r="248">
          <cell r="C248" t="str">
            <v>F100</v>
          </cell>
          <cell r="E248">
            <v>0</v>
          </cell>
          <cell r="F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row>
        <row r="249">
          <cell r="C249" t="str">
            <v>F999</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row>
        <row r="250">
          <cell r="E250">
            <v>0</v>
          </cell>
          <cell r="F250">
            <v>0</v>
          </cell>
          <cell r="G250">
            <v>0</v>
          </cell>
        </row>
        <row r="253">
          <cell r="C253" t="str">
            <v>T200</v>
          </cell>
          <cell r="D253">
            <v>282</v>
          </cell>
          <cell r="E253">
            <v>561596.49733333231</v>
          </cell>
          <cell r="F253">
            <v>561596.49733333231</v>
          </cell>
          <cell r="G253">
            <v>0</v>
          </cell>
          <cell r="H253">
            <v>117858</v>
          </cell>
          <cell r="I253">
            <v>369</v>
          </cell>
          <cell r="J253">
            <v>118227</v>
          </cell>
          <cell r="K253">
            <v>0</v>
          </cell>
          <cell r="L253">
            <v>0</v>
          </cell>
          <cell r="M253">
            <v>0</v>
          </cell>
          <cell r="N253">
            <v>117858</v>
          </cell>
          <cell r="O253">
            <v>369</v>
          </cell>
          <cell r="P253">
            <v>118227</v>
          </cell>
          <cell r="Q253">
            <v>0</v>
          </cell>
          <cell r="R253">
            <v>0</v>
          </cell>
          <cell r="S253">
            <v>0</v>
          </cell>
          <cell r="T253">
            <v>-117858</v>
          </cell>
          <cell r="U253">
            <v>-369</v>
          </cell>
          <cell r="V253">
            <v>-118227</v>
          </cell>
          <cell r="W253">
            <v>0</v>
          </cell>
          <cell r="X253">
            <v>0</v>
          </cell>
          <cell r="Y253">
            <v>0</v>
          </cell>
          <cell r="Z253">
            <v>0</v>
          </cell>
          <cell r="AA253">
            <v>0</v>
          </cell>
          <cell r="AB253">
            <v>0</v>
          </cell>
          <cell r="AC253">
            <v>-117858</v>
          </cell>
          <cell r="AD253">
            <v>-369</v>
          </cell>
          <cell r="AE253">
            <v>-118227</v>
          </cell>
          <cell r="AF253">
            <v>0</v>
          </cell>
          <cell r="AG253">
            <v>0</v>
          </cell>
          <cell r="AH253">
            <v>0</v>
          </cell>
          <cell r="AI253">
            <v>0</v>
          </cell>
          <cell r="AJ253">
            <v>0</v>
          </cell>
          <cell r="AK253">
            <v>0</v>
          </cell>
          <cell r="AL253">
            <v>0</v>
          </cell>
          <cell r="AM253">
            <v>0</v>
          </cell>
          <cell r="AN253">
            <v>0</v>
          </cell>
        </row>
        <row r="254">
          <cell r="C254" t="str">
            <v>T210</v>
          </cell>
          <cell r="D254">
            <v>282</v>
          </cell>
          <cell r="E254">
            <v>-369504.8265345</v>
          </cell>
          <cell r="F254">
            <v>-369504.8265345</v>
          </cell>
          <cell r="G254">
            <v>0</v>
          </cell>
          <cell r="H254">
            <v>-77545</v>
          </cell>
          <cell r="I254">
            <v>-243</v>
          </cell>
          <cell r="J254">
            <v>-77788</v>
          </cell>
          <cell r="K254">
            <v>0</v>
          </cell>
          <cell r="L254">
            <v>0</v>
          </cell>
          <cell r="M254">
            <v>0</v>
          </cell>
          <cell r="N254">
            <v>-77545</v>
          </cell>
          <cell r="O254">
            <v>-243</v>
          </cell>
          <cell r="P254">
            <v>-77788</v>
          </cell>
          <cell r="Q254">
            <v>77545</v>
          </cell>
          <cell r="R254">
            <v>243</v>
          </cell>
          <cell r="S254">
            <v>77788</v>
          </cell>
          <cell r="T254">
            <v>0</v>
          </cell>
          <cell r="U254">
            <v>0</v>
          </cell>
          <cell r="V254">
            <v>0</v>
          </cell>
          <cell r="W254">
            <v>0</v>
          </cell>
          <cell r="X254">
            <v>0</v>
          </cell>
          <cell r="Y254">
            <v>0</v>
          </cell>
          <cell r="Z254">
            <v>0</v>
          </cell>
          <cell r="AA254">
            <v>0</v>
          </cell>
          <cell r="AB254">
            <v>0</v>
          </cell>
          <cell r="AC254">
            <v>77545</v>
          </cell>
          <cell r="AD254">
            <v>243</v>
          </cell>
          <cell r="AE254">
            <v>77788</v>
          </cell>
          <cell r="AF254">
            <v>0</v>
          </cell>
          <cell r="AG254">
            <v>0</v>
          </cell>
          <cell r="AH254">
            <v>0</v>
          </cell>
          <cell r="AI254">
            <v>0</v>
          </cell>
          <cell r="AJ254">
            <v>0</v>
          </cell>
          <cell r="AK254">
            <v>0</v>
          </cell>
          <cell r="AL254">
            <v>0</v>
          </cell>
          <cell r="AM254">
            <v>0</v>
          </cell>
          <cell r="AN254">
            <v>0</v>
          </cell>
        </row>
        <row r="255">
          <cell r="C255" t="str">
            <v>T600</v>
          </cell>
          <cell r="D255">
            <v>283</v>
          </cell>
          <cell r="E255">
            <v>200875.67999999993</v>
          </cell>
          <cell r="F255">
            <v>200875.67999999993</v>
          </cell>
          <cell r="G255">
            <v>0</v>
          </cell>
          <cell r="H255">
            <v>42156</v>
          </cell>
          <cell r="I255">
            <v>132</v>
          </cell>
          <cell r="J255">
            <v>42288</v>
          </cell>
          <cell r="K255">
            <v>0</v>
          </cell>
          <cell r="L255">
            <v>0</v>
          </cell>
          <cell r="M255">
            <v>0</v>
          </cell>
          <cell r="N255">
            <v>42156</v>
          </cell>
          <cell r="O255">
            <v>132</v>
          </cell>
          <cell r="P255">
            <v>42288</v>
          </cell>
          <cell r="Q255">
            <v>0</v>
          </cell>
          <cell r="R255">
            <v>0</v>
          </cell>
          <cell r="S255">
            <v>0</v>
          </cell>
          <cell r="T255">
            <v>-42156</v>
          </cell>
          <cell r="U255">
            <v>-132</v>
          </cell>
          <cell r="V255">
            <v>-42288</v>
          </cell>
          <cell r="W255">
            <v>0</v>
          </cell>
          <cell r="X255">
            <v>0</v>
          </cell>
          <cell r="Y255">
            <v>0</v>
          </cell>
          <cell r="Z255">
            <v>0</v>
          </cell>
          <cell r="AA255">
            <v>0</v>
          </cell>
          <cell r="AB255">
            <v>0</v>
          </cell>
          <cell r="AC255">
            <v>-42156</v>
          </cell>
          <cell r="AD255">
            <v>-132</v>
          </cell>
          <cell r="AE255">
            <v>-42288</v>
          </cell>
          <cell r="AF255">
            <v>0</v>
          </cell>
          <cell r="AG255">
            <v>0</v>
          </cell>
          <cell r="AH255">
            <v>0</v>
          </cell>
          <cell r="AI255">
            <v>0</v>
          </cell>
          <cell r="AJ255">
            <v>0</v>
          </cell>
          <cell r="AK255">
            <v>0</v>
          </cell>
          <cell r="AL255">
            <v>0</v>
          </cell>
          <cell r="AM255">
            <v>0</v>
          </cell>
          <cell r="AN255">
            <v>0</v>
          </cell>
        </row>
        <row r="256">
          <cell r="C256" t="str">
            <v>T700</v>
          </cell>
          <cell r="D256">
            <v>283</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row>
        <row r="257">
          <cell r="C257" t="str">
            <v>T800</v>
          </cell>
          <cell r="D257">
            <v>283</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row>
        <row r="258">
          <cell r="C258" t="str">
            <v>T900</v>
          </cell>
          <cell r="D258">
            <v>283</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row>
        <row r="259">
          <cell r="C259" t="str">
            <v>T999</v>
          </cell>
          <cell r="D259">
            <v>283</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row>
        <row r="260">
          <cell r="E260">
            <v>392967.35079883225</v>
          </cell>
          <cell r="F260">
            <v>392967.35079883225</v>
          </cell>
          <cell r="G260">
            <v>0</v>
          </cell>
        </row>
        <row r="262">
          <cell r="E262">
            <v>-2774279.4892011578</v>
          </cell>
          <cell r="F262">
            <v>-2774279.4892011578</v>
          </cell>
          <cell r="G262">
            <v>0</v>
          </cell>
        </row>
        <row r="263">
          <cell r="C263" t="str">
            <v>Federal_NOL</v>
          </cell>
          <cell r="E263">
            <v>2774279.4892011578</v>
          </cell>
          <cell r="F263">
            <v>2774279.4892011578</v>
          </cell>
          <cell r="G263">
            <v>0</v>
          </cell>
          <cell r="H263">
            <v>582215</v>
          </cell>
          <cell r="I263">
            <v>0</v>
          </cell>
          <cell r="J263">
            <v>582215</v>
          </cell>
          <cell r="K263">
            <v>0</v>
          </cell>
          <cell r="L263">
            <v>0</v>
          </cell>
          <cell r="M263">
            <v>0</v>
          </cell>
          <cell r="N263">
            <v>582215</v>
          </cell>
          <cell r="O263">
            <v>0</v>
          </cell>
          <cell r="P263">
            <v>582215</v>
          </cell>
          <cell r="Q263">
            <v>0</v>
          </cell>
          <cell r="R263">
            <v>0</v>
          </cell>
          <cell r="S263">
            <v>0</v>
          </cell>
          <cell r="T263">
            <v>-582215</v>
          </cell>
          <cell r="U263">
            <v>0</v>
          </cell>
          <cell r="V263">
            <v>-582215</v>
          </cell>
          <cell r="W263">
            <v>0</v>
          </cell>
          <cell r="X263">
            <v>0</v>
          </cell>
          <cell r="Y263">
            <v>0</v>
          </cell>
          <cell r="Z263">
            <v>0</v>
          </cell>
          <cell r="AA263">
            <v>0</v>
          </cell>
          <cell r="AB263">
            <v>0</v>
          </cell>
          <cell r="AC263">
            <v>-582215</v>
          </cell>
          <cell r="AD263">
            <v>0</v>
          </cell>
          <cell r="AE263">
            <v>-582215</v>
          </cell>
          <cell r="AF263">
            <v>0</v>
          </cell>
          <cell r="AG263">
            <v>0</v>
          </cell>
          <cell r="AH263">
            <v>0</v>
          </cell>
          <cell r="AI263">
            <v>0</v>
          </cell>
          <cell r="AJ263">
            <v>0</v>
          </cell>
          <cell r="AK263">
            <v>0</v>
          </cell>
          <cell r="AL263">
            <v>0</v>
          </cell>
          <cell r="AM263">
            <v>0</v>
          </cell>
          <cell r="AN263">
            <v>0</v>
          </cell>
        </row>
        <row r="264">
          <cell r="C264" t="str">
            <v>Federal_ManageCo_TEO</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row>
        <row r="265">
          <cell r="E265">
            <v>0</v>
          </cell>
          <cell r="F265">
            <v>0</v>
          </cell>
          <cell r="G265">
            <v>0</v>
          </cell>
        </row>
        <row r="267">
          <cell r="C267" t="str">
            <v>State_IT</v>
          </cell>
          <cell r="E267">
            <v>0</v>
          </cell>
          <cell r="F267">
            <v>0</v>
          </cell>
          <cell r="G267">
            <v>0</v>
          </cell>
        </row>
        <row r="268">
          <cell r="C268" t="str">
            <v>State_Dep</v>
          </cell>
          <cell r="E268">
            <v>0</v>
          </cell>
          <cell r="F268">
            <v>0</v>
          </cell>
          <cell r="G268">
            <v>0</v>
          </cell>
        </row>
        <row r="269">
          <cell r="E269">
            <v>-2774279.4892011578</v>
          </cell>
          <cell r="F269">
            <v>-2774279.4892011578</v>
          </cell>
          <cell r="G269">
            <v>0</v>
          </cell>
        </row>
        <row r="270">
          <cell r="C270" t="str">
            <v>State_NOL</v>
          </cell>
          <cell r="E270">
            <v>2774279.4892011578</v>
          </cell>
          <cell r="F270">
            <v>2774279.4892011578</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row>
        <row r="271">
          <cell r="E271">
            <v>0</v>
          </cell>
          <cell r="F271">
            <v>0</v>
          </cell>
          <cell r="G271">
            <v>0</v>
          </cell>
        </row>
        <row r="273">
          <cell r="E273">
            <v>-2774279.4892011578</v>
          </cell>
          <cell r="F273">
            <v>-2774279.4892011578</v>
          </cell>
          <cell r="G273">
            <v>0</v>
          </cell>
        </row>
        <row r="274">
          <cell r="E274">
            <v>2774279.4892011578</v>
          </cell>
          <cell r="F274">
            <v>2774279.4892011578</v>
          </cell>
          <cell r="G274">
            <v>0</v>
          </cell>
          <cell r="H274">
            <v>0</v>
          </cell>
          <cell r="I274">
            <v>1825</v>
          </cell>
          <cell r="J274">
            <v>1825</v>
          </cell>
          <cell r="K274">
            <v>0</v>
          </cell>
          <cell r="L274">
            <v>0</v>
          </cell>
          <cell r="M274">
            <v>0</v>
          </cell>
          <cell r="N274">
            <v>0</v>
          </cell>
          <cell r="O274">
            <v>1825</v>
          </cell>
          <cell r="P274">
            <v>1825</v>
          </cell>
          <cell r="Q274">
            <v>0</v>
          </cell>
          <cell r="R274">
            <v>0</v>
          </cell>
          <cell r="S274">
            <v>0</v>
          </cell>
          <cell r="T274">
            <v>0</v>
          </cell>
          <cell r="U274">
            <v>-1825</v>
          </cell>
          <cell r="V274">
            <v>-1825</v>
          </cell>
          <cell r="W274">
            <v>0</v>
          </cell>
          <cell r="X274">
            <v>0</v>
          </cell>
          <cell r="Y274">
            <v>0</v>
          </cell>
          <cell r="Z274">
            <v>0</v>
          </cell>
          <cell r="AA274">
            <v>0</v>
          </cell>
          <cell r="AB274">
            <v>0</v>
          </cell>
          <cell r="AC274">
            <v>0</v>
          </cell>
          <cell r="AD274">
            <v>-1825</v>
          </cell>
          <cell r="AE274">
            <v>-1825</v>
          </cell>
          <cell r="AF274">
            <v>0</v>
          </cell>
          <cell r="AG274">
            <v>0</v>
          </cell>
          <cell r="AH274">
            <v>0</v>
          </cell>
          <cell r="AI274">
            <v>0</v>
          </cell>
          <cell r="AJ274">
            <v>0</v>
          </cell>
          <cell r="AK274">
            <v>0</v>
          </cell>
          <cell r="AL274">
            <v>0</v>
          </cell>
          <cell r="AM274">
            <v>0</v>
          </cell>
          <cell r="AN274">
            <v>0</v>
          </cell>
        </row>
        <row r="275">
          <cell r="E275">
            <v>0</v>
          </cell>
          <cell r="F275">
            <v>0</v>
          </cell>
          <cell r="G275">
            <v>0</v>
          </cell>
        </row>
        <row r="277">
          <cell r="C277" t="str">
            <v>Rounding</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row>
        <row r="278">
          <cell r="C278" t="str">
            <v>Tax_Credit_1</v>
          </cell>
          <cell r="E278">
            <v>0</v>
          </cell>
          <cell r="F278">
            <v>0</v>
          </cell>
          <cell r="G278">
            <v>0</v>
          </cell>
        </row>
        <row r="279">
          <cell r="H279">
            <v>0</v>
          </cell>
          <cell r="I279">
            <v>-1</v>
          </cell>
          <cell r="J279">
            <v>-1</v>
          </cell>
          <cell r="K279">
            <v>0</v>
          </cell>
          <cell r="L279">
            <v>0</v>
          </cell>
          <cell r="M279">
            <v>0</v>
          </cell>
          <cell r="N279">
            <v>0</v>
          </cell>
          <cell r="O279">
            <v>-1</v>
          </cell>
          <cell r="P279">
            <v>-1</v>
          </cell>
          <cell r="Q279">
            <v>77545</v>
          </cell>
          <cell r="R279">
            <v>243</v>
          </cell>
          <cell r="S279">
            <v>77788</v>
          </cell>
          <cell r="T279">
            <v>-742229</v>
          </cell>
          <cell r="U279">
            <v>-2326</v>
          </cell>
          <cell r="V279">
            <v>-744555</v>
          </cell>
          <cell r="W279">
            <v>0</v>
          </cell>
          <cell r="X279">
            <v>0</v>
          </cell>
          <cell r="Y279">
            <v>0</v>
          </cell>
          <cell r="Z279">
            <v>0</v>
          </cell>
          <cell r="AA279">
            <v>0</v>
          </cell>
          <cell r="AB279">
            <v>0</v>
          </cell>
          <cell r="AC279">
            <v>-664684</v>
          </cell>
          <cell r="AD279">
            <v>-2083</v>
          </cell>
          <cell r="AE279">
            <v>-666767</v>
          </cell>
          <cell r="AF279">
            <v>-664684</v>
          </cell>
          <cell r="AG279">
            <v>-2084</v>
          </cell>
          <cell r="AH279">
            <v>-666768</v>
          </cell>
          <cell r="AI279">
            <v>0</v>
          </cell>
          <cell r="AJ279">
            <v>0</v>
          </cell>
          <cell r="AK279">
            <v>0</v>
          </cell>
          <cell r="AL279">
            <v>-664684</v>
          </cell>
          <cell r="AM279">
            <v>-2084</v>
          </cell>
          <cell r="AN279">
            <v>-666768</v>
          </cell>
        </row>
        <row r="282">
          <cell r="C282" t="str">
            <v>Discrete_1</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T282">
            <v>0</v>
          </cell>
          <cell r="U282">
            <v>0</v>
          </cell>
          <cell r="V282">
            <v>0</v>
          </cell>
          <cell r="W282">
            <v>0</v>
          </cell>
          <cell r="X282">
            <v>0</v>
          </cell>
          <cell r="Y282">
            <v>0</v>
          </cell>
          <cell r="Z282">
            <v>0</v>
          </cell>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row>
        <row r="283">
          <cell r="C283" t="str">
            <v>Discrete_2</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T283">
            <v>0</v>
          </cell>
          <cell r="U283">
            <v>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row>
        <row r="285">
          <cell r="H285">
            <v>0</v>
          </cell>
          <cell r="I285">
            <v>-1</v>
          </cell>
          <cell r="J285">
            <v>-1</v>
          </cell>
          <cell r="K285">
            <v>0</v>
          </cell>
          <cell r="L285">
            <v>0</v>
          </cell>
          <cell r="M285">
            <v>0</v>
          </cell>
          <cell r="N285">
            <v>0</v>
          </cell>
          <cell r="O285">
            <v>-1</v>
          </cell>
          <cell r="P285">
            <v>-1</v>
          </cell>
          <cell r="Q285">
            <v>77545</v>
          </cell>
          <cell r="R285">
            <v>243</v>
          </cell>
          <cell r="S285">
            <v>77788</v>
          </cell>
          <cell r="T285">
            <v>-742229</v>
          </cell>
          <cell r="U285">
            <v>-2326</v>
          </cell>
          <cell r="V285">
            <v>-744555</v>
          </cell>
          <cell r="W285">
            <v>0</v>
          </cell>
          <cell r="X285">
            <v>0</v>
          </cell>
          <cell r="Y285">
            <v>0</v>
          </cell>
          <cell r="Z285">
            <v>0</v>
          </cell>
          <cell r="AA285">
            <v>0</v>
          </cell>
          <cell r="AB285">
            <v>0</v>
          </cell>
          <cell r="AC285">
            <v>-664684</v>
          </cell>
          <cell r="AD285">
            <v>-2083</v>
          </cell>
          <cell r="AE285">
            <v>-666767</v>
          </cell>
          <cell r="AF285">
            <v>-664684</v>
          </cell>
          <cell r="AG285">
            <v>-2084</v>
          </cell>
          <cell r="AH285">
            <v>-666768</v>
          </cell>
          <cell r="AI285">
            <v>0</v>
          </cell>
          <cell r="AJ285">
            <v>0</v>
          </cell>
          <cell r="AK285">
            <v>0</v>
          </cell>
          <cell r="AL285">
            <v>-664684</v>
          </cell>
          <cell r="AM285">
            <v>-2084</v>
          </cell>
          <cell r="AN285">
            <v>-666768</v>
          </cell>
        </row>
      </sheetData>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row r="265">
          <cell r="AB265">
            <v>277306.76612312224</v>
          </cell>
        </row>
      </sheetData>
      <sheetData sheetId="120"/>
      <sheetData sheetId="121"/>
      <sheetData sheetId="122"/>
      <sheetData sheetId="123"/>
      <sheetData sheetId="124">
        <row r="22">
          <cell r="AB22">
            <v>-2133585.7592570395</v>
          </cell>
        </row>
      </sheetData>
      <sheetData sheetId="125"/>
      <sheetData sheetId="126"/>
      <sheetData sheetId="127"/>
      <sheetData sheetId="128"/>
      <sheetData sheetId="129">
        <row r="19">
          <cell r="AN19">
            <v>44.339067933333354</v>
          </cell>
        </row>
      </sheetData>
      <sheetData sheetId="130"/>
      <sheetData sheetId="131"/>
      <sheetData sheetId="132">
        <row r="101">
          <cell r="D101">
            <v>0</v>
          </cell>
        </row>
      </sheetData>
      <sheetData sheetId="133"/>
      <sheetData sheetId="134"/>
      <sheetData sheetId="135"/>
      <sheetData sheetId="136"/>
      <sheetData sheetId="137"/>
      <sheetData sheetId="138"/>
      <sheetData sheetId="139"/>
      <sheetData sheetId="140">
        <row r="130">
          <cell r="G130">
            <v>21007295.749999993</v>
          </cell>
        </row>
      </sheetData>
      <sheetData sheetId="141">
        <row r="112">
          <cell r="G112">
            <v>-4648701.5699999994</v>
          </cell>
        </row>
      </sheetData>
      <sheetData sheetId="142">
        <row r="62">
          <cell r="G62">
            <v>-2331621.1999999997</v>
          </cell>
        </row>
      </sheetData>
      <sheetData sheetId="143">
        <row r="66">
          <cell r="G66">
            <v>-7326052.5800000001</v>
          </cell>
        </row>
      </sheetData>
      <sheetData sheetId="144">
        <row r="50">
          <cell r="G50">
            <v>-5565303.1600000011</v>
          </cell>
        </row>
      </sheetData>
      <sheetData sheetId="145">
        <row r="46">
          <cell r="G46">
            <v>-1073470.6800000002</v>
          </cell>
        </row>
      </sheetData>
      <sheetData sheetId="146">
        <row r="39">
          <cell r="G39">
            <v>-62028.840000000004</v>
          </cell>
        </row>
      </sheetData>
      <sheetData sheetId="147">
        <row r="121">
          <cell r="G121">
            <v>28470079.43</v>
          </cell>
        </row>
      </sheetData>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row r="18">
          <cell r="E18">
            <v>12566931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achment H"/>
      <sheetName val="1-Project Rev Req"/>
      <sheetName val="2-Incentive ROE"/>
      <sheetName val="3-Project True-up"/>
      <sheetName val="4- Rate Base"/>
      <sheetName val="4a-ADIT Projection"/>
      <sheetName val="4b-ADIT Projection Proration"/>
      <sheetName val="4c- ADIT BOY"/>
      <sheetName val="4d- ADIT EOY"/>
      <sheetName val="4e-ADIT True-up"/>
      <sheetName val="4f-ADIT True-up Proration"/>
      <sheetName val="5-P3 Support"/>
      <sheetName val="6-True-Up Interest"/>
      <sheetName val="7 - PBOP"/>
      <sheetName val="8-Construction Loan"/>
      <sheetName val="9 - Const Loan True-up"/>
      <sheetName val="10-Dep Rates"/>
      <sheetName val="Tax_Fcst ADIT"/>
      <sheetName val="Tax_Tax Depreciation"/>
      <sheetName val="Rate Mitigation Calc"/>
      <sheetName val="ADIT Rate Mitigation Support"/>
      <sheetName val="Capex"/>
      <sheetName val="Opex"/>
      <sheetName val="Tax Depreciation 03.31.21"/>
      <sheetName val="03.31.2020 GHP Provision"/>
      <sheetName val="GHP ITA"/>
      <sheetName val="GLHP"/>
      <sheetName val="11-Wholesale Distribution"/>
      <sheetName val="11a-Wholesale Distribution "/>
      <sheetName val="12 Wholesale Dist True-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1397">
          <cell r="F1397">
            <v>2282126.8499999992</v>
          </cell>
        </row>
      </sheetData>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shipInfo"/>
      <sheetName val="Partner Data"/>
      <sheetName val="UDMast"/>
      <sheetName val="User Defined Sheet 1 Data"/>
      <sheetName val="User Defined Sheet 2 Data"/>
      <sheetName val="User Defined Sheet 3 Data"/>
      <sheetName val="Exemptions"/>
      <sheetName val="KPMG NTNY Setup"/>
      <sheetName val="KPMG -&gt;"/>
      <sheetName val="1. Book-to-Tax Summary"/>
      <sheetName val="2. Form 1065 Page 1 &amp; 4"/>
      <sheetName val="3. Form 1065 Page 5"/>
      <sheetName val="4. Form 1065 Schedule K-1s"/>
      <sheetName val="5. Capital Account Rollforwards"/>
      <sheetName val="6. Start-up Cost Amortization"/>
      <sheetName val="8. Client Responses on Elimins"/>
      <sheetName val="9. GLW Tax Depreciation"/>
      <sheetName val="10. GHP Tax Depreciation"/>
      <sheetName val="10. PY GHP Tax Depreciation"/>
      <sheetName val="11. GHP Tax Amortization"/>
      <sheetName val="12. GLW Tax Amortization"/>
      <sheetName val="State --&gt;"/>
      <sheetName val="S1 - State Series"/>
      <sheetName val="S2 - OK Return Summary"/>
      <sheetName val="S3 - IL Return Summary"/>
      <sheetName val="S-4b NV Dep Adj"/>
      <sheetName val="S5 - Texas "/>
      <sheetName val="S6 - MO Return Summary"/>
      <sheetName val="S7 - MO Property Pivot"/>
      <sheetName val="PBC --&gt;"/>
      <sheetName val="2019 ManageCo Standalone P&amp;L"/>
      <sheetName val="2019 IS - Non-RTO Analysis"/>
      <sheetName val="KPMG Prepared Debt Costs"/>
      <sheetName val="2019 Income Statement"/>
      <sheetName val="2019 Balance Sheet"/>
      <sheetName val="2019 Balance Sheet Analysis"/>
      <sheetName val="2019 Partners' Capital"/>
      <sheetName val="2019 GHP FA Rollforward P1"/>
      <sheetName val="2019 GHP FA Rollforward P2"/>
      <sheetName val="2019 GLW FA Rollforward"/>
      <sheetName val="2019 GHP Reg. Asset Detail"/>
      <sheetName val="2019 Reg. Assets Summary"/>
      <sheetName val="Partner Info"/>
      <sheetName val="PBC Provision --&gt;"/>
      <sheetName val="GHP Provision"/>
      <sheetName val="GLW Provision"/>
      <sheetName val="GLW Purchase Price Allocation"/>
      <sheetName val="Tri-County Tax Depr Calc"/>
      <sheetName val="GHP Tax Repair Detail"/>
      <sheetName val="GLW Tax Repair Detail"/>
      <sheetName val="GHP M&amp;E"/>
      <sheetName val="GLW M&amp;E"/>
      <sheetName val="Tax Start-Up Costs 2016"/>
      <sheetName val="GHP Prepaid"/>
      <sheetName val="GLW Prepaid"/>
      <sheetName val="True up Prepaid Insurance"/>
      <sheetName val="Tables"/>
      <sheetName val="Backup"/>
    </sheetNames>
    <sheetDataSet>
      <sheetData sheetId="0" refreshError="1"/>
      <sheetData sheetId="1" refreshError="1">
        <row r="16">
          <cell r="E16" t="b">
            <v>0</v>
          </cell>
        </row>
        <row r="24">
          <cell r="C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ow r="2">
          <cell r="F2" t="str">
            <v>Afghanistan</v>
          </cell>
        </row>
      </sheetData>
      <sheetData sheetId="5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33527-0B11-4909-B9A0-46688BFA0C18}">
  <dimension ref="A1:V319"/>
  <sheetViews>
    <sheetView tabSelected="1" view="pageBreakPreview" zoomScale="115" zoomScaleNormal="80" zoomScaleSheetLayoutView="115" workbookViewId="0">
      <selection activeCell="C5" sqref="C5"/>
    </sheetView>
  </sheetViews>
  <sheetFormatPr defaultColWidth="8.88671875" defaultRowHeight="12.75"/>
  <cols>
    <col min="1" max="1" width="5.88671875" style="2" customWidth="1"/>
    <col min="2" max="2" width="59.44140625" style="2" customWidth="1"/>
    <col min="3" max="3" width="50.6640625" style="2" bestFit="1" customWidth="1"/>
    <col min="4" max="4" width="16.109375" style="2" customWidth="1"/>
    <col min="5" max="5" width="5.88671875" style="2" customWidth="1"/>
    <col min="6" max="6" width="8.109375" style="2" customWidth="1"/>
    <col min="7" max="7" width="10" style="2" customWidth="1"/>
    <col min="8" max="8" width="4.88671875" style="2" customWidth="1"/>
    <col min="9" max="9" width="16.109375" style="2" customWidth="1"/>
    <col min="10" max="10" width="2.6640625" style="2" customWidth="1"/>
    <col min="11" max="11" width="7.5546875" style="2" customWidth="1"/>
    <col min="12" max="12" width="14.44140625" style="2" bestFit="1" customWidth="1"/>
    <col min="13" max="13" width="14.6640625" style="2" bestFit="1" customWidth="1"/>
    <col min="14" max="14" width="10.44140625" style="2" bestFit="1" customWidth="1"/>
    <col min="15" max="16384" width="8.88671875" style="2"/>
  </cols>
  <sheetData>
    <row r="1" spans="1:11">
      <c r="A1" s="1"/>
      <c r="B1" s="1"/>
      <c r="C1" s="1"/>
      <c r="E1" s="1"/>
      <c r="F1" s="1"/>
      <c r="G1" s="1"/>
      <c r="H1" s="1"/>
      <c r="I1" s="1"/>
      <c r="J1" s="1"/>
      <c r="K1" s="3" t="s">
        <v>0</v>
      </c>
    </row>
    <row r="2" spans="1:11">
      <c r="A2" s="1"/>
      <c r="B2" s="1"/>
      <c r="C2" s="1"/>
      <c r="D2" s="1"/>
      <c r="E2" s="1"/>
      <c r="F2" s="1"/>
      <c r="G2" s="1"/>
      <c r="H2" s="1"/>
      <c r="I2" s="1"/>
      <c r="J2" s="1"/>
      <c r="K2" s="3" t="s">
        <v>1</v>
      </c>
    </row>
    <row r="3" spans="1:11">
      <c r="A3" s="4"/>
      <c r="B3" s="5" t="s">
        <v>2</v>
      </c>
      <c r="C3" s="5"/>
      <c r="D3" s="6" t="s">
        <v>3</v>
      </c>
      <c r="E3" s="5"/>
      <c r="F3" s="5"/>
      <c r="G3" s="5"/>
      <c r="H3" s="5"/>
      <c r="I3" s="7"/>
      <c r="J3" s="8"/>
      <c r="K3" s="9" t="s">
        <v>1156</v>
      </c>
    </row>
    <row r="4" spans="1:11">
      <c r="A4" s="4"/>
      <c r="C4" s="10"/>
      <c r="D4" s="11" t="s">
        <v>4</v>
      </c>
      <c r="E4" s="10"/>
      <c r="F4" s="10"/>
      <c r="G4" s="10"/>
      <c r="H4" s="5"/>
      <c r="I4" s="5"/>
      <c r="J4" s="12"/>
      <c r="K4" s="12"/>
    </row>
    <row r="5" spans="1:11" ht="13.5">
      <c r="A5" s="4"/>
      <c r="B5" s="13"/>
      <c r="C5" s="12"/>
      <c r="D5" s="14" t="s">
        <v>5</v>
      </c>
      <c r="E5" s="12"/>
      <c r="F5" s="12"/>
      <c r="G5" s="12"/>
      <c r="H5" s="12"/>
      <c r="I5" s="12"/>
      <c r="J5" s="12"/>
      <c r="K5" s="12"/>
    </row>
    <row r="6" spans="1:11" ht="13.5">
      <c r="B6" s="13"/>
      <c r="J6" s="15"/>
      <c r="K6" s="15"/>
    </row>
    <row r="7" spans="1:11">
      <c r="A7" s="6"/>
      <c r="C7" s="12"/>
      <c r="D7" s="16"/>
      <c r="E7" s="12"/>
      <c r="F7" s="12"/>
      <c r="G7" s="12"/>
      <c r="H7" s="12"/>
      <c r="I7" s="12"/>
      <c r="J7" s="12"/>
      <c r="K7" s="12"/>
    </row>
    <row r="8" spans="1:11">
      <c r="A8" s="6"/>
      <c r="B8" s="17" t="s">
        <v>6</v>
      </c>
      <c r="C8" s="17" t="s">
        <v>7</v>
      </c>
      <c r="D8" s="17" t="s">
        <v>8</v>
      </c>
      <c r="E8" s="10" t="s">
        <v>9</v>
      </c>
      <c r="F8" s="10"/>
      <c r="G8" s="16" t="s">
        <v>10</v>
      </c>
      <c r="H8" s="10"/>
      <c r="I8" s="16" t="s">
        <v>11</v>
      </c>
      <c r="J8" s="12"/>
      <c r="K8" s="12"/>
    </row>
    <row r="9" spans="1:11">
      <c r="A9" s="6" t="s">
        <v>12</v>
      </c>
      <c r="B9" s="12"/>
      <c r="C9" s="12"/>
      <c r="D9" s="15"/>
      <c r="E9" s="12"/>
      <c r="F9" s="12"/>
      <c r="G9" s="12"/>
      <c r="H9" s="12"/>
      <c r="I9" s="6" t="s">
        <v>13</v>
      </c>
      <c r="J9" s="12"/>
      <c r="K9" s="12"/>
    </row>
    <row r="10" spans="1:11" ht="13.5" thickBot="1">
      <c r="A10" s="18" t="s">
        <v>14</v>
      </c>
      <c r="B10" s="12"/>
      <c r="C10" s="18" t="s">
        <v>15</v>
      </c>
      <c r="D10" s="12"/>
      <c r="E10" s="12"/>
      <c r="F10" s="12"/>
      <c r="G10" s="12"/>
      <c r="H10" s="12"/>
      <c r="I10" s="18" t="s">
        <v>16</v>
      </c>
      <c r="J10" s="12"/>
      <c r="K10" s="12"/>
    </row>
    <row r="11" spans="1:11">
      <c r="A11" s="6">
        <v>1</v>
      </c>
      <c r="B11" s="12" t="s">
        <v>17</v>
      </c>
      <c r="C11" s="12" t="s">
        <v>18</v>
      </c>
      <c r="D11" s="10"/>
      <c r="E11" s="12"/>
      <c r="F11" s="12"/>
      <c r="G11" s="12"/>
      <c r="H11" s="12"/>
      <c r="I11" s="19">
        <f>+I191</f>
        <v>8602443.904140763</v>
      </c>
      <c r="J11" s="12"/>
      <c r="K11" s="12"/>
    </row>
    <row r="12" spans="1:11">
      <c r="A12" s="6"/>
      <c r="B12" s="12"/>
      <c r="C12" s="12"/>
      <c r="D12" s="12"/>
      <c r="E12" s="12"/>
      <c r="F12" s="12"/>
      <c r="G12" s="12"/>
      <c r="H12" s="12"/>
      <c r="I12" s="10"/>
      <c r="J12" s="12"/>
      <c r="K12" s="12"/>
    </row>
    <row r="13" spans="1:11" ht="13.5" thickBot="1">
      <c r="A13" s="6" t="s">
        <v>9</v>
      </c>
      <c r="B13" s="12" t="s">
        <v>19</v>
      </c>
      <c r="C13" s="548" t="s">
        <v>20</v>
      </c>
      <c r="D13" s="18" t="s">
        <v>21</v>
      </c>
      <c r="E13" s="10"/>
      <c r="F13" s="20" t="s">
        <v>22</v>
      </c>
      <c r="G13" s="20"/>
      <c r="H13" s="12"/>
      <c r="I13" s="10"/>
      <c r="J13" s="12"/>
      <c r="K13" s="12"/>
    </row>
    <row r="14" spans="1:11">
      <c r="A14" s="6">
        <f>+A11+1</f>
        <v>2</v>
      </c>
      <c r="B14" s="12" t="s">
        <v>23</v>
      </c>
      <c r="C14" s="548" t="str">
        <f>"(Page 4, Line "&amp;A242&amp;")"</f>
        <v>(Page 4, Line 34)</v>
      </c>
      <c r="D14" s="32">
        <f>I242</f>
        <v>0</v>
      </c>
      <c r="E14" s="10"/>
      <c r="F14" s="548" t="s">
        <v>39</v>
      </c>
      <c r="G14" s="556">
        <v>1</v>
      </c>
      <c r="H14" s="22"/>
      <c r="I14" s="800">
        <f>+G14*D14</f>
        <v>0</v>
      </c>
      <c r="J14" s="12"/>
      <c r="K14" s="12"/>
    </row>
    <row r="15" spans="1:11">
      <c r="A15" s="6" t="s">
        <v>618</v>
      </c>
      <c r="B15" s="12" t="s">
        <v>992</v>
      </c>
      <c r="C15" s="548" t="str">
        <f>"(Page 4, Line "&amp;A244&amp;")"</f>
        <v>(Page 4, Line 34a)</v>
      </c>
      <c r="D15" s="32">
        <f>I244</f>
        <v>0</v>
      </c>
      <c r="E15" s="10"/>
      <c r="F15" s="548" t="s">
        <v>39</v>
      </c>
      <c r="G15" s="556">
        <v>1</v>
      </c>
      <c r="H15" s="22"/>
      <c r="I15" s="800">
        <f>+G15*D15</f>
        <v>0</v>
      </c>
      <c r="J15" s="12"/>
      <c r="K15" s="12"/>
    </row>
    <row r="16" spans="1:11">
      <c r="A16" s="6">
        <f>+A14+1</f>
        <v>3</v>
      </c>
      <c r="B16" s="12" t="s">
        <v>25</v>
      </c>
      <c r="C16" s="548" t="str">
        <f>"(Page 4, Line "&amp;A251&amp;")"</f>
        <v>(Page 4, Line 37)</v>
      </c>
      <c r="D16" s="32">
        <f>I251</f>
        <v>75000</v>
      </c>
      <c r="E16" s="10"/>
      <c r="F16" s="548" t="s">
        <v>39</v>
      </c>
      <c r="G16" s="556">
        <v>1</v>
      </c>
      <c r="H16" s="22"/>
      <c r="I16" s="800">
        <f>+G16*D16</f>
        <v>75000</v>
      </c>
      <c r="J16" s="12"/>
      <c r="K16" s="12"/>
    </row>
    <row r="17" spans="1:13">
      <c r="A17" s="6">
        <f>+A16+1</f>
        <v>4</v>
      </c>
      <c r="B17" s="10" t="s">
        <v>26</v>
      </c>
      <c r="C17" s="549" t="s">
        <v>27</v>
      </c>
      <c r="D17" s="32">
        <v>0</v>
      </c>
      <c r="E17" s="10"/>
      <c r="F17" s="548" t="s">
        <v>39</v>
      </c>
      <c r="G17" s="556">
        <v>1</v>
      </c>
      <c r="H17" s="22"/>
      <c r="I17" s="800">
        <f>+G17*D17</f>
        <v>0</v>
      </c>
      <c r="J17" s="12"/>
      <c r="K17" s="12"/>
    </row>
    <row r="18" spans="1:13" ht="13.5" thickBot="1">
      <c r="A18" s="6">
        <f>+A17+1</f>
        <v>5</v>
      </c>
      <c r="B18" s="10" t="s">
        <v>28</v>
      </c>
      <c r="C18" s="23" t="s">
        <v>29</v>
      </c>
      <c r="D18" s="32">
        <v>0</v>
      </c>
      <c r="E18" s="10"/>
      <c r="F18" s="548" t="s">
        <v>39</v>
      </c>
      <c r="G18" s="556">
        <v>1</v>
      </c>
      <c r="H18" s="22"/>
      <c r="I18" s="801">
        <f>+G18*D18</f>
        <v>0</v>
      </c>
      <c r="J18" s="12"/>
      <c r="K18" s="12"/>
    </row>
    <row r="19" spans="1:13">
      <c r="A19" s="6">
        <f>+A18+1</f>
        <v>6</v>
      </c>
      <c r="B19" s="12" t="s">
        <v>30</v>
      </c>
      <c r="C19" s="12" t="s">
        <v>31</v>
      </c>
      <c r="D19" s="797" t="s">
        <v>9</v>
      </c>
      <c r="E19" s="10"/>
      <c r="F19" s="10"/>
      <c r="G19" s="24"/>
      <c r="H19" s="22"/>
      <c r="I19" s="800">
        <f>SUM(I14:I18)</f>
        <v>75000</v>
      </c>
      <c r="J19" s="12"/>
      <c r="K19" s="12"/>
    </row>
    <row r="20" spans="1:13">
      <c r="A20" s="6"/>
      <c r="B20" s="4"/>
      <c r="C20" s="12"/>
      <c r="D20" s="798" t="s">
        <v>9</v>
      </c>
      <c r="E20" s="12"/>
      <c r="F20" s="12"/>
      <c r="G20" s="25"/>
      <c r="H20" s="12"/>
      <c r="I20" s="4"/>
      <c r="J20" s="12"/>
      <c r="K20" s="12"/>
    </row>
    <row r="21" spans="1:13">
      <c r="A21" s="6" t="s">
        <v>32</v>
      </c>
      <c r="B21" s="4" t="s">
        <v>33</v>
      </c>
      <c r="C21" s="12"/>
      <c r="D21" s="798"/>
      <c r="E21" s="12"/>
      <c r="F21" s="12"/>
      <c r="G21" s="25"/>
      <c r="H21" s="12"/>
      <c r="I21" s="40">
        <v>0</v>
      </c>
      <c r="J21" s="12"/>
      <c r="K21" s="12"/>
    </row>
    <row r="22" spans="1:13">
      <c r="A22" s="6"/>
      <c r="B22" s="4"/>
      <c r="C22" s="12"/>
      <c r="D22" s="798"/>
      <c r="E22" s="12"/>
      <c r="F22" s="12"/>
      <c r="G22" s="25"/>
      <c r="H22" s="12"/>
      <c r="I22" s="4"/>
      <c r="J22" s="12"/>
      <c r="K22" s="12"/>
    </row>
    <row r="23" spans="1:13" ht="13.5" thickBot="1">
      <c r="A23" s="6" t="s">
        <v>34</v>
      </c>
      <c r="B23" s="12" t="s">
        <v>35</v>
      </c>
      <c r="C23" s="12" t="s">
        <v>36</v>
      </c>
      <c r="D23" s="799" t="s">
        <v>9</v>
      </c>
      <c r="E23" s="10"/>
      <c r="F23" s="10"/>
      <c r="G23" s="10"/>
      <c r="H23" s="10"/>
      <c r="I23" s="26">
        <f>I11-I19-I21</f>
        <v>8527443.904140763</v>
      </c>
      <c r="J23" s="12"/>
      <c r="K23" s="809"/>
      <c r="M23" s="27"/>
    </row>
    <row r="24" spans="1:13" ht="13.5" thickTop="1">
      <c r="A24" s="6"/>
      <c r="B24" s="4"/>
      <c r="C24" s="12"/>
      <c r="D24" s="799"/>
      <c r="E24" s="10"/>
      <c r="F24" s="10"/>
      <c r="G24" s="10"/>
      <c r="H24" s="10"/>
      <c r="I24" s="4"/>
      <c r="J24" s="12"/>
      <c r="K24" s="809"/>
      <c r="M24" s="28"/>
    </row>
    <row r="25" spans="1:13">
      <c r="A25" s="29" t="s">
        <v>37</v>
      </c>
      <c r="B25" s="30" t="s">
        <v>38</v>
      </c>
      <c r="C25" s="31" t="s">
        <v>999</v>
      </c>
      <c r="D25" s="32">
        <f>+'3-Project True-up'!H23</f>
        <v>932713.74789787747</v>
      </c>
      <c r="E25" s="30"/>
      <c r="F25" s="30" t="s">
        <v>39</v>
      </c>
      <c r="G25" s="21">
        <v>1</v>
      </c>
      <c r="H25" s="30"/>
      <c r="I25" s="32">
        <f>+G25*D25</f>
        <v>932713.74789787747</v>
      </c>
      <c r="K25" s="809"/>
    </row>
    <row r="26" spans="1:13">
      <c r="A26" s="29"/>
      <c r="B26" s="30"/>
      <c r="C26" s="30"/>
      <c r="D26" s="30"/>
      <c r="E26" s="30"/>
      <c r="F26" s="30"/>
      <c r="G26" s="30"/>
      <c r="H26" s="30"/>
      <c r="I26" s="33"/>
      <c r="K26" s="809"/>
    </row>
    <row r="27" spans="1:13" ht="13.5" thickBot="1">
      <c r="A27" s="29">
        <v>7</v>
      </c>
      <c r="B27" s="30" t="s">
        <v>35</v>
      </c>
      <c r="C27" s="30" t="s">
        <v>40</v>
      </c>
      <c r="D27" s="30"/>
      <c r="E27" s="33"/>
      <c r="F27" s="33"/>
      <c r="G27" s="33"/>
      <c r="H27" s="33"/>
      <c r="I27" s="34">
        <f>+I23+I25</f>
        <v>9460157.6520386413</v>
      </c>
      <c r="K27" s="809"/>
    </row>
    <row r="28" spans="1:13" ht="13.5" thickTop="1">
      <c r="A28" s="6"/>
      <c r="B28" s="10"/>
      <c r="C28" s="12"/>
      <c r="D28" s="12"/>
      <c r="E28" s="12"/>
      <c r="F28" s="4"/>
      <c r="G28" s="5"/>
      <c r="H28" s="12"/>
      <c r="I28" s="10"/>
      <c r="J28" s="12"/>
      <c r="K28" s="12"/>
    </row>
    <row r="29" spans="1:13">
      <c r="A29" s="6"/>
      <c r="B29" s="12"/>
      <c r="C29" s="12"/>
      <c r="D29" s="12"/>
      <c r="E29" s="12"/>
      <c r="F29" s="4"/>
      <c r="G29" s="5"/>
      <c r="H29" s="12"/>
      <c r="I29" s="10"/>
      <c r="J29" s="12"/>
      <c r="K29" s="12"/>
    </row>
    <row r="30" spans="1:13" ht="15.75">
      <c r="A30" s="35"/>
      <c r="B30" s="36" t="s">
        <v>41</v>
      </c>
      <c r="C30" s="36"/>
      <c r="D30" s="37"/>
      <c r="E30" s="36"/>
      <c r="F30" s="36"/>
      <c r="G30" s="36"/>
      <c r="H30" s="36"/>
      <c r="I30" s="21"/>
      <c r="J30" s="36"/>
      <c r="L30" s="38"/>
    </row>
    <row r="31" spans="1:13" ht="15.75">
      <c r="A31" s="35">
        <v>8</v>
      </c>
      <c r="B31" s="36" t="s">
        <v>42</v>
      </c>
      <c r="D31" s="37"/>
      <c r="E31" s="36"/>
      <c r="F31" s="36"/>
      <c r="G31" s="39" t="s">
        <v>43</v>
      </c>
      <c r="H31" s="36"/>
      <c r="I31" s="40">
        <v>0</v>
      </c>
      <c r="J31" s="36"/>
      <c r="L31" s="38"/>
    </row>
    <row r="32" spans="1:13" ht="15.75">
      <c r="A32" s="35">
        <v>9</v>
      </c>
      <c r="B32" s="36" t="s">
        <v>44</v>
      </c>
      <c r="C32" s="37"/>
      <c r="D32" s="37"/>
      <c r="E32" s="37"/>
      <c r="F32" s="37"/>
      <c r="G32" s="37" t="s">
        <v>45</v>
      </c>
      <c r="H32" s="37"/>
      <c r="I32" s="40">
        <v>0</v>
      </c>
      <c r="J32" s="36"/>
      <c r="L32" s="38"/>
    </row>
    <row r="33" spans="1:12" ht="15.75">
      <c r="A33" s="35">
        <v>10</v>
      </c>
      <c r="B33" s="37" t="s">
        <v>46</v>
      </c>
      <c r="C33" s="36"/>
      <c r="D33" s="36"/>
      <c r="E33" s="36"/>
      <c r="G33" s="39" t="s">
        <v>47</v>
      </c>
      <c r="H33" s="36"/>
      <c r="I33" s="40">
        <v>0</v>
      </c>
      <c r="J33" s="36"/>
      <c r="L33" s="38"/>
    </row>
    <row r="34" spans="1:12" ht="15.75">
      <c r="A34" s="35">
        <v>11</v>
      </c>
      <c r="B34" s="36" t="s">
        <v>48</v>
      </c>
      <c r="C34" s="36"/>
      <c r="D34" s="36"/>
      <c r="E34" s="36"/>
      <c r="G34" s="39" t="s">
        <v>49</v>
      </c>
      <c r="H34" s="36"/>
      <c r="I34" s="40">
        <v>0</v>
      </c>
      <c r="J34" s="36"/>
      <c r="L34" s="38"/>
    </row>
    <row r="35" spans="1:12" ht="15.75">
      <c r="A35" s="35">
        <v>12</v>
      </c>
      <c r="B35" s="37" t="s">
        <v>50</v>
      </c>
      <c r="C35" s="36"/>
      <c r="D35" s="36"/>
      <c r="E35" s="36"/>
      <c r="F35" s="36"/>
      <c r="G35" s="39"/>
      <c r="H35" s="36"/>
      <c r="I35" s="40">
        <v>0</v>
      </c>
      <c r="J35" s="36"/>
      <c r="L35" s="38"/>
    </row>
    <row r="36" spans="1:12" ht="15.75">
      <c r="A36" s="35">
        <v>13</v>
      </c>
      <c r="B36" s="37" t="s">
        <v>51</v>
      </c>
      <c r="C36" s="36"/>
      <c r="D36" s="36"/>
      <c r="E36" s="36"/>
      <c r="F36" s="36"/>
      <c r="G36" s="39" t="s">
        <v>27</v>
      </c>
      <c r="H36" s="36"/>
      <c r="I36" s="40">
        <v>0</v>
      </c>
      <c r="J36" s="36"/>
      <c r="L36" s="38"/>
    </row>
    <row r="37" spans="1:12" ht="16.5" thickBot="1">
      <c r="A37" s="35">
        <v>14</v>
      </c>
      <c r="B37" s="37" t="s">
        <v>52</v>
      </c>
      <c r="C37" s="36"/>
      <c r="D37" s="36"/>
      <c r="E37" s="36"/>
      <c r="F37" s="36"/>
      <c r="G37" s="39"/>
      <c r="H37" s="36"/>
      <c r="I37" s="41">
        <v>0</v>
      </c>
      <c r="J37" s="36"/>
      <c r="L37" s="38"/>
    </row>
    <row r="38" spans="1:12" ht="15.75">
      <c r="A38" s="35">
        <v>15</v>
      </c>
      <c r="B38" s="39" t="s">
        <v>53</v>
      </c>
      <c r="C38" s="36"/>
      <c r="D38" s="36"/>
      <c r="E38" s="36"/>
      <c r="F38" s="36"/>
      <c r="G38" s="36"/>
      <c r="H38" s="36"/>
      <c r="I38" s="21">
        <f>SUM(I31:I37)</f>
        <v>0</v>
      </c>
      <c r="J38" s="36"/>
      <c r="L38" s="38"/>
    </row>
    <row r="39" spans="1:12" ht="15.75">
      <c r="A39" s="35"/>
      <c r="B39" s="36"/>
      <c r="C39" s="36"/>
      <c r="D39" s="36"/>
      <c r="E39" s="36"/>
      <c r="F39" s="36"/>
      <c r="G39" s="36"/>
      <c r="H39" s="36"/>
      <c r="I39" s="21"/>
      <c r="J39" s="36"/>
      <c r="L39" s="38"/>
    </row>
    <row r="40" spans="1:12" ht="15.75">
      <c r="A40" s="35">
        <v>16</v>
      </c>
      <c r="B40" s="36" t="s">
        <v>54</v>
      </c>
      <c r="C40" s="36" t="s">
        <v>55</v>
      </c>
      <c r="D40" s="21">
        <f>IF(I38&gt;0,I27/I38,0)</f>
        <v>0</v>
      </c>
      <c r="E40" s="21"/>
      <c r="F40" s="21"/>
      <c r="G40" s="21"/>
      <c r="H40" s="21"/>
      <c r="I40" s="21"/>
      <c r="J40" s="36"/>
      <c r="L40" s="38"/>
    </row>
    <row r="41" spans="1:12" ht="15.75">
      <c r="A41" s="35">
        <v>17</v>
      </c>
      <c r="B41" s="36" t="s">
        <v>56</v>
      </c>
      <c r="C41" s="36" t="s">
        <v>57</v>
      </c>
      <c r="D41" s="21">
        <f>+D40/12</f>
        <v>0</v>
      </c>
      <c r="E41" s="21"/>
      <c r="F41" s="21"/>
      <c r="G41" s="21"/>
      <c r="H41" s="21"/>
      <c r="I41" s="21"/>
      <c r="J41" s="36"/>
      <c r="L41" s="38"/>
    </row>
    <row r="42" spans="1:12" ht="15.75">
      <c r="A42" s="35"/>
      <c r="B42" s="36"/>
      <c r="C42" s="36"/>
      <c r="D42" s="21"/>
      <c r="E42" s="21"/>
      <c r="F42" s="21"/>
      <c r="G42" s="21"/>
      <c r="H42" s="21"/>
      <c r="I42" s="21"/>
      <c r="J42" s="36"/>
      <c r="L42" s="38"/>
    </row>
    <row r="43" spans="1:12" ht="15.75">
      <c r="A43" s="35"/>
      <c r="B43" s="36"/>
      <c r="C43" s="36"/>
      <c r="D43" s="42" t="s">
        <v>58</v>
      </c>
      <c r="E43" s="21"/>
      <c r="F43" s="21"/>
      <c r="G43" s="21"/>
      <c r="H43" s="21"/>
      <c r="I43" s="42" t="s">
        <v>59</v>
      </c>
      <c r="J43" s="36"/>
      <c r="L43" s="38"/>
    </row>
    <row r="44" spans="1:12" ht="15.75">
      <c r="A44" s="35"/>
      <c r="B44" s="36"/>
      <c r="C44" s="36"/>
      <c r="D44" s="21"/>
      <c r="E44" s="21"/>
      <c r="F44" s="21"/>
      <c r="G44" s="21"/>
      <c r="H44" s="21"/>
      <c r="I44" s="21"/>
      <c r="J44" s="36"/>
      <c r="L44" s="38"/>
    </row>
    <row r="45" spans="1:12" ht="15.75">
      <c r="A45" s="35">
        <v>18</v>
      </c>
      <c r="B45" s="36" t="s">
        <v>60</v>
      </c>
      <c r="C45" s="43" t="s">
        <v>61</v>
      </c>
      <c r="D45" s="21">
        <f>+D40/52</f>
        <v>0</v>
      </c>
      <c r="E45" s="21"/>
      <c r="F45" s="21"/>
      <c r="G45" s="21"/>
      <c r="H45" s="21"/>
      <c r="I45" s="21">
        <f>+D40/52</f>
        <v>0</v>
      </c>
      <c r="J45" s="36"/>
      <c r="L45" s="38"/>
    </row>
    <row r="46" spans="1:12" ht="15.75">
      <c r="A46" s="35">
        <v>19</v>
      </c>
      <c r="B46" s="36" t="s">
        <v>62</v>
      </c>
      <c r="C46" s="43" t="s">
        <v>63</v>
      </c>
      <c r="D46" s="21">
        <f>+D40/260</f>
        <v>0</v>
      </c>
      <c r="E46" s="21" t="s">
        <v>64</v>
      </c>
      <c r="F46" s="21"/>
      <c r="G46" s="21"/>
      <c r="H46" s="21"/>
      <c r="I46" s="21">
        <f>+D40/365</f>
        <v>0</v>
      </c>
      <c r="J46" s="36"/>
      <c r="L46" s="38"/>
    </row>
    <row r="47" spans="1:12" ht="15.75">
      <c r="A47" s="35">
        <v>20</v>
      </c>
      <c r="B47" s="36" t="s">
        <v>65</v>
      </c>
      <c r="C47" s="43" t="s">
        <v>66</v>
      </c>
      <c r="D47" s="21">
        <f>+D40/4160*1000</f>
        <v>0</v>
      </c>
      <c r="E47" s="21" t="s">
        <v>67</v>
      </c>
      <c r="F47" s="21"/>
      <c r="G47" s="21"/>
      <c r="H47" s="21"/>
      <c r="I47" s="21">
        <f>+D40/8760*1000</f>
        <v>0</v>
      </c>
      <c r="J47" s="36"/>
      <c r="L47" s="38"/>
    </row>
    <row r="48" spans="1:12" ht="15.75">
      <c r="A48" s="35"/>
      <c r="B48" s="36"/>
      <c r="C48" s="36" t="s">
        <v>68</v>
      </c>
      <c r="D48" s="21"/>
      <c r="E48" s="21" t="s">
        <v>69</v>
      </c>
      <c r="F48" s="21"/>
      <c r="G48" s="21"/>
      <c r="H48" s="21"/>
      <c r="I48" s="21"/>
      <c r="J48" s="36"/>
      <c r="L48" s="38"/>
    </row>
    <row r="49" spans="1:12" ht="15.75">
      <c r="A49" s="35"/>
      <c r="B49" s="36"/>
      <c r="C49" s="36"/>
      <c r="D49" s="21"/>
      <c r="E49" s="21"/>
      <c r="F49" s="21"/>
      <c r="G49" s="21"/>
      <c r="H49" s="21"/>
      <c r="I49" s="21"/>
      <c r="J49" s="36"/>
      <c r="L49" s="38" t="s">
        <v>9</v>
      </c>
    </row>
    <row r="50" spans="1:12" ht="15.75">
      <c r="A50" s="35">
        <v>21</v>
      </c>
      <c r="B50" s="36" t="s">
        <v>70</v>
      </c>
      <c r="C50" s="36" t="s">
        <v>71</v>
      </c>
      <c r="D50" s="44">
        <v>0</v>
      </c>
      <c r="E50" s="45" t="s">
        <v>72</v>
      </c>
      <c r="F50" s="45"/>
      <c r="G50" s="45"/>
      <c r="H50" s="45"/>
      <c r="I50" s="45">
        <f>D50</f>
        <v>0</v>
      </c>
      <c r="J50" s="46" t="s">
        <v>72</v>
      </c>
      <c r="L50" s="38"/>
    </row>
    <row r="51" spans="1:12" ht="15.75">
      <c r="A51" s="35">
        <v>22</v>
      </c>
      <c r="B51" s="36"/>
      <c r="C51" s="36"/>
      <c r="D51" s="44">
        <v>0</v>
      </c>
      <c r="E51" s="45" t="s">
        <v>73</v>
      </c>
      <c r="F51" s="45"/>
      <c r="G51" s="45"/>
      <c r="H51" s="45"/>
      <c r="I51" s="45">
        <f>D51</f>
        <v>0</v>
      </c>
      <c r="J51" s="46" t="s">
        <v>73</v>
      </c>
      <c r="L51" s="38"/>
    </row>
    <row r="52" spans="1:12" ht="15.75">
      <c r="A52" s="35"/>
      <c r="C52" s="36"/>
      <c r="D52" s="36"/>
      <c r="E52" s="46"/>
      <c r="F52" s="46"/>
      <c r="G52" s="46"/>
      <c r="H52" s="46"/>
      <c r="I52" s="46"/>
      <c r="J52" s="46"/>
      <c r="K52" s="46"/>
      <c r="L52" s="38"/>
    </row>
    <row r="53" spans="1:12">
      <c r="A53" s="6"/>
      <c r="B53" s="12"/>
      <c r="C53" s="12"/>
      <c r="D53" s="47"/>
      <c r="E53" s="47"/>
      <c r="F53" s="47"/>
      <c r="G53" s="47"/>
      <c r="H53" s="47"/>
      <c r="I53" s="47"/>
      <c r="J53" s="47"/>
      <c r="K53" s="48" t="str">
        <f>+K1</f>
        <v>Attachment O-GLH</v>
      </c>
    </row>
    <row r="54" spans="1:12">
      <c r="A54" s="4"/>
      <c r="B54" s="12"/>
      <c r="C54" s="12"/>
      <c r="D54" s="12"/>
      <c r="E54" s="12"/>
      <c r="F54" s="12"/>
      <c r="G54" s="12"/>
      <c r="H54" s="12"/>
      <c r="I54" s="49"/>
      <c r="J54" s="12"/>
      <c r="K54" s="48" t="s">
        <v>74</v>
      </c>
    </row>
    <row r="55" spans="1:12">
      <c r="A55" s="4"/>
      <c r="B55" s="12"/>
      <c r="C55" s="12"/>
      <c r="D55" s="12"/>
      <c r="E55" s="12"/>
      <c r="F55" s="12"/>
      <c r="G55" s="12"/>
      <c r="H55" s="12"/>
      <c r="I55" s="12"/>
      <c r="J55" s="12"/>
      <c r="K55" s="12"/>
    </row>
    <row r="56" spans="1:12">
      <c r="A56" s="4"/>
      <c r="B56" s="12" t="s">
        <v>2</v>
      </c>
      <c r="C56" s="12"/>
      <c r="D56" s="17" t="s">
        <v>3</v>
      </c>
      <c r="E56" s="12"/>
      <c r="F56" s="12"/>
      <c r="G56" s="12"/>
      <c r="H56" s="12"/>
      <c r="I56" s="1"/>
      <c r="J56" s="12"/>
      <c r="K56" s="48" t="str">
        <f>K3</f>
        <v>For the 12 months ended 12/31/2022</v>
      </c>
    </row>
    <row r="57" spans="1:12">
      <c r="A57" s="4"/>
      <c r="B57" s="50"/>
      <c r="C57" s="10"/>
      <c r="D57" s="11" t="s">
        <v>4</v>
      </c>
      <c r="E57" s="10"/>
      <c r="F57" s="10"/>
      <c r="G57" s="10"/>
      <c r="H57" s="10"/>
      <c r="I57" s="10"/>
      <c r="J57" s="10"/>
      <c r="K57" s="10"/>
    </row>
    <row r="58" spans="1:12">
      <c r="A58" s="4"/>
      <c r="B58" s="12"/>
      <c r="C58" s="10"/>
      <c r="D58" s="11" t="str">
        <f>+D5</f>
        <v>GridLiance Heartland LLC</v>
      </c>
      <c r="E58" s="10"/>
      <c r="F58" s="10"/>
      <c r="G58" s="10" t="s">
        <v>9</v>
      </c>
      <c r="H58" s="10"/>
      <c r="I58" s="10"/>
      <c r="J58" s="10"/>
      <c r="K58" s="10"/>
    </row>
    <row r="59" spans="1:12">
      <c r="A59" s="825"/>
      <c r="B59" s="825"/>
      <c r="C59" s="825"/>
      <c r="D59" s="825"/>
      <c r="E59" s="825"/>
      <c r="F59" s="825"/>
      <c r="G59" s="825"/>
      <c r="H59" s="825"/>
      <c r="I59" s="825"/>
      <c r="J59" s="825"/>
      <c r="K59" s="825"/>
    </row>
    <row r="60" spans="1:12">
      <c r="A60" s="4"/>
      <c r="B60" s="17" t="s">
        <v>6</v>
      </c>
      <c r="C60" s="17" t="s">
        <v>7</v>
      </c>
      <c r="D60" s="17" t="s">
        <v>8</v>
      </c>
      <c r="E60" s="10" t="s">
        <v>9</v>
      </c>
      <c r="F60" s="10"/>
      <c r="G60" s="16" t="s">
        <v>10</v>
      </c>
      <c r="H60" s="10"/>
      <c r="I60" s="16" t="s">
        <v>11</v>
      </c>
      <c r="J60" s="10"/>
      <c r="K60" s="17"/>
    </row>
    <row r="61" spans="1:12">
      <c r="A61" s="4"/>
      <c r="B61" s="12"/>
      <c r="C61" s="51"/>
      <c r="D61" s="10"/>
      <c r="E61" s="10"/>
      <c r="F61" s="10"/>
      <c r="G61" s="6"/>
      <c r="H61" s="10"/>
      <c r="I61" s="52" t="s">
        <v>75</v>
      </c>
      <c r="J61" s="10"/>
      <c r="K61" s="17"/>
    </row>
    <row r="62" spans="1:12">
      <c r="A62" s="6" t="s">
        <v>12</v>
      </c>
      <c r="B62" s="12"/>
      <c r="C62" s="53" t="s">
        <v>15</v>
      </c>
      <c r="D62" s="52" t="s">
        <v>76</v>
      </c>
      <c r="E62" s="54"/>
      <c r="F62" s="52" t="s">
        <v>77</v>
      </c>
      <c r="G62" s="4"/>
      <c r="H62" s="54"/>
      <c r="I62" s="6" t="s">
        <v>78</v>
      </c>
      <c r="J62" s="10"/>
      <c r="K62" s="17"/>
    </row>
    <row r="63" spans="1:12" ht="13.5" thickBot="1">
      <c r="A63" s="18" t="s">
        <v>14</v>
      </c>
      <c r="B63" s="55" t="s">
        <v>79</v>
      </c>
      <c r="C63" s="10"/>
      <c r="D63" s="10"/>
      <c r="E63" s="10"/>
      <c r="F63" s="10"/>
      <c r="G63" s="10"/>
      <c r="H63" s="10"/>
      <c r="I63" s="10"/>
      <c r="J63" s="10"/>
      <c r="K63" s="10"/>
    </row>
    <row r="64" spans="1:12">
      <c r="A64" s="6"/>
      <c r="B64" s="12" t="s">
        <v>80</v>
      </c>
      <c r="C64" s="10"/>
      <c r="D64" s="10"/>
      <c r="E64" s="10"/>
      <c r="F64" s="10"/>
      <c r="G64" s="10"/>
      <c r="H64" s="10"/>
      <c r="I64" s="10"/>
      <c r="J64" s="10"/>
      <c r="K64" s="10"/>
    </row>
    <row r="65" spans="1:12">
      <c r="A65" s="6">
        <v>1</v>
      </c>
      <c r="B65" s="12" t="s">
        <v>81</v>
      </c>
      <c r="C65" s="22" t="s">
        <v>82</v>
      </c>
      <c r="D65" s="32">
        <f>'4- Rate Base'!C23</f>
        <v>0</v>
      </c>
      <c r="E65" s="10"/>
      <c r="F65" s="10" t="s">
        <v>83</v>
      </c>
      <c r="G65" s="56">
        <v>0</v>
      </c>
      <c r="H65" s="10"/>
      <c r="I65" s="32">
        <f>+G65*D65</f>
        <v>0</v>
      </c>
      <c r="J65" s="10"/>
      <c r="K65" s="10"/>
    </row>
    <row r="66" spans="1:12">
      <c r="A66" s="6">
        <f>+A65+1</f>
        <v>2</v>
      </c>
      <c r="B66" s="12" t="s">
        <v>84</v>
      </c>
      <c r="C66" s="22" t="s">
        <v>85</v>
      </c>
      <c r="D66" s="32">
        <f>'4- Rate Base'!D23</f>
        <v>39837101.693476573</v>
      </c>
      <c r="E66" s="10"/>
      <c r="F66" s="10" t="s">
        <v>24</v>
      </c>
      <c r="G66" s="56">
        <f>I211</f>
        <v>0.83165890028977185</v>
      </c>
      <c r="H66" s="22"/>
      <c r="I66" s="32">
        <f>+G66*D66</f>
        <v>33130880.185128536</v>
      </c>
      <c r="J66" s="10"/>
      <c r="K66" s="10"/>
    </row>
    <row r="67" spans="1:12">
      <c r="A67" s="6">
        <f>+A66+1</f>
        <v>3</v>
      </c>
      <c r="B67" s="12" t="s">
        <v>86</v>
      </c>
      <c r="C67" s="22" t="s">
        <v>87</v>
      </c>
      <c r="D67" s="32">
        <f>'4- Rate Base'!E23</f>
        <v>0</v>
      </c>
      <c r="E67" s="10"/>
      <c r="F67" s="10" t="s">
        <v>83</v>
      </c>
      <c r="G67" s="56">
        <v>0</v>
      </c>
      <c r="H67" s="22"/>
      <c r="I67" s="32">
        <f>+G67*D67</f>
        <v>0</v>
      </c>
      <c r="J67" s="10"/>
      <c r="K67" s="10"/>
    </row>
    <row r="68" spans="1:12">
      <c r="A68" s="6">
        <f>+A67+1</f>
        <v>4</v>
      </c>
      <c r="B68" s="12" t="s">
        <v>88</v>
      </c>
      <c r="C68" s="22" t="s">
        <v>89</v>
      </c>
      <c r="D68" s="32">
        <f>'4- Rate Base'!F23</f>
        <v>0</v>
      </c>
      <c r="E68" s="10"/>
      <c r="F68" s="10" t="s">
        <v>90</v>
      </c>
      <c r="G68" s="56">
        <f>I219</f>
        <v>0.83165890028977185</v>
      </c>
      <c r="H68" s="22"/>
      <c r="I68" s="32">
        <f>+G68*D68</f>
        <v>0</v>
      </c>
      <c r="J68" s="10"/>
      <c r="K68" s="10"/>
    </row>
    <row r="69" spans="1:12" ht="13.5" thickBot="1">
      <c r="A69" s="6">
        <f>+A68+1</f>
        <v>5</v>
      </c>
      <c r="B69" s="12" t="s">
        <v>91</v>
      </c>
      <c r="C69" s="22" t="s">
        <v>92</v>
      </c>
      <c r="D69" s="57">
        <f>'4- Rate Base'!G23</f>
        <v>0</v>
      </c>
      <c r="E69" s="10"/>
      <c r="F69" s="10" t="s">
        <v>93</v>
      </c>
      <c r="G69" s="56">
        <f>K223</f>
        <v>0.83165890028977185</v>
      </c>
      <c r="H69" s="22"/>
      <c r="I69" s="57">
        <f>+G69*D69</f>
        <v>0</v>
      </c>
      <c r="J69" s="10"/>
      <c r="K69" s="10"/>
    </row>
    <row r="70" spans="1:12">
      <c r="A70" s="6">
        <f>+A69+1</f>
        <v>6</v>
      </c>
      <c r="B70" s="5" t="s">
        <v>94</v>
      </c>
      <c r="C70" s="10" t="s">
        <v>95</v>
      </c>
      <c r="D70" s="32">
        <f>SUM(D65:D69)</f>
        <v>39837101.693476573</v>
      </c>
      <c r="E70" s="10"/>
      <c r="F70" s="10" t="s">
        <v>96</v>
      </c>
      <c r="G70" s="56">
        <f>IF(I70&gt;0,I70/D70,0)</f>
        <v>0.83165890028977185</v>
      </c>
      <c r="H70" s="22"/>
      <c r="I70" s="32">
        <f>SUM(I65:I69)</f>
        <v>33130880.185128536</v>
      </c>
      <c r="J70" s="10"/>
      <c r="K70" s="58"/>
      <c r="L70" s="108"/>
    </row>
    <row r="71" spans="1:12">
      <c r="A71" s="6"/>
      <c r="B71" s="12"/>
      <c r="C71" s="10"/>
      <c r="D71" s="32"/>
      <c r="E71" s="10"/>
      <c r="F71" s="10"/>
      <c r="G71" s="56"/>
      <c r="H71" s="10"/>
      <c r="I71" s="32"/>
      <c r="J71" s="10"/>
      <c r="K71" s="58"/>
    </row>
    <row r="72" spans="1:12">
      <c r="A72" s="6"/>
      <c r="B72" s="12" t="s">
        <v>97</v>
      </c>
      <c r="C72" s="10"/>
      <c r="D72" s="32"/>
      <c r="E72" s="10"/>
      <c r="F72" s="10"/>
      <c r="G72" s="56"/>
      <c r="H72" s="10"/>
      <c r="I72" s="32"/>
      <c r="J72" s="10"/>
      <c r="K72" s="10"/>
    </row>
    <row r="73" spans="1:12">
      <c r="A73" s="6">
        <f>+A70+1</f>
        <v>7</v>
      </c>
      <c r="B73" s="12" t="s">
        <v>81</v>
      </c>
      <c r="C73" s="22" t="s">
        <v>98</v>
      </c>
      <c r="D73" s="32">
        <f>'4- Rate Base'!L23</f>
        <v>0</v>
      </c>
      <c r="E73" s="10"/>
      <c r="F73" s="10" t="s">
        <v>83</v>
      </c>
      <c r="G73" s="56">
        <f>+G65</f>
        <v>0</v>
      </c>
      <c r="H73" s="10"/>
      <c r="I73" s="32">
        <f>+G73*D73</f>
        <v>0</v>
      </c>
      <c r="J73" s="10"/>
      <c r="K73" s="10"/>
    </row>
    <row r="74" spans="1:12">
      <c r="A74" s="6">
        <f>+A73+1</f>
        <v>8</v>
      </c>
      <c r="B74" s="12" t="s">
        <v>84</v>
      </c>
      <c r="C74" s="22" t="s">
        <v>99</v>
      </c>
      <c r="D74" s="32">
        <f>'4- Rate Base'!M23</f>
        <v>13188156.514826041</v>
      </c>
      <c r="E74" s="10"/>
      <c r="F74" s="10" t="s">
        <v>24</v>
      </c>
      <c r="G74" s="56">
        <f>+G66</f>
        <v>0.83165890028977185</v>
      </c>
      <c r="H74" s="22"/>
      <c r="I74" s="32">
        <f>+G74*D74</f>
        <v>10968047.743969616</v>
      </c>
      <c r="J74" s="10"/>
      <c r="K74" s="10"/>
    </row>
    <row r="75" spans="1:12">
      <c r="A75" s="6">
        <f>+A74+1</f>
        <v>9</v>
      </c>
      <c r="B75" s="12" t="s">
        <v>86</v>
      </c>
      <c r="C75" s="22" t="s">
        <v>100</v>
      </c>
      <c r="D75" s="32">
        <f>'4- Rate Base'!N23</f>
        <v>0</v>
      </c>
      <c r="E75" s="10"/>
      <c r="F75" s="10" t="s">
        <v>83</v>
      </c>
      <c r="G75" s="56">
        <f>+G67</f>
        <v>0</v>
      </c>
      <c r="H75" s="22"/>
      <c r="I75" s="32">
        <f>+G75*D75</f>
        <v>0</v>
      </c>
      <c r="J75" s="10"/>
      <c r="K75" s="10"/>
    </row>
    <row r="76" spans="1:12">
      <c r="A76" s="6">
        <f>+A75+1</f>
        <v>10</v>
      </c>
      <c r="B76" s="12" t="s">
        <v>88</v>
      </c>
      <c r="C76" s="22" t="s">
        <v>101</v>
      </c>
      <c r="D76" s="32">
        <f>'4- Rate Base'!O23</f>
        <v>0</v>
      </c>
      <c r="E76" s="10"/>
      <c r="F76" s="10" t="s">
        <v>90</v>
      </c>
      <c r="G76" s="56">
        <f>+G68</f>
        <v>0.83165890028977185</v>
      </c>
      <c r="H76" s="22"/>
      <c r="I76" s="32">
        <f>+G76*D76</f>
        <v>0</v>
      </c>
      <c r="J76" s="10"/>
      <c r="K76" s="10"/>
    </row>
    <row r="77" spans="1:12" ht="13.5" thickBot="1">
      <c r="A77" s="6">
        <f>+A76+1</f>
        <v>11</v>
      </c>
      <c r="B77" s="12" t="s">
        <v>91</v>
      </c>
      <c r="C77" s="22" t="s">
        <v>102</v>
      </c>
      <c r="D77" s="57">
        <f>'4- Rate Base'!P23</f>
        <v>0</v>
      </c>
      <c r="E77" s="10"/>
      <c r="F77" s="10" t="s">
        <v>93</v>
      </c>
      <c r="G77" s="56">
        <f>+G69</f>
        <v>0.83165890028977185</v>
      </c>
      <c r="H77" s="22"/>
      <c r="I77" s="57">
        <f>+G77*D77</f>
        <v>0</v>
      </c>
      <c r="J77" s="10"/>
      <c r="K77" s="10"/>
    </row>
    <row r="78" spans="1:12">
      <c r="A78" s="6">
        <f>+A77+1</f>
        <v>12</v>
      </c>
      <c r="B78" s="12" t="s">
        <v>103</v>
      </c>
      <c r="C78" s="10" t="s">
        <v>104</v>
      </c>
      <c r="D78" s="32">
        <f>SUM(D73:D77)</f>
        <v>13188156.514826041</v>
      </c>
      <c r="E78" s="10"/>
      <c r="F78" s="10"/>
      <c r="G78" s="56"/>
      <c r="H78" s="22"/>
      <c r="I78" s="32">
        <f>SUM(I73:I77)</f>
        <v>10968047.743969616</v>
      </c>
      <c r="J78" s="10"/>
      <c r="K78" s="10"/>
    </row>
    <row r="79" spans="1:12">
      <c r="A79" s="6"/>
      <c r="B79" s="4"/>
      <c r="C79" s="10" t="s">
        <v>9</v>
      </c>
      <c r="D79" s="32"/>
      <c r="E79" s="10"/>
      <c r="F79" s="10"/>
      <c r="G79" s="56"/>
      <c r="H79" s="10"/>
      <c r="I79" s="32"/>
      <c r="J79" s="10"/>
      <c r="K79" s="58"/>
    </row>
    <row r="80" spans="1:12">
      <c r="A80" s="6"/>
      <c r="B80" s="12" t="s">
        <v>105</v>
      </c>
      <c r="C80" s="10"/>
      <c r="D80" s="32"/>
      <c r="E80" s="10"/>
      <c r="F80" s="10"/>
      <c r="G80" s="56"/>
      <c r="H80" s="10"/>
      <c r="I80" s="32"/>
      <c r="J80" s="10"/>
      <c r="K80" s="10"/>
    </row>
    <row r="81" spans="1:12">
      <c r="A81" s="6">
        <f>+A78+1</f>
        <v>13</v>
      </c>
      <c r="B81" s="12" t="s">
        <v>81</v>
      </c>
      <c r="C81" s="10" t="str">
        <f>"(Line "&amp;A65&amp;" - Line "&amp;A73&amp;")"</f>
        <v>(Line 1 - Line 7)</v>
      </c>
      <c r="D81" s="32">
        <f>D65-D73</f>
        <v>0</v>
      </c>
      <c r="E81" s="22"/>
      <c r="F81" s="22"/>
      <c r="G81" s="56"/>
      <c r="H81" s="22"/>
      <c r="I81" s="32">
        <f>I65-I73</f>
        <v>0</v>
      </c>
      <c r="J81" s="10"/>
      <c r="K81" s="58"/>
    </row>
    <row r="82" spans="1:12">
      <c r="A82" s="6">
        <f>+A81+1</f>
        <v>14</v>
      </c>
      <c r="B82" s="12" t="s">
        <v>84</v>
      </c>
      <c r="C82" s="10" t="str">
        <f>"(Line "&amp;A66&amp;" - Line "&amp;A74&amp;")"</f>
        <v>(Line 2 - Line 8)</v>
      </c>
      <c r="D82" s="32">
        <f>D66-D74</f>
        <v>26648945.178650532</v>
      </c>
      <c r="E82" s="22"/>
      <c r="F82" s="22"/>
      <c r="G82" s="56"/>
      <c r="H82" s="22"/>
      <c r="I82" s="32">
        <f>I66-I74</f>
        <v>22162832.441158921</v>
      </c>
      <c r="J82" s="10"/>
      <c r="K82" s="58"/>
    </row>
    <row r="83" spans="1:12">
      <c r="A83" s="6">
        <f>+A82+1</f>
        <v>15</v>
      </c>
      <c r="B83" s="12" t="s">
        <v>86</v>
      </c>
      <c r="C83" s="10" t="str">
        <f>"(Line "&amp;A67&amp;" - Line "&amp;A75&amp;")"</f>
        <v>(Line 3 - Line 9)</v>
      </c>
      <c r="D83" s="32">
        <f>D67-D75</f>
        <v>0</v>
      </c>
      <c r="E83" s="22"/>
      <c r="F83" s="22"/>
      <c r="G83" s="56"/>
      <c r="H83" s="22"/>
      <c r="I83" s="32">
        <f>I67-I75</f>
        <v>0</v>
      </c>
      <c r="J83" s="10"/>
      <c r="K83" s="58"/>
    </row>
    <row r="84" spans="1:12">
      <c r="A84" s="6">
        <f>+A83+1</f>
        <v>16</v>
      </c>
      <c r="B84" s="12" t="s">
        <v>88</v>
      </c>
      <c r="C84" s="10" t="str">
        <f>"(Line "&amp;A68&amp;" - Line "&amp;A76&amp;")"</f>
        <v>(Line 4 - Line 10)</v>
      </c>
      <c r="D84" s="32">
        <f>D68-D76</f>
        <v>0</v>
      </c>
      <c r="E84" s="22"/>
      <c r="F84" s="22"/>
      <c r="G84" s="56"/>
      <c r="H84" s="22"/>
      <c r="I84" s="32">
        <f>I68-I76</f>
        <v>0</v>
      </c>
      <c r="J84" s="10"/>
      <c r="K84" s="58"/>
    </row>
    <row r="85" spans="1:12" ht="13.5" thickBot="1">
      <c r="A85" s="6">
        <f>+A84+1</f>
        <v>17</v>
      </c>
      <c r="B85" s="12" t="s">
        <v>91</v>
      </c>
      <c r="C85" s="10" t="str">
        <f>"(Line "&amp;A69&amp;" - Line "&amp;A77&amp;")"</f>
        <v>(Line 5 - Line 11)</v>
      </c>
      <c r="D85" s="57">
        <f>D69-D77</f>
        <v>0</v>
      </c>
      <c r="E85" s="22"/>
      <c r="F85" s="22"/>
      <c r="G85" s="56"/>
      <c r="H85" s="22"/>
      <c r="I85" s="57">
        <f>I69-I77</f>
        <v>0</v>
      </c>
      <c r="J85" s="10"/>
      <c r="K85" s="58"/>
    </row>
    <row r="86" spans="1:12">
      <c r="A86" s="6">
        <f>+A85+1</f>
        <v>18</v>
      </c>
      <c r="B86" s="12" t="s">
        <v>106</v>
      </c>
      <c r="C86" s="10" t="s">
        <v>107</v>
      </c>
      <c r="D86" s="32">
        <f>SUM(D81:D85)</f>
        <v>26648945.178650532</v>
      </c>
      <c r="E86" s="22"/>
      <c r="F86" s="22" t="s">
        <v>108</v>
      </c>
      <c r="G86" s="56">
        <f>IF(I86&gt;0,I86/D86,0)</f>
        <v>0.83165890028977185</v>
      </c>
      <c r="H86" s="22"/>
      <c r="I86" s="32">
        <f>SUM(I81:I85)</f>
        <v>22162832.441158921</v>
      </c>
      <c r="J86" s="10"/>
      <c r="K86" s="10"/>
      <c r="L86" s="108"/>
    </row>
    <row r="87" spans="1:12">
      <c r="A87" s="6"/>
      <c r="B87" s="12"/>
      <c r="C87" s="10"/>
      <c r="D87" s="32"/>
      <c r="E87" s="22"/>
      <c r="F87" s="22"/>
      <c r="G87" s="56"/>
      <c r="H87" s="22"/>
      <c r="I87" s="32"/>
      <c r="J87" s="10"/>
      <c r="K87" s="10"/>
    </row>
    <row r="88" spans="1:12">
      <c r="A88" s="6" t="s">
        <v>109</v>
      </c>
      <c r="B88" s="30" t="s">
        <v>110</v>
      </c>
      <c r="C88" s="33" t="s">
        <v>111</v>
      </c>
      <c r="D88" s="32">
        <f>+'4- Rate Base'!H23</f>
        <v>0</v>
      </c>
      <c r="E88" s="33"/>
      <c r="F88" s="33" t="str">
        <f>+F96</f>
        <v>DA</v>
      </c>
      <c r="G88" s="56">
        <v>1</v>
      </c>
      <c r="H88" s="33"/>
      <c r="I88" s="32">
        <f>+G88*D88</f>
        <v>0</v>
      </c>
      <c r="J88" s="10"/>
      <c r="K88" s="10"/>
    </row>
    <row r="89" spans="1:12">
      <c r="A89" s="6"/>
      <c r="B89" s="4"/>
      <c r="C89" s="10"/>
      <c r="D89" s="32"/>
      <c r="E89" s="10"/>
      <c r="F89" s="4"/>
      <c r="G89" s="56"/>
      <c r="H89" s="10"/>
      <c r="I89" s="32"/>
      <c r="J89" s="10"/>
      <c r="K89" s="58"/>
    </row>
    <row r="90" spans="1:12">
      <c r="A90" s="6"/>
      <c r="B90" s="5" t="s">
        <v>112</v>
      </c>
      <c r="C90" s="10"/>
      <c r="D90" s="32"/>
      <c r="E90" s="10"/>
      <c r="F90" s="10"/>
      <c r="G90" s="56"/>
      <c r="H90" s="10"/>
      <c r="I90" s="32"/>
      <c r="J90" s="10"/>
      <c r="K90" s="10"/>
    </row>
    <row r="91" spans="1:12">
      <c r="A91" s="6">
        <f>+A86+1</f>
        <v>19</v>
      </c>
      <c r="B91" s="12" t="s">
        <v>113</v>
      </c>
      <c r="C91" s="10"/>
      <c r="D91" s="32">
        <f>+'4- Rate Base'!E42</f>
        <v>0</v>
      </c>
      <c r="E91" s="10"/>
      <c r="F91" s="10" t="s">
        <v>83</v>
      </c>
      <c r="G91" s="56" t="s">
        <v>114</v>
      </c>
      <c r="H91" s="22"/>
      <c r="I91" s="32">
        <v>0</v>
      </c>
      <c r="J91" s="10"/>
      <c r="K91" s="58"/>
    </row>
    <row r="92" spans="1:12">
      <c r="A92" s="6">
        <f>+A91+1</f>
        <v>20</v>
      </c>
      <c r="B92" s="12" t="s">
        <v>113</v>
      </c>
      <c r="C92" s="10"/>
      <c r="D92" s="32">
        <f>+'4- Rate Base'!F42</f>
        <v>0</v>
      </c>
      <c r="E92" s="10"/>
      <c r="F92" s="10" t="s">
        <v>83</v>
      </c>
      <c r="G92" s="56" t="s">
        <v>114</v>
      </c>
      <c r="H92" s="22"/>
      <c r="I92" s="32">
        <v>0</v>
      </c>
      <c r="J92" s="10"/>
      <c r="K92" s="58"/>
    </row>
    <row r="93" spans="1:12">
      <c r="A93" s="6">
        <f>+A92+1</f>
        <v>21</v>
      </c>
      <c r="B93" s="12" t="s">
        <v>113</v>
      </c>
      <c r="C93" s="10"/>
      <c r="D93" s="32">
        <f>+'4- Rate Base'!G42</f>
        <v>0</v>
      </c>
      <c r="E93" s="10"/>
      <c r="F93" s="10" t="s">
        <v>83</v>
      </c>
      <c r="G93" s="56" t="s">
        <v>114</v>
      </c>
      <c r="H93" s="22"/>
      <c r="I93" s="32">
        <v>0</v>
      </c>
      <c r="J93" s="10"/>
      <c r="K93" s="58"/>
    </row>
    <row r="94" spans="1:12">
      <c r="A94" s="6">
        <f>+A93+1</f>
        <v>22</v>
      </c>
      <c r="B94" s="12" t="s">
        <v>115</v>
      </c>
      <c r="C94" s="10" t="s">
        <v>116</v>
      </c>
      <c r="D94" s="32">
        <f>'8a-ADIT Projection'!H16</f>
        <v>-308723.66978139908</v>
      </c>
      <c r="E94" s="10"/>
      <c r="F94" s="548" t="s">
        <v>119</v>
      </c>
      <c r="G94" s="545">
        <f>G86</f>
        <v>0.83165890028977185</v>
      </c>
      <c r="H94" s="22"/>
      <c r="I94" s="32">
        <f>D94*G94</f>
        <v>-256752.78770382103</v>
      </c>
      <c r="J94" s="10"/>
      <c r="K94" s="58"/>
    </row>
    <row r="95" spans="1:12">
      <c r="A95" s="6">
        <f>+A94+1</f>
        <v>23</v>
      </c>
      <c r="B95" s="4" t="s">
        <v>117</v>
      </c>
      <c r="C95" s="4" t="s">
        <v>118</v>
      </c>
      <c r="D95" s="32">
        <f>+'4- Rate Base'!I42</f>
        <v>0</v>
      </c>
      <c r="E95" s="10"/>
      <c r="F95" s="10" t="s">
        <v>119</v>
      </c>
      <c r="G95" s="56">
        <f>+G86</f>
        <v>0.83165890028977185</v>
      </c>
      <c r="H95" s="22"/>
      <c r="I95" s="32">
        <f>D95*G95</f>
        <v>0</v>
      </c>
      <c r="J95" s="10"/>
      <c r="K95" s="58"/>
    </row>
    <row r="96" spans="1:12">
      <c r="A96" s="6" t="s">
        <v>120</v>
      </c>
      <c r="B96" s="30" t="s">
        <v>121</v>
      </c>
      <c r="C96" s="33" t="s">
        <v>122</v>
      </c>
      <c r="D96" s="32">
        <f>+'4- Rate Base'!C42</f>
        <v>0</v>
      </c>
      <c r="E96" s="33"/>
      <c r="F96" s="546" t="str">
        <f>+F97</f>
        <v>DA</v>
      </c>
      <c r="G96" s="545">
        <v>1</v>
      </c>
      <c r="H96" s="33"/>
      <c r="I96" s="32">
        <f>+G96*D96</f>
        <v>0</v>
      </c>
      <c r="K96" s="58"/>
    </row>
    <row r="97" spans="1:11">
      <c r="A97" s="6" t="s">
        <v>123</v>
      </c>
      <c r="B97" s="30" t="s">
        <v>124</v>
      </c>
      <c r="C97" s="33" t="s">
        <v>125</v>
      </c>
      <c r="D97" s="32">
        <f>+'4- Rate Base'!D42</f>
        <v>0</v>
      </c>
      <c r="E97" s="33"/>
      <c r="F97" s="33" t="s">
        <v>39</v>
      </c>
      <c r="G97" s="56">
        <v>1</v>
      </c>
      <c r="H97" s="33"/>
      <c r="I97" s="32">
        <f>+G97*D97</f>
        <v>0</v>
      </c>
      <c r="K97" s="58"/>
    </row>
    <row r="98" spans="1:11" ht="13.5" thickBot="1">
      <c r="A98" s="6" t="s">
        <v>126</v>
      </c>
      <c r="B98" s="30" t="s">
        <v>127</v>
      </c>
      <c r="C98" s="33" t="s">
        <v>128</v>
      </c>
      <c r="D98" s="57">
        <f>+'4- Rate Base'!I59</f>
        <v>0</v>
      </c>
      <c r="E98" s="33"/>
      <c r="F98" s="33" t="str">
        <f>+F97</f>
        <v>DA</v>
      </c>
      <c r="G98" s="56">
        <f>+G97</f>
        <v>1</v>
      </c>
      <c r="H98" s="33"/>
      <c r="I98" s="57">
        <f>+D98*G98</f>
        <v>0</v>
      </c>
      <c r="K98" s="58"/>
    </row>
    <row r="99" spans="1:11">
      <c r="A99" s="6">
        <v>24</v>
      </c>
      <c r="B99" s="12" t="s">
        <v>129</v>
      </c>
      <c r="C99" s="10" t="s">
        <v>130</v>
      </c>
      <c r="D99" s="32">
        <f>SUM(D91:D98)</f>
        <v>-308723.66978139908</v>
      </c>
      <c r="E99" s="10"/>
      <c r="F99" s="10"/>
      <c r="G99" s="56"/>
      <c r="H99" s="22"/>
      <c r="I99" s="32">
        <f>SUM(I91:I98)</f>
        <v>-256752.78770382103</v>
      </c>
      <c r="J99" s="10"/>
      <c r="K99" s="10"/>
    </row>
    <row r="100" spans="1:11">
      <c r="A100" s="6"/>
      <c r="B100" s="4"/>
      <c r="C100" s="10"/>
      <c r="D100" s="32"/>
      <c r="E100" s="10"/>
      <c r="F100" s="10"/>
      <c r="G100" s="56"/>
      <c r="H100" s="10"/>
      <c r="I100" s="32"/>
      <c r="J100" s="10"/>
      <c r="K100" s="58"/>
    </row>
    <row r="101" spans="1:11">
      <c r="A101" s="6">
        <f>+A99+1</f>
        <v>25</v>
      </c>
      <c r="B101" s="5" t="s">
        <v>131</v>
      </c>
      <c r="C101" s="59" t="s">
        <v>132</v>
      </c>
      <c r="D101" s="60">
        <f>+'4- Rate Base'!I23</f>
        <v>0</v>
      </c>
      <c r="E101" s="10"/>
      <c r="F101" s="10" t="s">
        <v>24</v>
      </c>
      <c r="G101" s="56">
        <f>+G74</f>
        <v>0.83165890028977185</v>
      </c>
      <c r="H101" s="22"/>
      <c r="I101" s="32">
        <f>+G101*D101</f>
        <v>0</v>
      </c>
      <c r="J101" s="10"/>
      <c r="K101" s="10"/>
    </row>
    <row r="102" spans="1:11">
      <c r="A102" s="6"/>
      <c r="B102" s="12"/>
      <c r="C102" s="10"/>
      <c r="D102" s="32"/>
      <c r="E102" s="10"/>
      <c r="F102" s="10"/>
      <c r="G102" s="56"/>
      <c r="H102" s="22"/>
      <c r="I102" s="32"/>
      <c r="J102" s="10"/>
      <c r="K102" s="10"/>
    </row>
    <row r="103" spans="1:11">
      <c r="A103" s="6"/>
      <c r="B103" s="12" t="s">
        <v>133</v>
      </c>
      <c r="C103" s="10" t="s">
        <v>134</v>
      </c>
      <c r="D103" s="32"/>
      <c r="E103" s="10"/>
      <c r="F103" s="10"/>
      <c r="G103" s="56"/>
      <c r="H103" s="22"/>
      <c r="I103" s="32"/>
      <c r="J103" s="10"/>
      <c r="K103" s="10"/>
    </row>
    <row r="104" spans="1:11">
      <c r="A104" s="6">
        <f>+A101+1</f>
        <v>26</v>
      </c>
      <c r="B104" s="12" t="s">
        <v>135</v>
      </c>
      <c r="C104" s="4" t="s">
        <v>136</v>
      </c>
      <c r="D104" s="32">
        <f>(D138-D135)/8</f>
        <v>1295895.3049880681</v>
      </c>
      <c r="E104" s="10"/>
      <c r="F104" s="10"/>
      <c r="G104" s="56"/>
      <c r="H104" s="22"/>
      <c r="I104" s="32">
        <f>(I138-I135)/8</f>
        <v>1077742.8642370552</v>
      </c>
      <c r="J104" s="12"/>
      <c r="K104" s="58"/>
    </row>
    <row r="105" spans="1:11">
      <c r="A105" s="6">
        <f>+A104+1</f>
        <v>27</v>
      </c>
      <c r="B105" s="12" t="s">
        <v>137</v>
      </c>
      <c r="C105" s="59" t="s">
        <v>138</v>
      </c>
      <c r="D105" s="32">
        <f>+'4- Rate Base'!J23</f>
        <v>356263.75</v>
      </c>
      <c r="E105" s="10"/>
      <c r="F105" s="10" t="s">
        <v>24</v>
      </c>
      <c r="G105" s="56">
        <f>+G122</f>
        <v>0.83165890028977185</v>
      </c>
      <c r="H105" s="22"/>
      <c r="I105" s="32">
        <f>+G105*D105</f>
        <v>296289.91853811021</v>
      </c>
      <c r="J105" s="10" t="s">
        <v>9</v>
      </c>
      <c r="K105" s="58"/>
    </row>
    <row r="106" spans="1:11" ht="13.5" thickBot="1">
      <c r="A106" s="6">
        <f>+A105+1</f>
        <v>28</v>
      </c>
      <c r="B106" s="12" t="s">
        <v>139</v>
      </c>
      <c r="C106" s="22" t="s">
        <v>140</v>
      </c>
      <c r="D106" s="57">
        <f>+'4- Rate Base'!K23</f>
        <v>167978.14936432813</v>
      </c>
      <c r="E106" s="10"/>
      <c r="F106" s="10" t="s">
        <v>141</v>
      </c>
      <c r="G106" s="56">
        <f>+G70</f>
        <v>0.83165890028977185</v>
      </c>
      <c r="H106" s="22"/>
      <c r="I106" s="57">
        <f>+G106*D106</f>
        <v>139700.52297304818</v>
      </c>
      <c r="J106" s="10"/>
      <c r="K106" s="58"/>
    </row>
    <row r="107" spans="1:11">
      <c r="A107" s="6">
        <f>+A106+1</f>
        <v>29</v>
      </c>
      <c r="B107" s="12" t="s">
        <v>142</v>
      </c>
      <c r="C107" s="12" t="s">
        <v>143</v>
      </c>
      <c r="D107" s="32">
        <f>SUM(D104:D106)</f>
        <v>1820137.2043523961</v>
      </c>
      <c r="E107" s="12"/>
      <c r="F107" s="12"/>
      <c r="G107" s="1"/>
      <c r="H107" s="1"/>
      <c r="I107" s="32">
        <f>I104+I105+I106</f>
        <v>1513733.3057482138</v>
      </c>
      <c r="J107" s="12"/>
      <c r="K107" s="12"/>
    </row>
    <row r="108" spans="1:11" ht="13.5" thickBot="1">
      <c r="A108" s="6"/>
      <c r="B108" s="4"/>
      <c r="C108" s="10"/>
      <c r="D108" s="57"/>
      <c r="E108" s="10"/>
      <c r="F108" s="10"/>
      <c r="G108" s="10"/>
      <c r="H108" s="10"/>
      <c r="I108" s="57"/>
      <c r="J108" s="10"/>
      <c r="K108" s="10"/>
    </row>
    <row r="109" spans="1:11" ht="13.5" thickBot="1">
      <c r="A109" s="6">
        <f>+A107+1</f>
        <v>30</v>
      </c>
      <c r="B109" s="12" t="s">
        <v>144</v>
      </c>
      <c r="C109" s="10" t="s">
        <v>145</v>
      </c>
      <c r="D109" s="61">
        <f>+D107+D101+D99+D86+D88</f>
        <v>28160358.713221528</v>
      </c>
      <c r="E109" s="22"/>
      <c r="F109" s="22"/>
      <c r="G109" s="62"/>
      <c r="H109" s="22"/>
      <c r="I109" s="63">
        <f>+I107+I101+I99+I86+I88</f>
        <v>23419812.959203314</v>
      </c>
      <c r="J109" s="10"/>
      <c r="K109" s="58"/>
    </row>
    <row r="110" spans="1:11" ht="13.5" thickTop="1">
      <c r="A110" s="6"/>
      <c r="B110" s="12"/>
      <c r="C110" s="10"/>
      <c r="D110" s="22"/>
      <c r="E110" s="22"/>
      <c r="F110" s="22"/>
      <c r="G110" s="62"/>
      <c r="H110" s="22"/>
      <c r="I110" s="22"/>
      <c r="J110" s="10"/>
      <c r="K110" s="58"/>
    </row>
    <row r="111" spans="1:11">
      <c r="A111" s="6"/>
      <c r="B111" s="12"/>
      <c r="C111" s="10"/>
      <c r="D111" s="22"/>
      <c r="E111" s="22"/>
      <c r="F111" s="22"/>
      <c r="G111" s="62"/>
      <c r="H111" s="22"/>
      <c r="I111" s="22"/>
      <c r="J111" s="10"/>
      <c r="K111" s="58"/>
    </row>
    <row r="112" spans="1:11">
      <c r="A112" s="6"/>
      <c r="B112" s="12"/>
      <c r="C112" s="10"/>
      <c r="D112" s="10"/>
      <c r="E112" s="10"/>
      <c r="F112" s="10"/>
      <c r="G112" s="10"/>
      <c r="H112" s="10"/>
      <c r="I112" s="10"/>
      <c r="J112" s="10"/>
      <c r="K112" s="48" t="str">
        <f>+K1</f>
        <v>Attachment O-GLH</v>
      </c>
    </row>
    <row r="113" spans="1:11">
      <c r="A113" s="6"/>
      <c r="B113" s="12"/>
      <c r="C113" s="10"/>
      <c r="D113" s="10"/>
      <c r="E113" s="10"/>
      <c r="F113" s="10"/>
      <c r="G113" s="10"/>
      <c r="H113" s="10"/>
      <c r="I113" s="10"/>
      <c r="J113" s="10"/>
      <c r="K113" s="48" t="s">
        <v>146</v>
      </c>
    </row>
    <row r="114" spans="1:11">
      <c r="A114" s="6"/>
      <c r="B114" s="12" t="s">
        <v>2</v>
      </c>
      <c r="C114" s="10"/>
      <c r="D114" s="11" t="s">
        <v>3</v>
      </c>
      <c r="E114" s="10"/>
      <c r="F114" s="10"/>
      <c r="G114" s="10"/>
      <c r="H114" s="10"/>
      <c r="I114" s="1"/>
      <c r="J114" s="10"/>
      <c r="K114" s="64" t="str">
        <f>K3</f>
        <v>For the 12 months ended 12/31/2022</v>
      </c>
    </row>
    <row r="115" spans="1:11">
      <c r="A115" s="6"/>
      <c r="B115" s="12"/>
      <c r="C115" s="10"/>
      <c r="D115" s="11" t="s">
        <v>4</v>
      </c>
      <c r="E115" s="10"/>
      <c r="F115" s="10"/>
      <c r="G115" s="10"/>
      <c r="H115" s="10"/>
      <c r="I115" s="10"/>
      <c r="J115" s="10"/>
      <c r="K115" s="10"/>
    </row>
    <row r="116" spans="1:11">
      <c r="A116" s="6"/>
      <c r="B116" s="4"/>
      <c r="C116" s="10"/>
      <c r="D116" s="11" t="str">
        <f>+D58</f>
        <v>GridLiance Heartland LLC</v>
      </c>
      <c r="E116" s="10"/>
      <c r="F116" s="10"/>
      <c r="G116" s="10"/>
      <c r="H116" s="10"/>
      <c r="I116" s="10"/>
      <c r="J116" s="10"/>
      <c r="K116" s="10"/>
    </row>
    <row r="117" spans="1:11">
      <c r="A117" s="826"/>
      <c r="B117" s="826"/>
      <c r="C117" s="826"/>
      <c r="D117" s="826"/>
      <c r="E117" s="826"/>
      <c r="F117" s="826"/>
      <c r="G117" s="826"/>
      <c r="H117" s="826"/>
      <c r="I117" s="826"/>
      <c r="J117" s="826"/>
      <c r="K117" s="826"/>
    </row>
    <row r="118" spans="1:11">
      <c r="A118" s="6"/>
      <c r="B118" s="17" t="s">
        <v>6</v>
      </c>
      <c r="C118" s="17" t="s">
        <v>7</v>
      </c>
      <c r="D118" s="17" t="s">
        <v>8</v>
      </c>
      <c r="E118" s="10" t="s">
        <v>9</v>
      </c>
      <c r="F118" s="10"/>
      <c r="G118" s="16" t="s">
        <v>10</v>
      </c>
      <c r="H118" s="10"/>
      <c r="I118" s="16" t="s">
        <v>11</v>
      </c>
      <c r="J118" s="10"/>
      <c r="K118" s="10"/>
    </row>
    <row r="119" spans="1:11">
      <c r="A119" s="6" t="s">
        <v>12</v>
      </c>
      <c r="B119" s="12"/>
      <c r="C119" s="51"/>
      <c r="D119" s="10"/>
      <c r="E119" s="10"/>
      <c r="F119" s="10"/>
      <c r="G119" s="6"/>
      <c r="H119" s="10"/>
      <c r="I119" s="52" t="s">
        <v>75</v>
      </c>
      <c r="J119" s="10"/>
      <c r="K119" s="52"/>
    </row>
    <row r="120" spans="1:11" ht="13.5" thickBot="1">
      <c r="A120" s="18" t="s">
        <v>14</v>
      </c>
      <c r="B120" s="12"/>
      <c r="C120" s="53" t="s">
        <v>15</v>
      </c>
      <c r="D120" s="52" t="s">
        <v>76</v>
      </c>
      <c r="E120" s="54"/>
      <c r="F120" s="52" t="s">
        <v>77</v>
      </c>
      <c r="G120" s="4"/>
      <c r="H120" s="54"/>
      <c r="I120" s="6" t="s">
        <v>78</v>
      </c>
      <c r="J120" s="10"/>
      <c r="K120" s="52"/>
    </row>
    <row r="121" spans="1:11">
      <c r="A121" s="6"/>
      <c r="B121" s="12" t="s">
        <v>147</v>
      </c>
      <c r="C121" s="10" t="s">
        <v>148</v>
      </c>
      <c r="D121" s="10"/>
      <c r="E121" s="10"/>
      <c r="F121" s="10"/>
      <c r="G121" s="10"/>
      <c r="H121" s="10"/>
      <c r="I121" s="10"/>
      <c r="J121" s="10"/>
      <c r="K121" s="10"/>
    </row>
    <row r="122" spans="1:11">
      <c r="A122" s="6">
        <v>1</v>
      </c>
      <c r="B122" s="12" t="s">
        <v>149</v>
      </c>
      <c r="C122" s="10" t="s">
        <v>150</v>
      </c>
      <c r="D122" s="32">
        <f>+'5-P3 Support'!C22</f>
        <v>6037258.9979127543</v>
      </c>
      <c r="E122" s="10"/>
      <c r="F122" s="10" t="s">
        <v>24</v>
      </c>
      <c r="G122" s="56">
        <f>+I211</f>
        <v>0.83165890028977185</v>
      </c>
      <c r="H122" s="22"/>
      <c r="I122" s="32">
        <f t="shared" ref="I122:I133" si="0">+G122*D122</f>
        <v>5020940.1789686512</v>
      </c>
      <c r="J122" s="12"/>
      <c r="K122" s="10"/>
    </row>
    <row r="123" spans="1:11">
      <c r="A123" s="29" t="s">
        <v>151</v>
      </c>
      <c r="B123" s="555" t="s">
        <v>981</v>
      </c>
      <c r="C123" s="10" t="s">
        <v>152</v>
      </c>
      <c r="D123" s="32">
        <f>+'5-P3 Support'!N22</f>
        <v>2978700.0000000005</v>
      </c>
      <c r="E123" s="33"/>
      <c r="F123" s="33" t="str">
        <f>+F122</f>
        <v>TP</v>
      </c>
      <c r="G123" s="56">
        <f>+G122</f>
        <v>0.83165890028977185</v>
      </c>
      <c r="H123" s="33"/>
      <c r="I123" s="32">
        <f t="shared" si="0"/>
        <v>2477262.3662931439</v>
      </c>
      <c r="K123" s="10"/>
    </row>
    <row r="124" spans="1:11">
      <c r="A124" s="29" t="s">
        <v>153</v>
      </c>
      <c r="B124" s="149" t="s">
        <v>154</v>
      </c>
      <c r="C124" s="10" t="s">
        <v>155</v>
      </c>
      <c r="D124" s="32">
        <f>+'5-P3 Support'!D22</f>
        <v>0</v>
      </c>
      <c r="E124" s="33"/>
      <c r="F124" s="33" t="str">
        <f>+F123</f>
        <v>TP</v>
      </c>
      <c r="G124" s="56">
        <f>+G123</f>
        <v>0.83165890028977185</v>
      </c>
      <c r="H124" s="33"/>
      <c r="I124" s="32">
        <f t="shared" si="0"/>
        <v>0</v>
      </c>
      <c r="K124" s="10"/>
    </row>
    <row r="125" spans="1:11">
      <c r="A125" s="29">
        <v>2</v>
      </c>
      <c r="B125" s="12" t="s">
        <v>156</v>
      </c>
      <c r="C125" s="10" t="s">
        <v>157</v>
      </c>
      <c r="D125" s="32">
        <f>+'5-P3 Support'!E22</f>
        <v>0</v>
      </c>
      <c r="E125" s="10"/>
      <c r="F125" s="10" t="str">
        <f>+F123</f>
        <v>TP</v>
      </c>
      <c r="G125" s="56">
        <f>+G124</f>
        <v>0.83165890028977185</v>
      </c>
      <c r="H125" s="22"/>
      <c r="I125" s="32">
        <f t="shared" si="0"/>
        <v>0</v>
      </c>
      <c r="J125" s="12"/>
      <c r="K125" s="10"/>
    </row>
    <row r="126" spans="1:11">
      <c r="A126" s="29">
        <f>+A125+1</f>
        <v>3</v>
      </c>
      <c r="B126" s="12" t="s">
        <v>158</v>
      </c>
      <c r="C126" s="10" t="s">
        <v>159</v>
      </c>
      <c r="D126" s="32">
        <f>+'5-P3 Support'!F22-D149</f>
        <v>7308603.4419917902</v>
      </c>
      <c r="E126" s="10"/>
      <c r="F126" s="10" t="s">
        <v>90</v>
      </c>
      <c r="G126" s="56">
        <f>+I219</f>
        <v>0.83165890028977185</v>
      </c>
      <c r="H126" s="22"/>
      <c r="I126" s="32">
        <f t="shared" si="0"/>
        <v>6078265.1012209337</v>
      </c>
      <c r="J126" s="10"/>
      <c r="K126" s="10" t="s">
        <v>9</v>
      </c>
    </row>
    <row r="127" spans="1:11">
      <c r="A127" s="29">
        <f>+A126+1</f>
        <v>4</v>
      </c>
      <c r="B127" s="12" t="s">
        <v>160</v>
      </c>
      <c r="C127" s="10" t="s">
        <v>161</v>
      </c>
      <c r="D127" s="32">
        <f>'5-P3 Support'!G22</f>
        <v>0</v>
      </c>
      <c r="E127" s="10"/>
      <c r="F127" s="10" t="s">
        <v>90</v>
      </c>
      <c r="G127" s="56">
        <f>+G126</f>
        <v>0.83165890028977185</v>
      </c>
      <c r="H127" s="22"/>
      <c r="I127" s="32">
        <f t="shared" si="0"/>
        <v>0</v>
      </c>
      <c r="J127" s="10"/>
      <c r="K127" s="10"/>
    </row>
    <row r="128" spans="1:11">
      <c r="A128" s="29">
        <f>+A127+1</f>
        <v>5</v>
      </c>
      <c r="B128" s="12" t="s">
        <v>162</v>
      </c>
      <c r="C128" s="10" t="s">
        <v>163</v>
      </c>
      <c r="D128" s="32">
        <f>'5-P3 Support'!H22</f>
        <v>0</v>
      </c>
      <c r="E128" s="10"/>
      <c r="F128" s="10" t="s">
        <v>90</v>
      </c>
      <c r="G128" s="56">
        <f>+G127</f>
        <v>0.83165890028977185</v>
      </c>
      <c r="H128" s="22"/>
      <c r="I128" s="32">
        <f t="shared" si="0"/>
        <v>0</v>
      </c>
      <c r="J128" s="10"/>
      <c r="K128" s="10"/>
    </row>
    <row r="129" spans="1:11">
      <c r="A129" s="29" t="s">
        <v>164</v>
      </c>
      <c r="B129" s="12" t="s">
        <v>165</v>
      </c>
      <c r="C129" s="10" t="s">
        <v>166</v>
      </c>
      <c r="D129" s="32">
        <f>'5-P3 Support'!I22</f>
        <v>0</v>
      </c>
      <c r="E129" s="10"/>
      <c r="F129" s="65" t="s">
        <v>24</v>
      </c>
      <c r="G129" s="56">
        <f>+G122</f>
        <v>0.83165890028977185</v>
      </c>
      <c r="H129" s="22"/>
      <c r="I129" s="32">
        <f t="shared" si="0"/>
        <v>0</v>
      </c>
      <c r="J129" s="10"/>
      <c r="K129" s="10"/>
    </row>
    <row r="130" spans="1:11" s="69" customFormat="1">
      <c r="A130" s="29" t="s">
        <v>167</v>
      </c>
      <c r="B130" s="12" t="s">
        <v>168</v>
      </c>
      <c r="C130" s="10" t="s">
        <v>169</v>
      </c>
      <c r="D130" s="66">
        <f>+'7 - PBOP'!D13</f>
        <v>0</v>
      </c>
      <c r="E130" s="67"/>
      <c r="F130" s="10" t="str">
        <f>+F128</f>
        <v>W/S</v>
      </c>
      <c r="G130" s="56">
        <f>+G128</f>
        <v>0.83165890028977185</v>
      </c>
      <c r="H130" s="68"/>
      <c r="I130" s="32">
        <f t="shared" si="0"/>
        <v>0</v>
      </c>
      <c r="J130" s="67"/>
      <c r="K130" s="67"/>
    </row>
    <row r="131" spans="1:11" s="69" customFormat="1">
      <c r="A131" s="29" t="s">
        <v>170</v>
      </c>
      <c r="B131" s="12" t="s">
        <v>171</v>
      </c>
      <c r="C131" s="10" t="s">
        <v>172</v>
      </c>
      <c r="D131" s="66">
        <f>+'7 - PBOP'!D16</f>
        <v>0</v>
      </c>
      <c r="E131" s="67"/>
      <c r="F131" s="65" t="str">
        <f>+F128</f>
        <v>W/S</v>
      </c>
      <c r="G131" s="56">
        <f>+G128</f>
        <v>0.83165890028977185</v>
      </c>
      <c r="H131" s="68"/>
      <c r="I131" s="32">
        <f t="shared" si="0"/>
        <v>0</v>
      </c>
      <c r="J131" s="67"/>
      <c r="K131" s="67"/>
    </row>
    <row r="132" spans="1:11">
      <c r="A132" s="29">
        <v>6</v>
      </c>
      <c r="B132" s="12" t="s">
        <v>91</v>
      </c>
      <c r="C132" s="10" t="s">
        <v>173</v>
      </c>
      <c r="D132" s="70">
        <v>0</v>
      </c>
      <c r="E132" s="10"/>
      <c r="F132" s="10" t="s">
        <v>93</v>
      </c>
      <c r="G132" s="56">
        <f>+G77</f>
        <v>0.83165890028977185</v>
      </c>
      <c r="H132" s="22"/>
      <c r="I132" s="32">
        <f t="shared" si="0"/>
        <v>0</v>
      </c>
      <c r="J132" s="10"/>
      <c r="K132" s="10"/>
    </row>
    <row r="133" spans="1:11">
      <c r="A133" s="29">
        <f>+A132+1</f>
        <v>7</v>
      </c>
      <c r="B133" s="12" t="s">
        <v>174</v>
      </c>
      <c r="C133" s="10" t="s">
        <v>175</v>
      </c>
      <c r="D133" s="32">
        <f>'5-P3 Support'!J22</f>
        <v>0</v>
      </c>
      <c r="E133" s="10"/>
      <c r="F133" s="10" t="str">
        <f>+F135</f>
        <v>DA</v>
      </c>
      <c r="G133" s="56">
        <v>1</v>
      </c>
      <c r="H133" s="22"/>
      <c r="I133" s="32">
        <f t="shared" si="0"/>
        <v>0</v>
      </c>
      <c r="J133" s="10"/>
      <c r="K133" s="10"/>
    </row>
    <row r="134" spans="1:11">
      <c r="A134" s="29" t="s">
        <v>176</v>
      </c>
      <c r="B134" s="30" t="s">
        <v>177</v>
      </c>
      <c r="C134" s="33"/>
      <c r="D134" s="32"/>
      <c r="E134" s="33"/>
      <c r="F134" s="33"/>
      <c r="G134" s="56"/>
      <c r="H134" s="33"/>
      <c r="I134" s="32"/>
      <c r="K134" s="10"/>
    </row>
    <row r="135" spans="1:11">
      <c r="A135" s="29" t="s">
        <v>178</v>
      </c>
      <c r="B135" s="30" t="s">
        <v>179</v>
      </c>
      <c r="C135" s="33" t="s">
        <v>180</v>
      </c>
      <c r="D135" s="32">
        <f>'5-P3 Support'!K22</f>
        <v>0</v>
      </c>
      <c r="E135" s="33"/>
      <c r="F135" s="546" t="s">
        <v>39</v>
      </c>
      <c r="G135" s="545">
        <v>1</v>
      </c>
      <c r="H135" s="33"/>
      <c r="I135" s="32">
        <f>+G135*D135</f>
        <v>0</v>
      </c>
      <c r="K135" s="10"/>
    </row>
    <row r="136" spans="1:11">
      <c r="A136" s="29" t="s">
        <v>181</v>
      </c>
      <c r="B136" s="30" t="s">
        <v>182</v>
      </c>
      <c r="C136" s="10" t="s">
        <v>183</v>
      </c>
      <c r="D136" s="32">
        <f>'5-P3 Support'!L22</f>
        <v>0</v>
      </c>
      <c r="E136" s="33"/>
      <c r="F136" s="33" t="s">
        <v>24</v>
      </c>
      <c r="G136" s="56">
        <f>+G122</f>
        <v>0.83165890028977185</v>
      </c>
      <c r="H136" s="33"/>
      <c r="I136" s="32">
        <f>+G136*D136</f>
        <v>0</v>
      </c>
      <c r="K136" s="10"/>
    </row>
    <row r="137" spans="1:11" ht="13.5" thickBot="1">
      <c r="A137" s="29" t="s">
        <v>184</v>
      </c>
      <c r="B137" s="30" t="s">
        <v>185</v>
      </c>
      <c r="C137" s="33" t="s">
        <v>186</v>
      </c>
      <c r="D137" s="57">
        <f>SUM(D135:D136)</f>
        <v>0</v>
      </c>
      <c r="E137" s="33"/>
      <c r="F137" s="33"/>
      <c r="G137" s="56"/>
      <c r="H137" s="33"/>
      <c r="I137" s="57">
        <f>SUM(I135:I136)</f>
        <v>0</v>
      </c>
      <c r="K137" s="10"/>
    </row>
    <row r="138" spans="1:11">
      <c r="A138" s="29">
        <v>8</v>
      </c>
      <c r="B138" s="71" t="s">
        <v>187</v>
      </c>
      <c r="C138" s="72" t="s">
        <v>188</v>
      </c>
      <c r="D138" s="32">
        <f>+D122-D125-D123+D126-D127-D128-D130+D129+D131+D132+D133+D137-D124</f>
        <v>10367162.439904545</v>
      </c>
      <c r="E138" s="32"/>
      <c r="F138" s="32"/>
      <c r="G138" s="56"/>
      <c r="H138" s="32"/>
      <c r="I138" s="32">
        <f>+I122-I125-I123+I126-I127-I128-I130+I129+I131+I132+I133+I137-I124</f>
        <v>8621942.9138964415</v>
      </c>
      <c r="J138" s="10"/>
      <c r="K138" s="10"/>
    </row>
    <row r="139" spans="1:11">
      <c r="A139" s="29"/>
      <c r="B139" s="4"/>
      <c r="C139" s="10"/>
      <c r="D139" s="32"/>
      <c r="E139" s="32"/>
      <c r="F139" s="32"/>
      <c r="G139" s="56"/>
      <c r="H139" s="32"/>
      <c r="I139" s="32"/>
      <c r="J139" s="10"/>
      <c r="K139" s="10"/>
    </row>
    <row r="140" spans="1:11">
      <c r="A140" s="29"/>
      <c r="B140" s="12" t="s">
        <v>189</v>
      </c>
      <c r="C140" s="10" t="s">
        <v>190</v>
      </c>
      <c r="D140" s="32"/>
      <c r="E140" s="32"/>
      <c r="F140" s="32"/>
      <c r="G140" s="56"/>
      <c r="H140" s="32"/>
      <c r="I140" s="32"/>
      <c r="J140" s="10"/>
      <c r="K140" s="10"/>
    </row>
    <row r="141" spans="1:11">
      <c r="A141" s="29">
        <v>9</v>
      </c>
      <c r="B141" s="12" t="s">
        <v>149</v>
      </c>
      <c r="C141" s="59" t="s">
        <v>191</v>
      </c>
      <c r="D141" s="32">
        <f>'5-P3 Support'!M22</f>
        <v>802942.56986095023</v>
      </c>
      <c r="E141" s="32"/>
      <c r="F141" s="32" t="s">
        <v>24</v>
      </c>
      <c r="G141" s="56">
        <f>+G101</f>
        <v>0.83165890028977185</v>
      </c>
      <c r="H141" s="32"/>
      <c r="I141" s="32">
        <f>+G141*D141</f>
        <v>667774.33464640123</v>
      </c>
      <c r="J141" s="10"/>
      <c r="K141" s="58"/>
    </row>
    <row r="142" spans="1:11">
      <c r="A142" s="29">
        <f>+A141+1</f>
        <v>10</v>
      </c>
      <c r="B142" s="73" t="s">
        <v>88</v>
      </c>
      <c r="C142" s="59" t="s">
        <v>192</v>
      </c>
      <c r="D142" s="32">
        <f>'5-P3 Support'!C41</f>
        <v>0</v>
      </c>
      <c r="E142" s="32"/>
      <c r="F142" s="32" t="s">
        <v>90</v>
      </c>
      <c r="G142" s="56">
        <f>+G126</f>
        <v>0.83165890028977185</v>
      </c>
      <c r="H142" s="32"/>
      <c r="I142" s="32">
        <f>+G142*D142</f>
        <v>0</v>
      </c>
      <c r="J142" s="10"/>
      <c r="K142" s="58"/>
    </row>
    <row r="143" spans="1:11">
      <c r="A143" s="29">
        <f>+A142+1</f>
        <v>11</v>
      </c>
      <c r="B143" s="12" t="s">
        <v>91</v>
      </c>
      <c r="C143" s="59" t="s">
        <v>193</v>
      </c>
      <c r="D143" s="32">
        <f>'5-P3 Support'!N41</f>
        <v>0</v>
      </c>
      <c r="E143" s="32"/>
      <c r="F143" s="32" t="s">
        <v>93</v>
      </c>
      <c r="G143" s="56">
        <f>+G132</f>
        <v>0.83165890028977185</v>
      </c>
      <c r="H143" s="32"/>
      <c r="I143" s="32">
        <f>+G143*D143</f>
        <v>0</v>
      </c>
      <c r="J143" s="10"/>
      <c r="K143" s="58"/>
    </row>
    <row r="144" spans="1:11" ht="13.5" thickBot="1">
      <c r="A144" s="29" t="s">
        <v>194</v>
      </c>
      <c r="B144" s="30" t="s">
        <v>195</v>
      </c>
      <c r="C144" s="23" t="s">
        <v>196</v>
      </c>
      <c r="D144" s="57">
        <f>'5-P3 Support'!D41</f>
        <v>0</v>
      </c>
      <c r="E144" s="32"/>
      <c r="F144" s="32" t="s">
        <v>39</v>
      </c>
      <c r="G144" s="56">
        <v>1</v>
      </c>
      <c r="H144" s="32"/>
      <c r="I144" s="57">
        <f>+G144*D144</f>
        <v>0</v>
      </c>
      <c r="J144" s="10"/>
      <c r="K144" s="58"/>
    </row>
    <row r="145" spans="1:14">
      <c r="A145" s="29">
        <v>12</v>
      </c>
      <c r="B145" s="12" t="s">
        <v>197</v>
      </c>
      <c r="C145" s="10" t="s">
        <v>198</v>
      </c>
      <c r="D145" s="32">
        <f>SUM(D141:D144)</f>
        <v>802942.56986095023</v>
      </c>
      <c r="E145" s="32"/>
      <c r="F145" s="32"/>
      <c r="G145" s="56"/>
      <c r="H145" s="32"/>
      <c r="I145" s="32">
        <f>SUM(I141:I144)</f>
        <v>667774.33464640123</v>
      </c>
      <c r="J145" s="10"/>
      <c r="K145" s="10"/>
    </row>
    <row r="146" spans="1:14">
      <c r="A146" s="29"/>
      <c r="B146" s="12"/>
      <c r="C146" s="10"/>
      <c r="D146" s="32"/>
      <c r="E146" s="32"/>
      <c r="F146" s="32"/>
      <c r="G146" s="56"/>
      <c r="H146" s="32"/>
      <c r="I146" s="32"/>
      <c r="J146" s="10"/>
      <c r="K146" s="10"/>
    </row>
    <row r="147" spans="1:14">
      <c r="A147" s="29"/>
      <c r="B147" s="12" t="s">
        <v>199</v>
      </c>
      <c r="C147" s="4" t="s">
        <v>200</v>
      </c>
      <c r="D147" s="32"/>
      <c r="E147" s="32"/>
      <c r="F147" s="32"/>
      <c r="G147" s="56"/>
      <c r="H147" s="32"/>
      <c r="I147" s="32"/>
      <c r="J147" s="10"/>
      <c r="K147" s="10"/>
    </row>
    <row r="148" spans="1:14">
      <c r="A148" s="29"/>
      <c r="B148" s="12" t="s">
        <v>201</v>
      </c>
      <c r="C148" s="4"/>
      <c r="D148" s="32"/>
      <c r="E148" s="32"/>
      <c r="F148" s="32"/>
      <c r="G148" s="56"/>
      <c r="H148" s="32"/>
      <c r="I148" s="32"/>
      <c r="J148" s="10"/>
      <c r="K148" s="58"/>
    </row>
    <row r="149" spans="1:14">
      <c r="A149" s="29">
        <f>+A145+1</f>
        <v>13</v>
      </c>
      <c r="B149" s="12" t="s">
        <v>202</v>
      </c>
      <c r="C149" s="10" t="s">
        <v>203</v>
      </c>
      <c r="D149" s="32">
        <f>'5-P3 Support'!E41</f>
        <v>0</v>
      </c>
      <c r="E149" s="32"/>
      <c r="F149" s="32" t="s">
        <v>90</v>
      </c>
      <c r="G149" s="56">
        <f>+G142</f>
        <v>0.83165890028977185</v>
      </c>
      <c r="H149" s="32"/>
      <c r="I149" s="32">
        <f>+G149*D149</f>
        <v>0</v>
      </c>
      <c r="J149" s="10"/>
      <c r="K149" s="58"/>
    </row>
    <row r="150" spans="1:14">
      <c r="A150" s="29">
        <f t="shared" ref="A150:A156" si="1">+A149+1</f>
        <v>14</v>
      </c>
      <c r="B150" s="12" t="s">
        <v>204</v>
      </c>
      <c r="C150" s="10" t="s">
        <v>205</v>
      </c>
      <c r="D150" s="32">
        <f>'5-P3 Support'!F41</f>
        <v>0</v>
      </c>
      <c r="E150" s="32"/>
      <c r="F150" s="32" t="s">
        <v>90</v>
      </c>
      <c r="G150" s="56">
        <f>+G149</f>
        <v>0.83165890028977185</v>
      </c>
      <c r="H150" s="32"/>
      <c r="I150" s="32">
        <f>+G150*D150</f>
        <v>0</v>
      </c>
      <c r="J150" s="10"/>
      <c r="K150" s="58"/>
    </row>
    <row r="151" spans="1:14">
      <c r="A151" s="29">
        <f t="shared" si="1"/>
        <v>15</v>
      </c>
      <c r="B151" s="12" t="s">
        <v>206</v>
      </c>
      <c r="C151" s="10" t="s">
        <v>9</v>
      </c>
      <c r="D151" s="32"/>
      <c r="E151" s="32"/>
      <c r="F151" s="32"/>
      <c r="G151" s="56"/>
      <c r="H151" s="32"/>
      <c r="I151" s="32"/>
      <c r="J151" s="10"/>
      <c r="K151" s="58"/>
    </row>
    <row r="152" spans="1:14">
      <c r="A152" s="29">
        <f t="shared" si="1"/>
        <v>16</v>
      </c>
      <c r="B152" s="12" t="s">
        <v>207</v>
      </c>
      <c r="C152" s="10" t="s">
        <v>208</v>
      </c>
      <c r="D152" s="32">
        <f>'5-P3 Support'!G41</f>
        <v>140553.81999999998</v>
      </c>
      <c r="E152" s="32"/>
      <c r="F152" s="32" t="s">
        <v>141</v>
      </c>
      <c r="G152" s="56">
        <f>+G70</f>
        <v>0.83165890028977185</v>
      </c>
      <c r="H152" s="32"/>
      <c r="I152" s="32">
        <f>+G152*D152</f>
        <v>116892.83537272652</v>
      </c>
      <c r="J152" s="10"/>
      <c r="K152" s="58"/>
    </row>
    <row r="153" spans="1:14">
      <c r="A153" s="29">
        <f t="shared" si="1"/>
        <v>17</v>
      </c>
      <c r="B153" s="12" t="s">
        <v>209</v>
      </c>
      <c r="C153" s="10" t="s">
        <v>210</v>
      </c>
      <c r="D153" s="32">
        <f>'5-P3 Support'!H41</f>
        <v>0</v>
      </c>
      <c r="E153" s="32"/>
      <c r="F153" s="32" t="s">
        <v>83</v>
      </c>
      <c r="G153" s="56" t="s">
        <v>114</v>
      </c>
      <c r="H153" s="32"/>
      <c r="I153" s="32">
        <v>0</v>
      </c>
      <c r="J153" s="10"/>
      <c r="K153" s="58"/>
    </row>
    <row r="154" spans="1:14">
      <c r="A154" s="29">
        <f t="shared" si="1"/>
        <v>18</v>
      </c>
      <c r="B154" s="12" t="s">
        <v>211</v>
      </c>
      <c r="C154" s="10" t="s">
        <v>212</v>
      </c>
      <c r="D154" s="32">
        <f>'5-P3 Support'!I41</f>
        <v>0</v>
      </c>
      <c r="E154" s="32"/>
      <c r="F154" s="32" t="s">
        <v>141</v>
      </c>
      <c r="G154" s="56">
        <f>+G152</f>
        <v>0.83165890028977185</v>
      </c>
      <c r="H154" s="32"/>
      <c r="I154" s="32">
        <f>+G154*D154</f>
        <v>0</v>
      </c>
      <c r="J154" s="10"/>
      <c r="K154" s="58"/>
    </row>
    <row r="155" spans="1:14" ht="13.5" thickBot="1">
      <c r="A155" s="29">
        <f t="shared" si="1"/>
        <v>19</v>
      </c>
      <c r="B155" s="12" t="s">
        <v>213</v>
      </c>
      <c r="C155" s="10" t="s">
        <v>214</v>
      </c>
      <c r="D155" s="57">
        <f>'5-P3 Support'!J41</f>
        <v>0</v>
      </c>
      <c r="E155" s="32"/>
      <c r="F155" s="32" t="s">
        <v>141</v>
      </c>
      <c r="G155" s="56">
        <f>+G152</f>
        <v>0.83165890028977185</v>
      </c>
      <c r="H155" s="32"/>
      <c r="I155" s="57">
        <f>+G155*D155</f>
        <v>0</v>
      </c>
      <c r="J155" s="10"/>
      <c r="K155" s="58"/>
    </row>
    <row r="156" spans="1:14">
      <c r="A156" s="29">
        <f t="shared" si="1"/>
        <v>20</v>
      </c>
      <c r="B156" s="12" t="s">
        <v>215</v>
      </c>
      <c r="C156" s="10" t="s">
        <v>216</v>
      </c>
      <c r="D156" s="32">
        <f>SUM(D149:D155)</f>
        <v>140553.81999999998</v>
      </c>
      <c r="E156" s="32"/>
      <c r="F156" s="32"/>
      <c r="G156" s="56"/>
      <c r="H156" s="32"/>
      <c r="I156" s="32">
        <f>SUM(I149:I155)</f>
        <v>116892.83537272652</v>
      </c>
      <c r="J156" s="10"/>
      <c r="K156" s="10"/>
    </row>
    <row r="157" spans="1:14">
      <c r="A157" s="29"/>
      <c r="B157" s="12"/>
      <c r="C157" s="10"/>
      <c r="D157" s="10"/>
      <c r="E157" s="10"/>
      <c r="F157" s="10"/>
      <c r="G157" s="56"/>
      <c r="H157" s="10"/>
      <c r="I157" s="10"/>
      <c r="J157" s="10"/>
      <c r="K157" s="10"/>
    </row>
    <row r="158" spans="1:14">
      <c r="A158" s="29"/>
      <c r="B158" s="12" t="s">
        <v>217</v>
      </c>
      <c r="C158" s="10" t="str">
        <f>"(Note "&amp;A$280&amp;")"</f>
        <v>(Note K)</v>
      </c>
      <c r="D158" s="10"/>
      <c r="E158" s="10"/>
      <c r="F158" s="4"/>
      <c r="G158" s="56"/>
      <c r="H158" s="10"/>
      <c r="I158" s="4"/>
      <c r="J158" s="10"/>
      <c r="K158" s="4"/>
    </row>
    <row r="159" spans="1:14">
      <c r="A159" s="29">
        <v>21</v>
      </c>
      <c r="B159" s="74" t="s">
        <v>1151</v>
      </c>
      <c r="C159" s="10" t="s">
        <v>219</v>
      </c>
      <c r="D159" s="75">
        <f>IF(D281&gt;0,1-(((1-D282)*(1-D281))/(1-D282*D281*D283)),0)</f>
        <v>0.25700499999999993</v>
      </c>
      <c r="E159" s="10"/>
      <c r="F159" s="4"/>
      <c r="G159" s="56"/>
      <c r="H159" s="10"/>
      <c r="I159" s="4"/>
      <c r="J159" s="10"/>
      <c r="K159" s="594"/>
      <c r="N159" s="102"/>
    </row>
    <row r="160" spans="1:14">
      <c r="A160" s="29">
        <f>+A159+1</f>
        <v>22</v>
      </c>
      <c r="B160" s="4" t="s">
        <v>218</v>
      </c>
      <c r="C160" s="10" t="s">
        <v>1152</v>
      </c>
      <c r="D160" s="595">
        <f>IF(I230&gt;0,(D159/(1-D159))*(1-I230/I233),0)</f>
        <v>0.30380532620293316</v>
      </c>
      <c r="E160" s="10"/>
      <c r="F160" s="4"/>
      <c r="G160" s="56"/>
      <c r="H160" s="10"/>
      <c r="I160" s="4"/>
      <c r="J160" s="10"/>
      <c r="K160" s="108"/>
      <c r="N160" s="102"/>
    </row>
    <row r="161" spans="1:14">
      <c r="A161" s="29"/>
      <c r="B161" s="12" t="s">
        <v>1024</v>
      </c>
      <c r="C161" s="10" t="s">
        <v>219</v>
      </c>
      <c r="D161" s="10"/>
      <c r="E161" s="10"/>
      <c r="F161" s="4"/>
      <c r="G161" s="56"/>
      <c r="H161" s="10"/>
      <c r="I161" s="4"/>
      <c r="J161" s="10"/>
      <c r="K161" s="4"/>
      <c r="N161" s="102"/>
    </row>
    <row r="162" spans="1:14">
      <c r="A162" s="29"/>
      <c r="B162" s="12"/>
      <c r="C162" s="10"/>
      <c r="D162" s="10"/>
      <c r="E162" s="10"/>
      <c r="F162" s="4"/>
      <c r="G162" s="56"/>
      <c r="H162" s="10"/>
      <c r="I162" s="4"/>
      <c r="J162" s="10"/>
      <c r="K162" s="4"/>
      <c r="N162" s="102"/>
    </row>
    <row r="163" spans="1:14">
      <c r="A163" s="29">
        <f>+A160+1</f>
        <v>23</v>
      </c>
      <c r="B163" s="74" t="str">
        <f>"      1 / (1 - T)  =  (from Line "&amp;A159&amp;")"</f>
        <v xml:space="preserve">      1 / (1 - T)  =  (from Line 21)</v>
      </c>
      <c r="C163" s="10" t="s">
        <v>220</v>
      </c>
      <c r="D163" s="75">
        <f>IF(D159=0,0,1/(1-D159))</f>
        <v>1.3459040774164024</v>
      </c>
      <c r="E163" s="10"/>
      <c r="F163" s="4"/>
      <c r="G163" s="56"/>
      <c r="H163" s="10"/>
      <c r="I163" s="32"/>
      <c r="J163" s="10"/>
      <c r="K163" s="4"/>
      <c r="N163" s="102"/>
    </row>
    <row r="164" spans="1:14">
      <c r="A164" s="29">
        <f>+A163+1</f>
        <v>24</v>
      </c>
      <c r="B164" s="12" t="s">
        <v>221</v>
      </c>
      <c r="C164" s="10" t="s">
        <v>222</v>
      </c>
      <c r="D164" s="32">
        <f>-'5-P3 Support'!K41</f>
        <v>0</v>
      </c>
      <c r="E164" s="10"/>
      <c r="F164" s="4"/>
      <c r="G164" s="56"/>
      <c r="H164" s="10"/>
      <c r="I164" s="32"/>
      <c r="J164" s="10"/>
      <c r="K164" s="4"/>
    </row>
    <row r="165" spans="1:14">
      <c r="A165" s="29" t="s">
        <v>223</v>
      </c>
      <c r="B165" s="12" t="s">
        <v>1027</v>
      </c>
      <c r="C165" s="10" t="s">
        <v>1028</v>
      </c>
      <c r="D165" s="60">
        <f>'8g - Exc-Def ADIT Worksheet'!U27</f>
        <v>0</v>
      </c>
      <c r="E165" s="10"/>
      <c r="F165" s="4"/>
      <c r="G165" s="56"/>
      <c r="H165" s="10"/>
      <c r="I165" s="32"/>
      <c r="J165" s="10"/>
      <c r="K165" s="4"/>
    </row>
    <row r="166" spans="1:14">
      <c r="A166" s="29" t="s">
        <v>224</v>
      </c>
      <c r="B166" s="12" t="s">
        <v>225</v>
      </c>
      <c r="C166" s="10" t="s">
        <v>226</v>
      </c>
      <c r="D166" s="32">
        <f>+'5-P3 Support'!M41</f>
        <v>-311439.83550000004</v>
      </c>
      <c r="E166" s="10"/>
      <c r="F166" s="4"/>
      <c r="G166" s="56"/>
      <c r="H166" s="10"/>
      <c r="I166" s="32"/>
      <c r="J166" s="10"/>
      <c r="K166" s="4"/>
    </row>
    <row r="167" spans="1:14">
      <c r="A167" s="29">
        <v>25</v>
      </c>
      <c r="B167" s="74" t="s">
        <v>227</v>
      </c>
      <c r="C167" s="557" t="s">
        <v>1026</v>
      </c>
      <c r="D167" s="558">
        <f>+(I233)*D109*D160</f>
        <v>614838.21667399537</v>
      </c>
      <c r="E167" s="547"/>
      <c r="F167" s="547"/>
      <c r="G167" s="545"/>
      <c r="H167" s="547"/>
      <c r="I167" s="558">
        <f>($I$233)*I109*$D$160</f>
        <v>511335.67513521959</v>
      </c>
      <c r="J167" s="10"/>
      <c r="K167" s="23"/>
    </row>
    <row r="168" spans="1:14">
      <c r="A168" s="29">
        <v>26</v>
      </c>
      <c r="B168" s="4" t="s">
        <v>228</v>
      </c>
      <c r="C168" s="76" t="s">
        <v>229</v>
      </c>
      <c r="D168" s="66">
        <f>+D$163*D164</f>
        <v>0</v>
      </c>
      <c r="E168" s="22"/>
      <c r="F168" s="1" t="s">
        <v>119</v>
      </c>
      <c r="G168" s="56">
        <f>G86</f>
        <v>0.83165890028977185</v>
      </c>
      <c r="H168" s="22"/>
      <c r="I168" s="66">
        <f>+D168*G168</f>
        <v>0</v>
      </c>
      <c r="J168" s="10"/>
      <c r="K168" s="23"/>
      <c r="L168" s="108"/>
    </row>
    <row r="169" spans="1:14">
      <c r="A169" s="29" t="s">
        <v>230</v>
      </c>
      <c r="B169" s="4" t="s">
        <v>1029</v>
      </c>
      <c r="C169" s="76" t="s">
        <v>231</v>
      </c>
      <c r="D169" s="66">
        <f>+D$163*D165</f>
        <v>0</v>
      </c>
      <c r="E169" s="22"/>
      <c r="F169" s="1" t="s">
        <v>119</v>
      </c>
      <c r="G169" s="56">
        <f>G168</f>
        <v>0.83165890028977185</v>
      </c>
      <c r="H169" s="22"/>
      <c r="I169" s="66">
        <f>+D169*G169</f>
        <v>0</v>
      </c>
      <c r="J169" s="10"/>
      <c r="K169" s="23"/>
      <c r="L169" s="283"/>
    </row>
    <row r="170" spans="1:14" ht="13.5" thickBot="1">
      <c r="A170" s="29" t="s">
        <v>232</v>
      </c>
      <c r="B170" s="4" t="s">
        <v>233</v>
      </c>
      <c r="C170" s="76" t="s">
        <v>234</v>
      </c>
      <c r="D170" s="77">
        <f>+D$163*D166</f>
        <v>-419168.14446934371</v>
      </c>
      <c r="E170" s="22"/>
      <c r="F170" s="582" t="s">
        <v>119</v>
      </c>
      <c r="G170" s="56">
        <f>G169</f>
        <v>0.83165890028977185</v>
      </c>
      <c r="H170" s="22"/>
      <c r="I170" s="77">
        <f>+D170*G170</f>
        <v>-348604.91806587862</v>
      </c>
      <c r="J170" s="10"/>
      <c r="K170" s="23"/>
    </row>
    <row r="171" spans="1:14">
      <c r="A171" s="29">
        <v>27</v>
      </c>
      <c r="B171" s="78" t="s">
        <v>235</v>
      </c>
      <c r="C171" s="4" t="s">
        <v>236</v>
      </c>
      <c r="D171" s="66">
        <f>SUM(D167:D170)</f>
        <v>195670.07220465166</v>
      </c>
      <c r="E171" s="22"/>
      <c r="F171" s="22" t="s">
        <v>9</v>
      </c>
      <c r="G171" s="24" t="s">
        <v>9</v>
      </c>
      <c r="H171" s="22"/>
      <c r="I171" s="66">
        <f>SUM(I167:I170)</f>
        <v>162730.75706934097</v>
      </c>
      <c r="J171" s="10"/>
      <c r="K171" s="10"/>
    </row>
    <row r="172" spans="1:14">
      <c r="A172" s="29"/>
      <c r="B172" s="4"/>
      <c r="C172" s="79"/>
      <c r="D172" s="32"/>
      <c r="E172" s="10"/>
      <c r="F172" s="10"/>
      <c r="G172" s="25"/>
      <c r="H172" s="10"/>
      <c r="I172" s="32"/>
      <c r="J172" s="10"/>
      <c r="K172" s="10"/>
    </row>
    <row r="173" spans="1:14">
      <c r="A173" s="29"/>
      <c r="B173" s="12" t="s">
        <v>237</v>
      </c>
      <c r="J173" s="10"/>
      <c r="K173" s="4"/>
    </row>
    <row r="174" spans="1:14">
      <c r="A174" s="29">
        <v>28</v>
      </c>
      <c r="B174" s="78" t="s">
        <v>238</v>
      </c>
      <c r="C174" s="74" t="s">
        <v>239</v>
      </c>
      <c r="D174" s="60">
        <f>+$I233*D109</f>
        <v>2023790.1170412702</v>
      </c>
      <c r="E174" s="22"/>
      <c r="F174" s="22" t="s">
        <v>83</v>
      </c>
      <c r="G174" s="80"/>
      <c r="H174" s="22"/>
      <c r="I174" s="32">
        <f>+$I233*I109</f>
        <v>1683103.0631558518</v>
      </c>
      <c r="K174" s="58"/>
    </row>
    <row r="175" spans="1:14">
      <c r="A175" s="29"/>
      <c r="B175" s="12"/>
      <c r="C175" s="4"/>
      <c r="D175" s="32"/>
      <c r="E175" s="22"/>
      <c r="F175" s="22"/>
      <c r="G175" s="80"/>
      <c r="H175" s="22"/>
      <c r="I175" s="32"/>
      <c r="J175" s="10"/>
      <c r="K175" s="58"/>
    </row>
    <row r="176" spans="1:14" ht="13.5" thickBot="1">
      <c r="A176" s="29">
        <f>A174+1</f>
        <v>29</v>
      </c>
      <c r="B176" s="12" t="s">
        <v>240</v>
      </c>
      <c r="C176" s="10" t="s">
        <v>241</v>
      </c>
      <c r="D176" s="81">
        <f>+D138+D145+D156+D171+D174</f>
        <v>13530119.019011416</v>
      </c>
      <c r="E176" s="22"/>
      <c r="F176" s="22"/>
      <c r="G176" s="22"/>
      <c r="H176" s="22"/>
      <c r="I176" s="81">
        <f>+I174+I171+I156+I145+I138</f>
        <v>11252443.904140763</v>
      </c>
      <c r="J176" s="12"/>
      <c r="K176" s="12"/>
    </row>
    <row r="177" spans="1:13" ht="13.5" thickTop="1">
      <c r="A177" s="29"/>
      <c r="B177" s="12"/>
      <c r="C177" s="10"/>
      <c r="D177" s="22"/>
      <c r="E177" s="22"/>
      <c r="F177" s="22"/>
      <c r="G177" s="22"/>
      <c r="H177" s="22"/>
      <c r="I177" s="32"/>
      <c r="J177" s="12"/>
      <c r="K177" s="12"/>
    </row>
    <row r="178" spans="1:13">
      <c r="A178" s="35">
        <v>30</v>
      </c>
      <c r="B178" s="36" t="s">
        <v>1004</v>
      </c>
      <c r="C178" s="37" t="s">
        <v>1005</v>
      </c>
      <c r="D178" s="32"/>
      <c r="E178" s="32"/>
      <c r="F178" s="32"/>
      <c r="G178" s="32"/>
      <c r="H178" s="32"/>
      <c r="I178" s="32"/>
      <c r="K178" s="36"/>
    </row>
    <row r="179" spans="1:13" ht="13.5" customHeight="1">
      <c r="B179" s="43" t="s">
        <v>242</v>
      </c>
      <c r="C179" s="82"/>
      <c r="D179" s="32"/>
      <c r="E179" s="32"/>
      <c r="F179" s="32"/>
      <c r="G179" s="32"/>
      <c r="H179" s="32"/>
      <c r="I179" s="32"/>
      <c r="K179" s="36"/>
    </row>
    <row r="180" spans="1:13">
      <c r="A180" s="35"/>
      <c r="B180" s="36" t="s">
        <v>243</v>
      </c>
      <c r="C180" s="37"/>
      <c r="D180" s="83">
        <v>0</v>
      </c>
      <c r="E180" s="32"/>
      <c r="F180" s="32" t="s">
        <v>39</v>
      </c>
      <c r="G180" s="42">
        <v>1</v>
      </c>
      <c r="H180" s="32"/>
      <c r="I180" s="60">
        <f>+D180</f>
        <v>0</v>
      </c>
      <c r="K180" s="36"/>
    </row>
    <row r="181" spans="1:13">
      <c r="A181" s="35"/>
      <c r="B181" s="36"/>
      <c r="C181" s="37"/>
      <c r="D181" s="32"/>
      <c r="E181" s="32"/>
      <c r="F181" s="32"/>
      <c r="G181" s="21"/>
      <c r="H181" s="32"/>
      <c r="I181" s="32"/>
      <c r="K181" s="36"/>
    </row>
    <row r="182" spans="1:13">
      <c r="A182" s="35" t="s">
        <v>244</v>
      </c>
      <c r="B182" s="36" t="s">
        <v>1006</v>
      </c>
      <c r="C182" s="37" t="s">
        <v>1007</v>
      </c>
      <c r="D182" s="32"/>
      <c r="E182" s="32"/>
      <c r="F182" s="32"/>
      <c r="G182" s="21"/>
      <c r="H182" s="32"/>
      <c r="I182" s="32"/>
      <c r="K182" s="36"/>
    </row>
    <row r="183" spans="1:13" ht="15.75" customHeight="1">
      <c r="B183" s="43" t="s">
        <v>242</v>
      </c>
      <c r="C183" s="82"/>
      <c r="D183" s="32"/>
      <c r="E183" s="32"/>
      <c r="F183" s="32"/>
      <c r="G183" s="21"/>
      <c r="H183" s="32"/>
      <c r="I183" s="32"/>
      <c r="K183" s="36"/>
    </row>
    <row r="184" spans="1:13">
      <c r="A184" s="35"/>
      <c r="B184" s="36" t="s">
        <v>245</v>
      </c>
      <c r="C184" s="37"/>
      <c r="D184" s="83">
        <v>0</v>
      </c>
      <c r="E184" s="32"/>
      <c r="F184" s="32" t="s">
        <v>39</v>
      </c>
      <c r="G184" s="42">
        <v>1</v>
      </c>
      <c r="H184" s="32"/>
      <c r="I184" s="60">
        <f>+D184</f>
        <v>0</v>
      </c>
      <c r="K184" s="36"/>
    </row>
    <row r="185" spans="1:13">
      <c r="A185" s="35"/>
      <c r="B185" s="36"/>
      <c r="C185" s="37"/>
      <c r="D185" s="32"/>
      <c r="E185" s="32"/>
      <c r="F185" s="32"/>
      <c r="G185" s="42"/>
      <c r="H185" s="32"/>
      <c r="I185" s="32"/>
      <c r="K185" s="36"/>
    </row>
    <row r="186" spans="1:13">
      <c r="A186" s="35" t="s">
        <v>246</v>
      </c>
      <c r="B186" s="149" t="s">
        <v>1010</v>
      </c>
      <c r="C186" s="37" t="s">
        <v>247</v>
      </c>
      <c r="D186" s="32">
        <f>+'1-Project Rev Req'!R99</f>
        <v>0</v>
      </c>
      <c r="E186" s="32"/>
      <c r="F186" s="60"/>
      <c r="G186" s="570"/>
      <c r="H186" s="60"/>
      <c r="I186" s="60">
        <f>+'1-Project Rev Req'!R99</f>
        <v>0</v>
      </c>
      <c r="K186" s="36"/>
    </row>
    <row r="187" spans="1:13">
      <c r="A187" s="35"/>
      <c r="B187" s="149" t="s">
        <v>248</v>
      </c>
      <c r="C187" s="37"/>
      <c r="D187" s="32"/>
      <c r="E187" s="32"/>
      <c r="F187" s="32"/>
      <c r="G187" s="84"/>
      <c r="H187" s="32"/>
      <c r="I187" s="32"/>
      <c r="K187" s="36"/>
    </row>
    <row r="188" spans="1:13">
      <c r="A188" s="35"/>
      <c r="B188" s="36"/>
      <c r="C188" s="37"/>
      <c r="D188" s="32"/>
      <c r="E188" s="32"/>
      <c r="F188" s="32"/>
      <c r="G188" s="84"/>
      <c r="H188" s="32"/>
      <c r="I188" s="32"/>
      <c r="K188" s="36"/>
    </row>
    <row r="189" spans="1:13">
      <c r="A189" s="578" t="s">
        <v>709</v>
      </c>
      <c r="B189" s="149" t="s">
        <v>1003</v>
      </c>
      <c r="C189" s="382" t="s">
        <v>1008</v>
      </c>
      <c r="D189" s="769">
        <f>-2650000</f>
        <v>-2650000</v>
      </c>
      <c r="E189" s="32"/>
      <c r="F189" s="60" t="s">
        <v>39</v>
      </c>
      <c r="G189" s="570">
        <v>1</v>
      </c>
      <c r="H189" s="60"/>
      <c r="I189" s="579">
        <f>+D189*G189</f>
        <v>-2650000</v>
      </c>
      <c r="K189" s="36"/>
    </row>
    <row r="190" spans="1:13" ht="13.5" thickBot="1">
      <c r="A190" s="578"/>
      <c r="B190" s="149"/>
      <c r="C190" s="382"/>
      <c r="D190" s="32"/>
      <c r="E190" s="32"/>
      <c r="F190" s="60"/>
      <c r="G190" s="580"/>
      <c r="H190" s="60"/>
      <c r="I190" s="60"/>
      <c r="K190" s="36"/>
    </row>
    <row r="191" spans="1:13" ht="13.5" thickBot="1">
      <c r="A191" s="578">
        <v>31</v>
      </c>
      <c r="B191" s="149" t="s">
        <v>249</v>
      </c>
      <c r="C191" s="382"/>
      <c r="D191" s="581">
        <f>+D176-D180-D184+D186+D189</f>
        <v>10880119.019011416</v>
      </c>
      <c r="E191" s="32"/>
      <c r="F191" s="60"/>
      <c r="G191" s="60"/>
      <c r="H191" s="60"/>
      <c r="I191" s="581">
        <f>+I176-I180-I184+I186+I189</f>
        <v>8602443.904140763</v>
      </c>
      <c r="K191" s="36"/>
      <c r="L191" s="85"/>
      <c r="M191" s="85"/>
    </row>
    <row r="192" spans="1:13" ht="13.5" thickTop="1">
      <c r="A192" s="578"/>
      <c r="B192" s="149" t="s">
        <v>1016</v>
      </c>
      <c r="C192" s="382"/>
      <c r="D192" s="32"/>
      <c r="E192" s="32"/>
      <c r="F192" s="32"/>
      <c r="G192" s="32"/>
      <c r="H192" s="32"/>
      <c r="I192" s="32"/>
      <c r="K192" s="36"/>
    </row>
    <row r="193" spans="1:11">
      <c r="A193" s="29"/>
      <c r="B193" s="12"/>
      <c r="C193" s="10"/>
      <c r="D193" s="22"/>
      <c r="E193" s="22"/>
      <c r="F193" s="22"/>
      <c r="G193" s="22"/>
      <c r="H193" s="22"/>
      <c r="I193" s="32"/>
      <c r="J193" s="12"/>
      <c r="K193" s="12"/>
    </row>
    <row r="194" spans="1:11">
      <c r="A194" s="29"/>
      <c r="B194" s="1"/>
      <c r="C194" s="22"/>
      <c r="D194" s="22"/>
      <c r="E194" s="22"/>
      <c r="F194" s="22"/>
      <c r="G194" s="22"/>
      <c r="H194" s="22"/>
      <c r="I194" s="22"/>
      <c r="J194" s="12"/>
      <c r="K194" s="12"/>
    </row>
    <row r="195" spans="1:11">
      <c r="A195" s="6"/>
      <c r="B195" s="4"/>
      <c r="C195" s="4"/>
      <c r="D195" s="4"/>
      <c r="E195" s="4"/>
      <c r="F195" s="4"/>
      <c r="G195" s="4"/>
      <c r="H195" s="4"/>
      <c r="I195" s="4"/>
      <c r="J195" s="10"/>
      <c r="K195" s="64" t="str">
        <f>+K1</f>
        <v>Attachment O-GLH</v>
      </c>
    </row>
    <row r="196" spans="1:11">
      <c r="A196" s="6"/>
      <c r="B196" s="4"/>
      <c r="C196" s="4"/>
      <c r="D196" s="4"/>
      <c r="E196" s="4"/>
      <c r="F196" s="4"/>
      <c r="G196" s="4"/>
      <c r="H196" s="4"/>
      <c r="I196" s="4"/>
      <c r="J196" s="10"/>
      <c r="K196" s="64" t="s">
        <v>250</v>
      </c>
    </row>
    <row r="197" spans="1:11">
      <c r="A197" s="6"/>
      <c r="B197" s="12" t="s">
        <v>2</v>
      </c>
      <c r="C197" s="4"/>
      <c r="D197" s="86" t="s">
        <v>3</v>
      </c>
      <c r="E197" s="4"/>
      <c r="F197" s="4"/>
      <c r="G197" s="4"/>
      <c r="H197" s="4"/>
      <c r="I197" s="1"/>
      <c r="J197" s="10"/>
      <c r="K197" s="87" t="str">
        <f>K3</f>
        <v>For the 12 months ended 12/31/2022</v>
      </c>
    </row>
    <row r="198" spans="1:11">
      <c r="A198" s="6"/>
      <c r="B198" s="12"/>
      <c r="C198" s="4"/>
      <c r="D198" s="86" t="s">
        <v>4</v>
      </c>
      <c r="E198" s="4"/>
      <c r="F198" s="4"/>
      <c r="G198" s="4"/>
      <c r="H198" s="4"/>
      <c r="I198" s="4"/>
      <c r="J198" s="10"/>
      <c r="K198" s="10"/>
    </row>
    <row r="199" spans="1:11">
      <c r="A199" s="6"/>
      <c r="B199" s="4"/>
      <c r="C199" s="4"/>
      <c r="D199" s="86" t="str">
        <f>+D116</f>
        <v>GridLiance Heartland LLC</v>
      </c>
      <c r="E199" s="4"/>
      <c r="F199" s="4"/>
      <c r="G199" s="4"/>
      <c r="H199" s="4"/>
      <c r="I199" s="4"/>
      <c r="J199" s="10"/>
      <c r="K199" s="10"/>
    </row>
    <row r="200" spans="1:11">
      <c r="A200" s="826"/>
      <c r="B200" s="826"/>
      <c r="C200" s="826"/>
      <c r="D200" s="826"/>
      <c r="E200" s="826"/>
      <c r="F200" s="826"/>
      <c r="G200" s="826"/>
      <c r="H200" s="826"/>
      <c r="I200" s="826"/>
      <c r="J200" s="826"/>
      <c r="K200" s="826"/>
    </row>
    <row r="201" spans="1:11" s="69" customFormat="1">
      <c r="A201" s="88"/>
      <c r="B201" s="17" t="s">
        <v>6</v>
      </c>
      <c r="C201" s="17" t="s">
        <v>7</v>
      </c>
      <c r="D201" s="17" t="s">
        <v>8</v>
      </c>
      <c r="E201" s="10" t="s">
        <v>9</v>
      </c>
      <c r="F201" s="10"/>
      <c r="G201" s="16" t="s">
        <v>10</v>
      </c>
      <c r="H201" s="10"/>
      <c r="I201" s="16" t="s">
        <v>11</v>
      </c>
      <c r="J201" s="67"/>
      <c r="K201" s="67"/>
    </row>
    <row r="202" spans="1:11">
      <c r="A202" s="6"/>
      <c r="B202" s="4"/>
      <c r="C202" s="12"/>
      <c r="D202" s="12"/>
      <c r="E202" s="12"/>
      <c r="F202" s="12"/>
      <c r="G202" s="12"/>
      <c r="H202" s="12"/>
      <c r="I202" s="12"/>
      <c r="J202" s="12"/>
      <c r="K202" s="12"/>
    </row>
    <row r="203" spans="1:11">
      <c r="A203" s="6"/>
      <c r="B203" s="4"/>
      <c r="C203" s="55" t="s">
        <v>251</v>
      </c>
      <c r="D203" s="4"/>
      <c r="E203" s="12"/>
      <c r="F203" s="12"/>
      <c r="G203" s="12"/>
      <c r="H203" s="12"/>
      <c r="I203" s="12"/>
      <c r="J203" s="10"/>
      <c r="K203" s="10"/>
    </row>
    <row r="204" spans="1:11">
      <c r="A204" s="6" t="s">
        <v>12</v>
      </c>
      <c r="B204" s="55"/>
      <c r="C204" s="12"/>
      <c r="D204" s="12"/>
      <c r="E204" s="12"/>
      <c r="F204" s="12"/>
      <c r="G204" s="12"/>
      <c r="H204" s="12"/>
      <c r="I204" s="12"/>
      <c r="J204" s="10"/>
      <c r="K204" s="10"/>
    </row>
    <row r="205" spans="1:11" ht="13.5" thickBot="1">
      <c r="A205" s="18" t="s">
        <v>14</v>
      </c>
      <c r="B205" s="5" t="s">
        <v>252</v>
      </c>
      <c r="C205" s="12"/>
      <c r="D205" s="12"/>
      <c r="E205" s="12"/>
      <c r="F205" s="12"/>
      <c r="G205" s="12"/>
      <c r="H205" s="4"/>
      <c r="I205" s="4"/>
      <c r="J205" s="10"/>
      <c r="K205" s="10"/>
    </row>
    <row r="206" spans="1:11">
      <c r="A206" s="6">
        <v>1</v>
      </c>
      <c r="B206" s="5" t="s">
        <v>253</v>
      </c>
      <c r="C206" s="12" t="s">
        <v>254</v>
      </c>
      <c r="D206" s="10"/>
      <c r="E206" s="10"/>
      <c r="F206" s="10"/>
      <c r="G206" s="10"/>
      <c r="H206" s="10"/>
      <c r="I206" s="32">
        <f>D66</f>
        <v>39837101.693476573</v>
      </c>
      <c r="J206" s="10"/>
      <c r="K206" s="10"/>
    </row>
    <row r="207" spans="1:11">
      <c r="A207" s="6">
        <f>+A206+1</f>
        <v>2</v>
      </c>
      <c r="B207" s="5" t="s">
        <v>255</v>
      </c>
      <c r="C207" s="4" t="s">
        <v>256</v>
      </c>
      <c r="D207" s="4"/>
      <c r="E207" s="4"/>
      <c r="F207" s="4"/>
      <c r="G207" s="4"/>
      <c r="H207" s="4"/>
      <c r="I207" s="770">
        <v>6706221.5083480384</v>
      </c>
      <c r="J207" s="10"/>
      <c r="K207" s="10"/>
    </row>
    <row r="208" spans="1:11" ht="13.5" thickBot="1">
      <c r="A208" s="6">
        <f>+A207+1</f>
        <v>3</v>
      </c>
      <c r="B208" s="89" t="s">
        <v>257</v>
      </c>
      <c r="C208" s="90" t="s">
        <v>258</v>
      </c>
      <c r="D208" s="1"/>
      <c r="E208" s="10"/>
      <c r="F208" s="10"/>
      <c r="G208" s="11"/>
      <c r="H208" s="10"/>
      <c r="I208" s="91">
        <v>0</v>
      </c>
      <c r="J208" s="10"/>
      <c r="K208" s="10"/>
    </row>
    <row r="209" spans="1:11">
      <c r="A209" s="6">
        <f>+A208+1</f>
        <v>4</v>
      </c>
      <c r="B209" s="5" t="s">
        <v>259</v>
      </c>
      <c r="C209" s="12" t="s">
        <v>260</v>
      </c>
      <c r="D209" s="10"/>
      <c r="E209" s="10"/>
      <c r="F209" s="10"/>
      <c r="G209" s="11"/>
      <c r="H209" s="10"/>
      <c r="I209" s="32">
        <f>I206-I207-I208</f>
        <v>33130880.185128532</v>
      </c>
      <c r="J209" s="10"/>
      <c r="K209" s="10"/>
    </row>
    <row r="210" spans="1:11">
      <c r="A210" s="6"/>
      <c r="B210" s="4"/>
      <c r="C210" s="12"/>
      <c r="D210" s="10"/>
      <c r="E210" s="10"/>
      <c r="F210" s="10"/>
      <c r="G210" s="11"/>
      <c r="H210" s="10"/>
      <c r="I210" s="32"/>
      <c r="J210" s="10"/>
      <c r="K210" s="10"/>
    </row>
    <row r="211" spans="1:11">
      <c r="A211" s="6">
        <f>+A209+1</f>
        <v>5</v>
      </c>
      <c r="B211" s="5" t="s">
        <v>261</v>
      </c>
      <c r="C211" s="15" t="s">
        <v>262</v>
      </c>
      <c r="D211" s="15"/>
      <c r="E211" s="15"/>
      <c r="F211" s="15"/>
      <c r="G211" s="16"/>
      <c r="H211" s="10" t="s">
        <v>263</v>
      </c>
      <c r="I211" s="75">
        <f>IF(I209&gt;0,I209/I206,0)</f>
        <v>0.83165890028977185</v>
      </c>
      <c r="J211" s="10"/>
      <c r="K211" s="10"/>
    </row>
    <row r="212" spans="1:11">
      <c r="A212" s="6"/>
      <c r="B212" s="4"/>
      <c r="C212" s="4"/>
      <c r="D212" s="4"/>
      <c r="E212" s="4"/>
      <c r="F212" s="4"/>
      <c r="G212" s="4"/>
      <c r="H212" s="4"/>
      <c r="I212" s="4"/>
      <c r="J212" s="4"/>
      <c r="K212" s="4"/>
    </row>
    <row r="213" spans="1:11">
      <c r="A213" s="92" t="s">
        <v>264</v>
      </c>
      <c r="B213" s="12" t="s">
        <v>265</v>
      </c>
      <c r="C213" s="10"/>
      <c r="D213" s="10"/>
      <c r="E213" s="10"/>
      <c r="F213" s="10"/>
      <c r="G213" s="10"/>
      <c r="H213" s="10"/>
      <c r="I213" s="10"/>
      <c r="J213" s="10"/>
      <c r="K213" s="10"/>
    </row>
    <row r="214" spans="1:11" ht="13.5" thickBot="1">
      <c r="A214" s="6"/>
      <c r="B214" s="12"/>
      <c r="C214" s="93" t="s">
        <v>266</v>
      </c>
      <c r="D214" s="94" t="s">
        <v>267</v>
      </c>
      <c r="E214" s="94" t="s">
        <v>24</v>
      </c>
      <c r="F214" s="10"/>
      <c r="G214" s="94" t="s">
        <v>268</v>
      </c>
      <c r="H214" s="10"/>
      <c r="I214" s="10"/>
      <c r="J214" s="10"/>
      <c r="K214" s="10"/>
    </row>
    <row r="215" spans="1:11">
      <c r="A215" s="6">
        <v>12</v>
      </c>
      <c r="B215" s="12" t="s">
        <v>81</v>
      </c>
      <c r="C215" s="10" t="s">
        <v>269</v>
      </c>
      <c r="D215" s="83">
        <v>0</v>
      </c>
      <c r="E215" s="21">
        <v>0</v>
      </c>
      <c r="F215" s="95"/>
      <c r="G215" s="32">
        <f>D215*E215</f>
        <v>0</v>
      </c>
      <c r="H215" s="22"/>
      <c r="I215" s="22"/>
      <c r="J215" s="10"/>
      <c r="K215" s="10"/>
    </row>
    <row r="216" spans="1:11">
      <c r="A216" s="6">
        <f>+A215+1</f>
        <v>13</v>
      </c>
      <c r="B216" s="12" t="s">
        <v>270</v>
      </c>
      <c r="C216" s="10" t="s">
        <v>271</v>
      </c>
      <c r="D216" s="83">
        <v>1</v>
      </c>
      <c r="E216" s="21">
        <f>+I211</f>
        <v>0.83165890028977185</v>
      </c>
      <c r="F216" s="95"/>
      <c r="G216" s="32">
        <f>D216*E216</f>
        <v>0.83165890028977185</v>
      </c>
      <c r="H216" s="22"/>
      <c r="I216" s="22"/>
      <c r="J216" s="10"/>
      <c r="K216" s="10"/>
    </row>
    <row r="217" spans="1:11">
      <c r="A217" s="6">
        <f>+A216+1</f>
        <v>14</v>
      </c>
      <c r="B217" s="12" t="s">
        <v>86</v>
      </c>
      <c r="C217" s="10" t="s">
        <v>272</v>
      </c>
      <c r="D217" s="83">
        <v>0</v>
      </c>
      <c r="E217" s="21">
        <v>0</v>
      </c>
      <c r="F217" s="95"/>
      <c r="G217" s="32">
        <f>D217*E217</f>
        <v>0</v>
      </c>
      <c r="H217" s="22"/>
      <c r="I217" s="96" t="s">
        <v>141</v>
      </c>
      <c r="J217" s="10"/>
      <c r="K217" s="10"/>
    </row>
    <row r="218" spans="1:11" ht="13.5" thickBot="1">
      <c r="A218" s="6">
        <f>+A217+1</f>
        <v>15</v>
      </c>
      <c r="B218" s="12" t="s">
        <v>273</v>
      </c>
      <c r="C218" s="10" t="s">
        <v>274</v>
      </c>
      <c r="D218" s="91">
        <v>0</v>
      </c>
      <c r="E218" s="21">
        <v>0</v>
      </c>
      <c r="F218" s="95"/>
      <c r="G218" s="57">
        <f>D218*E218</f>
        <v>0</v>
      </c>
      <c r="H218" s="22"/>
      <c r="I218" s="97" t="s">
        <v>275</v>
      </c>
      <c r="J218" s="10"/>
      <c r="K218" s="10"/>
    </row>
    <row r="219" spans="1:11">
      <c r="A219" s="6">
        <f>+A218+1</f>
        <v>16</v>
      </c>
      <c r="B219" s="12" t="s">
        <v>276</v>
      </c>
      <c r="C219" s="10"/>
      <c r="D219" s="32">
        <f>SUM(D215:D218)</f>
        <v>1</v>
      </c>
      <c r="E219" s="10"/>
      <c r="F219" s="10"/>
      <c r="G219" s="32">
        <f>SUM(G215:G218)</f>
        <v>0.83165890028977185</v>
      </c>
      <c r="H219" s="98" t="s">
        <v>277</v>
      </c>
      <c r="I219" s="99">
        <f>IF(G219&gt;0,G219/D219,0)</f>
        <v>0.83165890028977185</v>
      </c>
      <c r="J219" s="11" t="s">
        <v>277</v>
      </c>
      <c r="K219" s="10" t="s">
        <v>278</v>
      </c>
    </row>
    <row r="220" spans="1:11">
      <c r="A220" s="6"/>
      <c r="B220" s="12" t="s">
        <v>9</v>
      </c>
      <c r="C220" s="10" t="s">
        <v>9</v>
      </c>
      <c r="D220" s="4"/>
      <c r="E220" s="10"/>
      <c r="F220" s="10"/>
      <c r="G220" s="4"/>
      <c r="H220" s="4"/>
      <c r="I220" s="4"/>
      <c r="J220" s="4"/>
      <c r="K220" s="10"/>
    </row>
    <row r="221" spans="1:11">
      <c r="A221" s="6"/>
      <c r="B221" s="12" t="s">
        <v>279</v>
      </c>
      <c r="C221" s="10"/>
      <c r="D221" s="51" t="s">
        <v>267</v>
      </c>
      <c r="E221" s="10"/>
      <c r="F221" s="10"/>
      <c r="G221" s="11" t="s">
        <v>280</v>
      </c>
      <c r="H221" s="100"/>
      <c r="I221" s="58" t="s">
        <v>281</v>
      </c>
      <c r="J221" s="10"/>
      <c r="K221" s="10"/>
    </row>
    <row r="222" spans="1:11">
      <c r="A222" s="6">
        <f>+A219+1</f>
        <v>17</v>
      </c>
      <c r="B222" s="12" t="s">
        <v>282</v>
      </c>
      <c r="C222" s="10" t="s">
        <v>283</v>
      </c>
      <c r="D222" s="83">
        <f>AVERAGE('4- Rate Base'!D10,'4- Rate Base'!D22)</f>
        <v>43552095.877465874</v>
      </c>
      <c r="E222" s="10"/>
      <c r="F222" s="4"/>
      <c r="G222" s="6" t="s">
        <v>284</v>
      </c>
      <c r="H222" s="101"/>
      <c r="I222" s="6" t="s">
        <v>285</v>
      </c>
      <c r="J222" s="10"/>
      <c r="K222" s="17" t="s">
        <v>93</v>
      </c>
    </row>
    <row r="223" spans="1:11">
      <c r="A223" s="6">
        <f>+A222+1</f>
        <v>18</v>
      </c>
      <c r="B223" s="12" t="s">
        <v>286</v>
      </c>
      <c r="C223" s="10" t="s">
        <v>287</v>
      </c>
      <c r="D223" s="83">
        <v>0</v>
      </c>
      <c r="E223" s="10"/>
      <c r="F223" s="4"/>
      <c r="G223" s="102">
        <f>IF(D225&gt;0,D222/D225,0)</f>
        <v>1</v>
      </c>
      <c r="H223" s="103" t="s">
        <v>288</v>
      </c>
      <c r="I223" s="102">
        <f>I219</f>
        <v>0.83165890028977185</v>
      </c>
      <c r="J223" s="103" t="s">
        <v>277</v>
      </c>
      <c r="K223" s="102">
        <f>I223*G223</f>
        <v>0.83165890028977185</v>
      </c>
    </row>
    <row r="224" spans="1:11" ht="13.5" thickBot="1">
      <c r="A224" s="6">
        <f>+A223+1</f>
        <v>19</v>
      </c>
      <c r="B224" s="90" t="s">
        <v>289</v>
      </c>
      <c r="C224" s="93" t="s">
        <v>290</v>
      </c>
      <c r="D224" s="91">
        <v>0</v>
      </c>
      <c r="E224" s="10"/>
      <c r="F224" s="10"/>
      <c r="G224" s="10" t="s">
        <v>9</v>
      </c>
      <c r="H224" s="10"/>
      <c r="I224" s="10"/>
      <c r="J224" s="10"/>
      <c r="K224" s="10"/>
    </row>
    <row r="225" spans="1:15">
      <c r="A225" s="6">
        <f>+A224+1</f>
        <v>20</v>
      </c>
      <c r="B225" s="12" t="s">
        <v>291</v>
      </c>
      <c r="C225" s="10" t="s">
        <v>292</v>
      </c>
      <c r="D225" s="32">
        <f>D222+D223+D224</f>
        <v>43552095.877465874</v>
      </c>
      <c r="E225" s="10"/>
      <c r="F225" s="10"/>
      <c r="G225" s="10"/>
      <c r="H225" s="10"/>
      <c r="I225" s="10"/>
      <c r="J225" s="10"/>
      <c r="K225" s="10"/>
    </row>
    <row r="226" spans="1:15">
      <c r="A226" s="6"/>
      <c r="B226" s="12"/>
      <c r="C226" s="10"/>
      <c r="D226" s="4"/>
      <c r="E226" s="10"/>
      <c r="F226" s="10"/>
      <c r="G226" s="10"/>
      <c r="H226" s="10"/>
      <c r="I226" s="10"/>
      <c r="J226" s="10"/>
      <c r="K226" s="10"/>
      <c r="N226" s="104"/>
      <c r="O226" s="104"/>
    </row>
    <row r="227" spans="1:15" ht="13.5" thickBot="1">
      <c r="A227" s="6" t="s">
        <v>293</v>
      </c>
      <c r="B227" s="5" t="s">
        <v>294</v>
      </c>
      <c r="C227" s="10"/>
      <c r="D227" s="10"/>
      <c r="E227" s="10"/>
      <c r="F227" s="10"/>
      <c r="G227" s="10"/>
      <c r="H227" s="10"/>
      <c r="I227" s="94" t="s">
        <v>267</v>
      </c>
      <c r="J227" s="10"/>
      <c r="K227" s="10"/>
      <c r="N227" s="104"/>
      <c r="O227" s="104"/>
    </row>
    <row r="228" spans="1:15">
      <c r="A228" s="6"/>
      <c r="B228" s="12"/>
      <c r="C228" s="10"/>
      <c r="D228" s="10"/>
      <c r="E228" s="10"/>
      <c r="F228" s="10"/>
      <c r="G228" s="11" t="s">
        <v>295</v>
      </c>
      <c r="H228" s="10"/>
      <c r="I228" s="10"/>
      <c r="J228" s="10"/>
      <c r="K228" s="10"/>
      <c r="N228" s="104"/>
      <c r="O228" s="104"/>
    </row>
    <row r="229" spans="1:15" ht="13.5" thickBot="1">
      <c r="A229" s="6"/>
      <c r="B229" s="12"/>
      <c r="C229" s="10"/>
      <c r="D229" s="18" t="s">
        <v>267</v>
      </c>
      <c r="E229" s="18" t="s">
        <v>296</v>
      </c>
      <c r="F229" s="10"/>
      <c r="G229" s="86"/>
      <c r="H229" s="10"/>
      <c r="I229" s="18" t="s">
        <v>297</v>
      </c>
      <c r="J229" s="10"/>
      <c r="K229" s="10"/>
      <c r="N229" s="104"/>
      <c r="O229" s="104"/>
    </row>
    <row r="230" spans="1:15">
      <c r="A230" s="6">
        <v>27</v>
      </c>
      <c r="B230" s="5" t="s">
        <v>298</v>
      </c>
      <c r="C230" s="4" t="s">
        <v>299</v>
      </c>
      <c r="D230" s="105">
        <f>+'5-P3 Support'!F62</f>
        <v>0.4</v>
      </c>
      <c r="E230" s="106">
        <f>+'5-P3 Support'!G62</f>
        <v>0.4</v>
      </c>
      <c r="F230" s="106"/>
      <c r="G230" s="107">
        <f>+'5-P3 Support'!I62</f>
        <v>2.1866578260869563E-2</v>
      </c>
      <c r="H230" s="21"/>
      <c r="I230" s="108">
        <f>+'5-P3 Support'!K62</f>
        <v>8.746631304347826E-3</v>
      </c>
      <c r="J230" s="109" t="s">
        <v>300</v>
      </c>
      <c r="K230" s="4"/>
      <c r="N230" s="104"/>
      <c r="O230" s="104"/>
    </row>
    <row r="231" spans="1:15" ht="15">
      <c r="A231" s="6">
        <f>+A230+1</f>
        <v>28</v>
      </c>
      <c r="B231" s="5" t="s">
        <v>301</v>
      </c>
      <c r="C231" s="4" t="s">
        <v>302</v>
      </c>
      <c r="D231" s="105">
        <f>+'5-P3 Support'!F63</f>
        <v>0</v>
      </c>
      <c r="E231" s="106">
        <f>+'5-P3 Support'!G63</f>
        <v>0</v>
      </c>
      <c r="F231" s="21"/>
      <c r="G231" s="107">
        <f>+'5-P3 Support'!I63</f>
        <v>0</v>
      </c>
      <c r="H231" s="21"/>
      <c r="I231" s="108">
        <f>+'5-P3 Support'!K63</f>
        <v>0</v>
      </c>
      <c r="J231" s="10"/>
      <c r="K231" s="4"/>
      <c r="L231"/>
      <c r="M231"/>
      <c r="N231"/>
      <c r="O231"/>
    </row>
    <row r="232" spans="1:15" ht="15.75" thickBot="1">
      <c r="A232" s="6">
        <f>+A231+1</f>
        <v>29</v>
      </c>
      <c r="B232" s="5" t="s">
        <v>303</v>
      </c>
      <c r="C232" s="4" t="s">
        <v>304</v>
      </c>
      <c r="D232" s="110">
        <f>+'5-P3 Support'!F64</f>
        <v>0.6</v>
      </c>
      <c r="E232" s="111">
        <f>+'5-P3 Support'!G64</f>
        <v>0.6</v>
      </c>
      <c r="F232" s="21"/>
      <c r="G232" s="107">
        <v>0.1052</v>
      </c>
      <c r="H232" s="4"/>
      <c r="I232" s="112">
        <f>+'5-P3 Support'!K64</f>
        <v>6.3119999999999996E-2</v>
      </c>
      <c r="J232" s="10"/>
      <c r="K232" s="4"/>
      <c r="L232"/>
      <c r="M232"/>
      <c r="N232"/>
      <c r="O232"/>
    </row>
    <row r="233" spans="1:15" ht="15">
      <c r="A233" s="6">
        <f>+A232+1</f>
        <v>30</v>
      </c>
      <c r="B233" s="12" t="s">
        <v>305</v>
      </c>
      <c r="C233" s="4" t="s">
        <v>306</v>
      </c>
      <c r="D233" s="105">
        <f>SUM(D230:D232)</f>
        <v>1</v>
      </c>
      <c r="E233" s="21" t="s">
        <v>9</v>
      </c>
      <c r="F233" s="21"/>
      <c r="G233" s="10"/>
      <c r="H233" s="10"/>
      <c r="I233" s="113">
        <f>SUM(I230:I232)</f>
        <v>7.1866631304347825E-2</v>
      </c>
      <c r="J233" s="109" t="s">
        <v>307</v>
      </c>
      <c r="K233" s="4"/>
      <c r="L233"/>
      <c r="M233"/>
      <c r="N233"/>
      <c r="O233"/>
    </row>
    <row r="234" spans="1:15" ht="15">
      <c r="A234" s="6"/>
      <c r="B234" s="4"/>
      <c r="C234" s="4"/>
      <c r="D234" s="4"/>
      <c r="E234" s="10"/>
      <c r="F234" s="10"/>
      <c r="G234" s="10"/>
      <c r="H234" s="10"/>
      <c r="I234" s="4"/>
      <c r="J234" s="4"/>
      <c r="K234" s="4"/>
      <c r="L234"/>
      <c r="M234"/>
      <c r="N234"/>
      <c r="O234"/>
    </row>
    <row r="235" spans="1:15" ht="15">
      <c r="A235" s="6"/>
      <c r="B235" s="5" t="s">
        <v>308</v>
      </c>
      <c r="C235" s="5"/>
      <c r="D235" s="5"/>
      <c r="E235" s="5"/>
      <c r="F235" s="5"/>
      <c r="G235" s="5"/>
      <c r="H235" s="5"/>
      <c r="I235" s="5"/>
      <c r="J235" s="5"/>
      <c r="K235" s="5"/>
      <c r="L235"/>
      <c r="M235"/>
      <c r="N235"/>
      <c r="O235"/>
    </row>
    <row r="236" spans="1:15" ht="15.75" thickBot="1">
      <c r="A236" s="6"/>
      <c r="B236" s="5"/>
      <c r="C236" s="5"/>
      <c r="D236" s="5"/>
      <c r="E236" s="5"/>
      <c r="F236" s="5"/>
      <c r="G236" s="5"/>
      <c r="H236" s="5"/>
      <c r="I236" s="18" t="s">
        <v>309</v>
      </c>
      <c r="J236" s="6"/>
      <c r="K236" s="4"/>
      <c r="L236"/>
      <c r="M236"/>
      <c r="N236"/>
      <c r="O236"/>
    </row>
    <row r="237" spans="1:15" ht="15">
      <c r="A237" s="6"/>
      <c r="B237" s="5" t="s">
        <v>310</v>
      </c>
      <c r="C237" s="5" t="s">
        <v>311</v>
      </c>
      <c r="D237" s="5"/>
      <c r="E237" s="5"/>
      <c r="F237" s="5"/>
      <c r="G237" s="114" t="s">
        <v>9</v>
      </c>
      <c r="H237" s="115"/>
      <c r="I237" s="4"/>
      <c r="J237" s="4"/>
      <c r="K237" s="4"/>
      <c r="L237"/>
      <c r="M237"/>
      <c r="N237"/>
      <c r="O237"/>
    </row>
    <row r="238" spans="1:15" ht="15">
      <c r="A238" s="6">
        <v>31</v>
      </c>
      <c r="B238" s="4" t="s">
        <v>312</v>
      </c>
      <c r="C238" s="5" t="s">
        <v>313</v>
      </c>
      <c r="D238" s="5"/>
      <c r="E238" s="4"/>
      <c r="F238" s="5"/>
      <c r="G238" s="4"/>
      <c r="H238" s="115"/>
      <c r="I238" s="116">
        <v>0</v>
      </c>
      <c r="J238" s="117"/>
      <c r="K238" s="4"/>
      <c r="L238"/>
      <c r="M238"/>
      <c r="N238"/>
      <c r="O238"/>
    </row>
    <row r="239" spans="1:15" ht="13.5" thickBot="1">
      <c r="A239" s="6">
        <f>+A238+1</f>
        <v>32</v>
      </c>
      <c r="B239" s="118" t="s">
        <v>314</v>
      </c>
      <c r="C239" s="10"/>
      <c r="D239" s="4"/>
      <c r="E239" s="5"/>
      <c r="F239" s="5"/>
      <c r="G239" s="5"/>
      <c r="H239" s="5"/>
      <c r="I239" s="119">
        <v>0</v>
      </c>
      <c r="J239" s="117"/>
      <c r="K239" s="4"/>
      <c r="N239" s="104"/>
      <c r="O239" s="104"/>
    </row>
    <row r="240" spans="1:15">
      <c r="A240" s="6">
        <f>+A239+1</f>
        <v>33</v>
      </c>
      <c r="B240" s="4" t="s">
        <v>315</v>
      </c>
      <c r="C240" s="12" t="s">
        <v>316</v>
      </c>
      <c r="D240" s="4"/>
      <c r="E240" s="5"/>
      <c r="F240" s="5"/>
      <c r="G240" s="5"/>
      <c r="H240" s="5"/>
      <c r="I240" s="120">
        <f>I238-I239</f>
        <v>0</v>
      </c>
      <c r="J240" s="117"/>
      <c r="K240" s="4"/>
      <c r="N240" s="104"/>
      <c r="O240" s="104"/>
    </row>
    <row r="241" spans="1:15">
      <c r="A241" s="6"/>
      <c r="B241" s="4"/>
      <c r="C241" s="12"/>
      <c r="D241" s="4"/>
      <c r="E241" s="5"/>
      <c r="F241" s="5"/>
      <c r="G241" s="5"/>
      <c r="H241" s="5"/>
      <c r="I241" s="121"/>
      <c r="J241" s="4"/>
      <c r="K241" s="4"/>
      <c r="N241" s="104"/>
      <c r="O241" s="104"/>
    </row>
    <row r="242" spans="1:15">
      <c r="A242" s="6">
        <f>+A240+1</f>
        <v>34</v>
      </c>
      <c r="B242" s="5" t="s">
        <v>317</v>
      </c>
      <c r="C242" s="551" t="s">
        <v>318</v>
      </c>
      <c r="D242" s="4"/>
      <c r="E242" s="5"/>
      <c r="F242" s="5"/>
      <c r="G242" s="122"/>
      <c r="H242" s="5"/>
      <c r="I242" s="83">
        <v>0</v>
      </c>
      <c r="J242" s="4"/>
      <c r="K242" s="123"/>
      <c r="N242" s="104"/>
      <c r="O242" s="104"/>
    </row>
    <row r="243" spans="1:15">
      <c r="A243" s="6"/>
      <c r="B243" s="5"/>
      <c r="C243" s="551"/>
      <c r="D243" s="4"/>
      <c r="E243" s="5"/>
      <c r="F243" s="5"/>
      <c r="G243" s="122"/>
      <c r="H243" s="5"/>
      <c r="I243" s="60"/>
      <c r="J243" s="4"/>
      <c r="K243" s="123"/>
      <c r="N243" s="104"/>
      <c r="O243" s="104"/>
    </row>
    <row r="244" spans="1:15">
      <c r="A244" s="6" t="s">
        <v>986</v>
      </c>
      <c r="B244" s="5" t="s">
        <v>987</v>
      </c>
      <c r="C244" s="551" t="s">
        <v>988</v>
      </c>
      <c r="D244" s="4"/>
      <c r="E244" s="5"/>
      <c r="F244" s="5"/>
      <c r="G244" s="122"/>
      <c r="H244" s="5"/>
      <c r="I244" s="83">
        <v>0</v>
      </c>
      <c r="J244" s="4"/>
      <c r="K244" s="123"/>
      <c r="N244" s="104"/>
      <c r="O244" s="104"/>
    </row>
    <row r="245" spans="1:15">
      <c r="A245" s="6"/>
      <c r="B245" s="4"/>
      <c r="C245" s="550"/>
      <c r="D245" s="5"/>
      <c r="E245" s="5"/>
      <c r="F245" s="5"/>
      <c r="G245" s="5"/>
      <c r="H245" s="5"/>
      <c r="I245" s="121"/>
      <c r="J245" s="4"/>
      <c r="K245" s="123"/>
    </row>
    <row r="246" spans="1:15">
      <c r="A246" s="6"/>
      <c r="B246" s="5" t="s">
        <v>989</v>
      </c>
      <c r="C246" s="550" t="s">
        <v>319</v>
      </c>
      <c r="D246" s="5"/>
      <c r="E246" s="5"/>
      <c r="F246" s="5"/>
      <c r="G246" s="5"/>
      <c r="H246" s="5"/>
      <c r="I246" s="4"/>
      <c r="J246" s="4"/>
      <c r="K246" s="123"/>
    </row>
    <row r="247" spans="1:15">
      <c r="A247" s="6">
        <v>35</v>
      </c>
      <c r="B247" s="124" t="s">
        <v>320</v>
      </c>
      <c r="C247" s="10"/>
      <c r="D247" s="10"/>
      <c r="E247" s="10"/>
      <c r="F247" s="10"/>
      <c r="G247" s="10"/>
      <c r="H247" s="10"/>
      <c r="I247" s="771">
        <v>75000</v>
      </c>
      <c r="J247" s="10"/>
      <c r="K247" s="123"/>
    </row>
    <row r="248" spans="1:15">
      <c r="A248" s="6">
        <v>36</v>
      </c>
      <c r="B248" s="124" t="s">
        <v>321</v>
      </c>
      <c r="C248" s="10"/>
      <c r="D248" s="10"/>
      <c r="E248" s="10"/>
      <c r="F248" s="10"/>
      <c r="G248" s="10"/>
      <c r="H248" s="10"/>
      <c r="I248" s="125">
        <v>0</v>
      </c>
      <c r="J248" s="10"/>
      <c r="K248" s="123"/>
    </row>
    <row r="249" spans="1:15">
      <c r="A249" s="6" t="s">
        <v>322</v>
      </c>
      <c r="B249" s="124" t="s">
        <v>323</v>
      </c>
      <c r="C249" s="10" t="s">
        <v>324</v>
      </c>
      <c r="D249" s="10"/>
      <c r="E249" s="10"/>
      <c r="F249" s="10"/>
      <c r="G249" s="10"/>
      <c r="H249" s="10"/>
      <c r="I249" s="125">
        <v>0</v>
      </c>
      <c r="J249" s="10"/>
      <c r="K249" s="123"/>
    </row>
    <row r="250" spans="1:15" ht="13.5" thickBot="1">
      <c r="A250" s="6" t="s">
        <v>325</v>
      </c>
      <c r="B250" s="124" t="s">
        <v>326</v>
      </c>
      <c r="C250" s="10" t="s">
        <v>327</v>
      </c>
      <c r="D250" s="10"/>
      <c r="E250" s="10"/>
      <c r="F250" s="10"/>
      <c r="G250" s="10"/>
      <c r="H250" s="10"/>
      <c r="I250" s="126">
        <v>0</v>
      </c>
      <c r="J250" s="10"/>
      <c r="K250" s="123"/>
    </row>
    <row r="251" spans="1:15">
      <c r="A251" s="6">
        <v>37</v>
      </c>
      <c r="B251" s="127" t="s">
        <v>328</v>
      </c>
      <c r="C251" s="6"/>
      <c r="D251" s="10"/>
      <c r="E251" s="10"/>
      <c r="F251" s="10"/>
      <c r="G251" s="10"/>
      <c r="H251" s="5"/>
      <c r="I251" s="32">
        <f>+I247-I248-I249-I250</f>
        <v>75000</v>
      </c>
      <c r="J251" s="10"/>
      <c r="K251" s="10"/>
    </row>
    <row r="252" spans="1:15">
      <c r="A252" s="6"/>
      <c r="B252" s="127"/>
      <c r="C252" s="6"/>
      <c r="D252" s="10"/>
      <c r="E252" s="10"/>
      <c r="F252" s="10"/>
      <c r="G252" s="10"/>
      <c r="H252" s="5"/>
      <c r="I252" s="32"/>
      <c r="J252" s="10"/>
      <c r="K252" s="10"/>
    </row>
    <row r="253" spans="1:15">
      <c r="A253" s="6"/>
      <c r="B253" s="98"/>
      <c r="C253" s="14"/>
      <c r="D253" s="6"/>
      <c r="E253" s="11"/>
      <c r="F253" s="559"/>
      <c r="G253" s="154"/>
      <c r="H253" s="596"/>
      <c r="I253" s="596"/>
      <c r="J253" s="10"/>
      <c r="K253" s="10"/>
    </row>
    <row r="254" spans="1:15">
      <c r="A254" s="6"/>
      <c r="B254" s="1"/>
      <c r="C254" s="583"/>
      <c r="D254" s="10"/>
      <c r="E254" s="10"/>
      <c r="F254" s="154"/>
      <c r="G254" s="154"/>
      <c r="H254" s="162"/>
      <c r="I254" s="162"/>
      <c r="J254" s="10"/>
      <c r="K254" s="10"/>
    </row>
    <row r="255" spans="1:15">
      <c r="A255" s="6"/>
      <c r="B255" s="582"/>
      <c r="C255" s="593"/>
      <c r="D255" s="556"/>
      <c r="E255" s="10"/>
      <c r="H255" s="154"/>
      <c r="I255" s="60"/>
      <c r="J255" s="10"/>
      <c r="K255" s="10"/>
    </row>
    <row r="256" spans="1:15">
      <c r="A256" s="562"/>
      <c r="B256" s="560"/>
      <c r="C256" s="552"/>
      <c r="D256" s="60"/>
      <c r="E256" s="60"/>
      <c r="F256" s="60"/>
      <c r="G256" s="154"/>
      <c r="H256" s="60"/>
      <c r="I256" s="60"/>
      <c r="J256" s="10"/>
      <c r="K256" s="10"/>
    </row>
    <row r="257" spans="1:22">
      <c r="A257" s="6"/>
      <c r="B257" s="4"/>
      <c r="C257" s="552"/>
      <c r="D257" s="553"/>
      <c r="E257" s="60"/>
      <c r="F257" s="60"/>
      <c r="G257" s="154"/>
      <c r="H257" s="154"/>
      <c r="I257" s="552"/>
      <c r="J257" s="10"/>
      <c r="K257" s="10"/>
    </row>
    <row r="258" spans="1:22">
      <c r="A258" s="6"/>
      <c r="C258" s="6"/>
      <c r="D258" s="10"/>
      <c r="E258" s="10"/>
      <c r="F258" s="10"/>
      <c r="G258" s="10"/>
      <c r="H258" s="5"/>
      <c r="I258" s="121"/>
      <c r="J258" s="10"/>
      <c r="K258" s="10"/>
    </row>
    <row r="259" spans="1:22">
      <c r="A259" s="6"/>
      <c r="B259" s="127"/>
      <c r="C259" s="12"/>
      <c r="D259" s="10"/>
      <c r="E259" s="10"/>
      <c r="F259" s="10"/>
      <c r="G259" s="10"/>
      <c r="H259" s="12"/>
      <c r="I259" s="10"/>
      <c r="J259" s="12"/>
      <c r="K259" s="64" t="str">
        <f>+K1</f>
        <v>Attachment O-GLH</v>
      </c>
    </row>
    <row r="260" spans="1:22">
      <c r="A260" s="6"/>
      <c r="B260" s="12"/>
      <c r="C260" s="12"/>
      <c r="D260" s="10"/>
      <c r="E260" s="10"/>
      <c r="F260" s="10"/>
      <c r="G260" s="10"/>
      <c r="H260" s="12"/>
      <c r="I260" s="10"/>
      <c r="J260" s="12"/>
      <c r="K260" s="64" t="s">
        <v>335</v>
      </c>
    </row>
    <row r="261" spans="1:22">
      <c r="A261" s="6"/>
      <c r="B261" s="130" t="s">
        <v>2</v>
      </c>
      <c r="C261" s="6"/>
      <c r="D261" s="11" t="s">
        <v>3</v>
      </c>
      <c r="E261" s="10"/>
      <c r="F261" s="10"/>
      <c r="G261" s="10"/>
      <c r="H261" s="5"/>
      <c r="I261" s="1"/>
      <c r="J261" s="4"/>
      <c r="K261" s="131" t="str">
        <f>K3</f>
        <v>For the 12 months ended 12/31/2022</v>
      </c>
    </row>
    <row r="262" spans="1:22">
      <c r="A262" s="6"/>
      <c r="B262" s="130"/>
      <c r="C262" s="6"/>
      <c r="D262" s="11" t="s">
        <v>4</v>
      </c>
      <c r="E262" s="10"/>
      <c r="F262" s="10"/>
      <c r="G262" s="10"/>
      <c r="H262" s="5"/>
      <c r="I262" s="132"/>
      <c r="J262" s="4"/>
      <c r="K262" s="10"/>
    </row>
    <row r="263" spans="1:22">
      <c r="A263" s="6"/>
      <c r="B263" s="130"/>
      <c r="C263" s="6"/>
      <c r="D263" s="11" t="str">
        <f>+D199</f>
        <v>GridLiance Heartland LLC</v>
      </c>
      <c r="E263" s="10"/>
      <c r="F263" s="10"/>
      <c r="G263" s="10"/>
      <c r="H263" s="5"/>
      <c r="I263" s="132"/>
      <c r="J263" s="4"/>
      <c r="K263" s="10"/>
    </row>
    <row r="264" spans="1:22">
      <c r="A264" s="826"/>
      <c r="B264" s="826"/>
      <c r="C264" s="826"/>
      <c r="D264" s="826"/>
      <c r="E264" s="826"/>
      <c r="F264" s="826"/>
      <c r="G264" s="826"/>
      <c r="H264" s="826"/>
      <c r="I264" s="826"/>
      <c r="J264" s="826"/>
      <c r="K264" s="826"/>
    </row>
    <row r="265" spans="1:22">
      <c r="A265" s="6"/>
      <c r="B265" s="130"/>
      <c r="C265" s="6"/>
      <c r="D265" s="10"/>
      <c r="E265" s="10"/>
      <c r="F265" s="10"/>
      <c r="G265" s="10"/>
      <c r="H265" s="5"/>
      <c r="I265" s="132"/>
      <c r="J265" s="4"/>
      <c r="K265" s="10"/>
    </row>
    <row r="266" spans="1:22">
      <c r="A266" s="6"/>
      <c r="B266" s="5" t="s">
        <v>336</v>
      </c>
      <c r="C266" s="6"/>
      <c r="D266" s="10"/>
      <c r="E266" s="10"/>
      <c r="F266" s="10"/>
      <c r="G266" s="10"/>
      <c r="H266" s="5"/>
      <c r="I266" s="10"/>
      <c r="J266" s="5"/>
      <c r="K266" s="10"/>
    </row>
    <row r="267" spans="1:22">
      <c r="A267" s="6"/>
      <c r="B267" s="133" t="s">
        <v>337</v>
      </c>
      <c r="C267" s="6"/>
      <c r="D267" s="10"/>
      <c r="E267" s="10"/>
      <c r="F267" s="10"/>
      <c r="G267" s="10"/>
      <c r="H267" s="5"/>
      <c r="I267" s="10"/>
      <c r="J267" s="5"/>
      <c r="K267" s="10"/>
    </row>
    <row r="268" spans="1:22">
      <c r="A268" s="6" t="s">
        <v>338</v>
      </c>
      <c r="B268" s="5"/>
      <c r="C268" s="5"/>
      <c r="D268" s="10"/>
      <c r="E268" s="10"/>
      <c r="F268" s="10"/>
      <c r="G268" s="10"/>
      <c r="H268" s="5"/>
      <c r="I268" s="10"/>
      <c r="J268" s="5"/>
      <c r="K268" s="10"/>
    </row>
    <row r="269" spans="1:22" ht="13.5" thickBot="1">
      <c r="A269" s="18" t="s">
        <v>339</v>
      </c>
      <c r="B269" s="827"/>
      <c r="C269" s="827"/>
      <c r="D269" s="134"/>
      <c r="E269" s="134"/>
      <c r="F269" s="134"/>
      <c r="G269" s="134"/>
      <c r="H269" s="135"/>
      <c r="I269" s="134"/>
      <c r="J269" s="135"/>
      <c r="K269" s="134"/>
    </row>
    <row r="270" spans="1:22">
      <c r="A270" s="35" t="s">
        <v>340</v>
      </c>
      <c r="B270" s="584" t="s">
        <v>1018</v>
      </c>
      <c r="C270" s="136"/>
      <c r="D270" s="137"/>
      <c r="E270" s="137"/>
      <c r="F270" s="137"/>
      <c r="G270" s="137"/>
      <c r="H270" s="136"/>
      <c r="I270" s="137"/>
      <c r="J270" s="39"/>
      <c r="K270" s="37"/>
      <c r="L270" s="135"/>
      <c r="M270" s="822"/>
      <c r="N270" s="822"/>
      <c r="O270" s="822"/>
      <c r="P270" s="822"/>
      <c r="Q270" s="822"/>
      <c r="R270" s="822"/>
      <c r="S270" s="822"/>
      <c r="T270" s="822"/>
      <c r="U270" s="822"/>
      <c r="V270" s="822"/>
    </row>
    <row r="271" spans="1:22">
      <c r="A271" s="35" t="s">
        <v>341</v>
      </c>
      <c r="B271" s="584" t="s">
        <v>1019</v>
      </c>
      <c r="C271" s="136"/>
      <c r="D271" s="137"/>
      <c r="E271" s="137"/>
      <c r="F271" s="137"/>
      <c r="G271" s="137"/>
      <c r="H271" s="136"/>
      <c r="I271" s="137"/>
      <c r="J271" s="39"/>
      <c r="K271" s="37"/>
      <c r="L271" s="135"/>
    </row>
    <row r="272" spans="1:22">
      <c r="A272" s="35" t="s">
        <v>342</v>
      </c>
      <c r="B272" s="584" t="s">
        <v>1020</v>
      </c>
      <c r="C272" s="136"/>
      <c r="D272" s="136"/>
      <c r="E272" s="136"/>
      <c r="F272" s="136"/>
      <c r="G272" s="136"/>
      <c r="H272" s="136"/>
      <c r="I272" s="137"/>
      <c r="J272" s="39"/>
      <c r="K272" s="39"/>
      <c r="L272" s="135"/>
      <c r="M272" s="822"/>
      <c r="N272" s="822"/>
      <c r="O272" s="822"/>
      <c r="P272" s="822"/>
      <c r="Q272" s="822"/>
      <c r="R272" s="822"/>
      <c r="S272" s="822"/>
      <c r="T272" s="822"/>
      <c r="U272" s="822"/>
      <c r="V272" s="822"/>
    </row>
    <row r="273" spans="1:22">
      <c r="A273" s="35" t="s">
        <v>343</v>
      </c>
      <c r="B273" s="584" t="s">
        <v>1020</v>
      </c>
      <c r="C273" s="136"/>
      <c r="D273" s="136"/>
      <c r="E273" s="136"/>
      <c r="F273" s="136"/>
      <c r="G273" s="136"/>
      <c r="H273" s="136"/>
      <c r="I273" s="137"/>
      <c r="J273" s="39"/>
      <c r="K273" s="39"/>
      <c r="L273" s="135"/>
      <c r="M273" s="822"/>
      <c r="N273" s="822"/>
      <c r="O273" s="822"/>
      <c r="P273" s="822"/>
      <c r="Q273" s="822"/>
      <c r="R273" s="822"/>
      <c r="S273" s="822"/>
      <c r="T273" s="822"/>
      <c r="U273" s="822"/>
      <c r="V273" s="822"/>
    </row>
    <row r="274" spans="1:22">
      <c r="A274" s="35" t="s">
        <v>344</v>
      </c>
      <c r="B274" s="136" t="s">
        <v>1021</v>
      </c>
      <c r="C274" s="136"/>
      <c r="D274" s="136"/>
      <c r="E274" s="136"/>
      <c r="F274" s="136"/>
      <c r="G274" s="136"/>
      <c r="H274" s="136"/>
      <c r="I274" s="136"/>
      <c r="J274" s="39"/>
      <c r="K274" s="39"/>
      <c r="L274" s="135"/>
      <c r="M274" s="822"/>
      <c r="N274" s="822"/>
      <c r="O274" s="822"/>
      <c r="P274" s="822"/>
      <c r="Q274" s="822"/>
      <c r="R274" s="822"/>
      <c r="S274" s="822"/>
      <c r="T274" s="822"/>
      <c r="U274" s="822"/>
      <c r="V274" s="822"/>
    </row>
    <row r="275" spans="1:22" ht="30.75" customHeight="1">
      <c r="A275" s="138" t="s">
        <v>345</v>
      </c>
      <c r="B275" s="824" t="s">
        <v>346</v>
      </c>
      <c r="C275" s="824"/>
      <c r="D275" s="824"/>
      <c r="E275" s="824"/>
      <c r="F275" s="824"/>
      <c r="G275" s="824"/>
      <c r="H275" s="824"/>
      <c r="I275" s="824"/>
      <c r="J275" s="135"/>
      <c r="K275" s="135"/>
      <c r="L275" s="135"/>
      <c r="M275" s="822"/>
      <c r="N275" s="822"/>
      <c r="O275" s="822"/>
      <c r="P275" s="822"/>
      <c r="Q275" s="822"/>
      <c r="R275" s="822"/>
      <c r="S275" s="822"/>
      <c r="T275" s="822"/>
      <c r="U275" s="822"/>
      <c r="V275" s="822"/>
    </row>
    <row r="276" spans="1:22">
      <c r="A276" s="139" t="s">
        <v>347</v>
      </c>
      <c r="B276" s="140" t="s">
        <v>348</v>
      </c>
      <c r="C276" s="136"/>
      <c r="D276" s="136"/>
      <c r="E276" s="136"/>
      <c r="F276" s="136"/>
      <c r="G276" s="136"/>
      <c r="H276" s="136"/>
      <c r="I276" s="136"/>
      <c r="J276" s="39"/>
      <c r="K276" s="39"/>
      <c r="L276" s="822"/>
      <c r="M276" s="822"/>
      <c r="N276" s="822"/>
      <c r="O276" s="822"/>
      <c r="P276" s="822"/>
      <c r="Q276" s="822"/>
      <c r="R276" s="822"/>
      <c r="S276" s="822"/>
      <c r="T276" s="822"/>
      <c r="U276" s="822"/>
      <c r="V276" s="822"/>
    </row>
    <row r="277" spans="1:22" ht="28.5" customHeight="1">
      <c r="A277" s="138" t="s">
        <v>349</v>
      </c>
      <c r="B277" s="810" t="s">
        <v>350</v>
      </c>
      <c r="C277" s="810"/>
      <c r="D277" s="810"/>
      <c r="E277" s="810"/>
      <c r="F277" s="810"/>
      <c r="G277" s="810"/>
      <c r="H277" s="810"/>
      <c r="I277" s="810"/>
      <c r="J277" s="141"/>
      <c r="K277" s="39"/>
      <c r="L277" s="822"/>
      <c r="M277" s="142"/>
      <c r="N277" s="142"/>
      <c r="O277" s="56"/>
      <c r="P277" s="142"/>
      <c r="Q277" s="142"/>
      <c r="R277" s="142"/>
      <c r="S277" s="142"/>
      <c r="T277" s="142"/>
      <c r="U277" s="142"/>
      <c r="V277" s="142"/>
    </row>
    <row r="278" spans="1:22" ht="30" customHeight="1">
      <c r="A278" s="138" t="s">
        <v>351</v>
      </c>
      <c r="B278" s="810" t="s">
        <v>352</v>
      </c>
      <c r="C278" s="810"/>
      <c r="D278" s="810"/>
      <c r="E278" s="810"/>
      <c r="F278" s="810"/>
      <c r="G278" s="810"/>
      <c r="H278" s="810"/>
      <c r="I278" s="810"/>
      <c r="J278" s="39"/>
      <c r="K278" s="39"/>
      <c r="L278" s="822"/>
      <c r="M278" s="142"/>
      <c r="N278" s="142"/>
      <c r="O278" s="143"/>
      <c r="P278" s="142"/>
      <c r="Q278" s="142"/>
      <c r="R278" s="142"/>
      <c r="S278" s="142"/>
      <c r="T278" s="142"/>
      <c r="U278" s="142"/>
      <c r="V278" s="142"/>
    </row>
    <row r="279" spans="1:22" ht="29.25" customHeight="1">
      <c r="A279" s="138" t="s">
        <v>353</v>
      </c>
      <c r="B279" s="810" t="s">
        <v>354</v>
      </c>
      <c r="C279" s="810"/>
      <c r="D279" s="810"/>
      <c r="E279" s="810"/>
      <c r="F279" s="810"/>
      <c r="G279" s="810"/>
      <c r="H279" s="810"/>
      <c r="I279" s="810"/>
      <c r="J279" s="39"/>
      <c r="K279" s="39"/>
      <c r="L279" s="135"/>
      <c r="M279" s="822"/>
      <c r="N279" s="822"/>
      <c r="O279" s="822"/>
      <c r="P279" s="822"/>
      <c r="Q279" s="822"/>
      <c r="R279" s="822"/>
      <c r="S279" s="822"/>
      <c r="T279" s="822"/>
      <c r="U279" s="822"/>
      <c r="V279" s="822"/>
    </row>
    <row r="280" spans="1:22" ht="57.6" customHeight="1">
      <c r="A280" s="138" t="s">
        <v>355</v>
      </c>
      <c r="B280" s="810" t="s">
        <v>1153</v>
      </c>
      <c r="C280" s="810"/>
      <c r="D280" s="810"/>
      <c r="E280" s="810"/>
      <c r="F280" s="810"/>
      <c r="G280" s="810"/>
      <c r="H280" s="810"/>
      <c r="I280" s="810"/>
      <c r="J280" s="39"/>
      <c r="K280" s="39"/>
      <c r="L280" s="135"/>
    </row>
    <row r="281" spans="1:22">
      <c r="A281" s="35" t="s">
        <v>9</v>
      </c>
      <c r="B281" s="39" t="s">
        <v>356</v>
      </c>
      <c r="C281" s="39" t="s">
        <v>357</v>
      </c>
      <c r="D281" s="775">
        <v>0.21</v>
      </c>
      <c r="E281" s="39" t="s">
        <v>358</v>
      </c>
      <c r="F281" s="39"/>
      <c r="G281" s="39"/>
      <c r="H281" s="39"/>
      <c r="I281" s="39"/>
      <c r="J281" s="39"/>
      <c r="K281" s="39"/>
      <c r="L281" s="144"/>
    </row>
    <row r="282" spans="1:22">
      <c r="A282" s="35"/>
      <c r="B282" s="39"/>
      <c r="C282" s="39" t="s">
        <v>359</v>
      </c>
      <c r="D282" s="775">
        <v>5.9499999999999997E-2</v>
      </c>
      <c r="E282" s="39" t="s">
        <v>360</v>
      </c>
      <c r="F282" s="39"/>
      <c r="G282" s="39"/>
      <c r="H282" s="39"/>
      <c r="I282" s="39"/>
      <c r="J282" s="39"/>
      <c r="K282" s="39"/>
      <c r="L282" s="144"/>
    </row>
    <row r="283" spans="1:22" s="69" customFormat="1">
      <c r="A283" s="35"/>
      <c r="B283" s="39"/>
      <c r="C283" s="39" t="s">
        <v>361</v>
      </c>
      <c r="D283" s="775">
        <v>0</v>
      </c>
      <c r="E283" s="39" t="s">
        <v>362</v>
      </c>
      <c r="F283" s="39"/>
      <c r="G283" s="39"/>
      <c r="H283" s="39"/>
      <c r="I283" s="39"/>
      <c r="J283" s="39"/>
      <c r="K283" s="39"/>
      <c r="L283" s="144"/>
    </row>
    <row r="284" spans="1:22" s="69" customFormat="1" ht="29.25" customHeight="1">
      <c r="A284" s="138" t="s">
        <v>363</v>
      </c>
      <c r="B284" s="823" t="s">
        <v>982</v>
      </c>
      <c r="C284" s="823"/>
      <c r="D284" s="823"/>
      <c r="E284" s="823"/>
      <c r="F284" s="823"/>
      <c r="G284" s="823"/>
      <c r="H284" s="823"/>
      <c r="I284" s="823"/>
      <c r="J284" s="136"/>
      <c r="K284" s="136"/>
      <c r="L284" s="144"/>
    </row>
    <row r="285" spans="1:22" ht="30.75" customHeight="1">
      <c r="A285" s="138" t="s">
        <v>364</v>
      </c>
      <c r="B285" s="810" t="s">
        <v>365</v>
      </c>
      <c r="C285" s="810"/>
      <c r="D285" s="810"/>
      <c r="E285" s="810"/>
      <c r="F285" s="810"/>
      <c r="G285" s="810"/>
      <c r="H285" s="810"/>
      <c r="I285" s="810"/>
      <c r="J285" s="145"/>
      <c r="K285" s="136"/>
    </row>
    <row r="286" spans="1:22">
      <c r="A286" s="35" t="s">
        <v>366</v>
      </c>
      <c r="B286" s="136" t="s">
        <v>367</v>
      </c>
      <c r="C286" s="146"/>
      <c r="D286" s="136"/>
      <c r="E286" s="136"/>
      <c r="F286" s="136"/>
      <c r="G286" s="136"/>
      <c r="H286" s="136"/>
      <c r="I286" s="136"/>
      <c r="J286" s="136"/>
      <c r="K286" s="136"/>
    </row>
    <row r="287" spans="1:22" ht="12.75" customHeight="1">
      <c r="A287" s="35" t="s">
        <v>368</v>
      </c>
      <c r="B287" s="824" t="s">
        <v>966</v>
      </c>
      <c r="C287" s="824"/>
      <c r="D287" s="824"/>
      <c r="E287" s="824"/>
      <c r="F287" s="824"/>
      <c r="G287" s="824"/>
      <c r="H287" s="824"/>
      <c r="I287" s="824"/>
      <c r="J287" s="147"/>
      <c r="K287" s="147"/>
    </row>
    <row r="288" spans="1:22" ht="12.75" customHeight="1">
      <c r="A288" s="35" t="s">
        <v>369</v>
      </c>
      <c r="B288" s="814" t="s">
        <v>370</v>
      </c>
      <c r="C288" s="814"/>
      <c r="D288" s="814"/>
      <c r="E288" s="814"/>
      <c r="F288" s="814"/>
      <c r="G288" s="814"/>
      <c r="H288" s="814"/>
      <c r="I288" s="814"/>
      <c r="J288" s="814"/>
      <c r="K288" s="814"/>
    </row>
    <row r="289" spans="1:15" ht="30" customHeight="1">
      <c r="A289" s="138" t="s">
        <v>371</v>
      </c>
      <c r="B289" s="810" t="s">
        <v>993</v>
      </c>
      <c r="C289" s="810"/>
      <c r="D289" s="810"/>
      <c r="E289" s="810"/>
      <c r="F289" s="810"/>
      <c r="G289" s="810"/>
      <c r="H289" s="810"/>
      <c r="I289" s="810"/>
      <c r="J289" s="136"/>
      <c r="K289" s="136"/>
    </row>
    <row r="290" spans="1:15" ht="41.25" customHeight="1">
      <c r="A290" s="138" t="s">
        <v>372</v>
      </c>
      <c r="B290" s="810" t="s">
        <v>994</v>
      </c>
      <c r="C290" s="810"/>
      <c r="D290" s="810"/>
      <c r="E290" s="810"/>
      <c r="F290" s="810"/>
      <c r="G290" s="810"/>
      <c r="H290" s="810"/>
      <c r="I290" s="810"/>
      <c r="J290" s="146"/>
      <c r="K290" s="146"/>
    </row>
    <row r="291" spans="1:15" ht="59.25" customHeight="1">
      <c r="A291" s="138" t="s">
        <v>373</v>
      </c>
      <c r="B291" s="815" t="s">
        <v>997</v>
      </c>
      <c r="C291" s="815"/>
      <c r="D291" s="815"/>
      <c r="E291" s="815"/>
      <c r="F291" s="815"/>
      <c r="G291" s="815"/>
      <c r="H291" s="815"/>
      <c r="I291" s="815"/>
      <c r="J291" s="136"/>
      <c r="K291" s="136"/>
    </row>
    <row r="292" spans="1:15" ht="31.5" customHeight="1">
      <c r="A292" s="150" t="s">
        <v>374</v>
      </c>
      <c r="B292" s="816" t="s">
        <v>998</v>
      </c>
      <c r="C292" s="816"/>
      <c r="D292" s="816"/>
      <c r="E292" s="816"/>
      <c r="F292" s="816"/>
      <c r="G292" s="816"/>
      <c r="H292" s="816"/>
      <c r="I292" s="816"/>
      <c r="J292" s="148"/>
      <c r="K292" s="148"/>
    </row>
    <row r="293" spans="1:15">
      <c r="A293" s="554" t="s">
        <v>375</v>
      </c>
      <c r="B293" s="149" t="s">
        <v>995</v>
      </c>
      <c r="C293" s="149"/>
      <c r="D293" s="149"/>
      <c r="E293" s="149"/>
      <c r="F293" s="149"/>
      <c r="G293" s="149"/>
      <c r="H293" s="149"/>
      <c r="I293" s="149"/>
      <c r="J293" s="149"/>
      <c r="K293" s="149"/>
      <c r="L293" s="154"/>
      <c r="M293" s="154"/>
      <c r="N293" s="154"/>
      <c r="O293" s="154"/>
    </row>
    <row r="294" spans="1:15">
      <c r="A294" s="14" t="s">
        <v>376</v>
      </c>
      <c r="B294" s="820" t="s">
        <v>377</v>
      </c>
      <c r="C294" s="820"/>
      <c r="D294" s="820"/>
      <c r="E294" s="820"/>
      <c r="F294" s="820"/>
      <c r="G294" s="820"/>
      <c r="H294" s="820"/>
      <c r="I294" s="820"/>
      <c r="J294" s="149"/>
      <c r="K294" s="149"/>
    </row>
    <row r="295" spans="1:15" ht="28.5" customHeight="1">
      <c r="A295" s="150" t="s">
        <v>378</v>
      </c>
      <c r="B295" s="813" t="s">
        <v>379</v>
      </c>
      <c r="C295" s="813"/>
      <c r="D295" s="813"/>
      <c r="E295" s="813"/>
      <c r="F295" s="813"/>
      <c r="G295" s="813"/>
      <c r="H295" s="813"/>
      <c r="I295" s="813"/>
      <c r="J295" s="149"/>
      <c r="K295" s="149"/>
    </row>
    <row r="296" spans="1:15" ht="27.75" customHeight="1">
      <c r="A296" s="150" t="s">
        <v>380</v>
      </c>
      <c r="B296" s="813" t="s">
        <v>381</v>
      </c>
      <c r="C296" s="813"/>
      <c r="D296" s="813"/>
      <c r="E296" s="813"/>
      <c r="F296" s="813"/>
      <c r="G296" s="813"/>
      <c r="H296" s="813"/>
      <c r="I296" s="813"/>
      <c r="J296" s="149"/>
      <c r="K296" s="149"/>
    </row>
    <row r="297" spans="1:15" ht="47.25" customHeight="1">
      <c r="A297" s="150" t="s">
        <v>382</v>
      </c>
      <c r="B297" s="818" t="s">
        <v>973</v>
      </c>
      <c r="C297" s="818"/>
      <c r="D297" s="818"/>
      <c r="E297" s="818"/>
      <c r="F297" s="818"/>
      <c r="G297" s="818"/>
      <c r="H297" s="818"/>
      <c r="I297" s="818"/>
      <c r="J297" s="149"/>
      <c r="K297" s="149"/>
    </row>
    <row r="298" spans="1:15">
      <c r="A298" s="14" t="s">
        <v>383</v>
      </c>
      <c r="B298" s="820" t="s">
        <v>384</v>
      </c>
      <c r="C298" s="820"/>
      <c r="D298" s="820"/>
      <c r="E298" s="820"/>
      <c r="F298" s="820"/>
      <c r="G298" s="820"/>
      <c r="H298" s="820"/>
      <c r="I298" s="820"/>
      <c r="J298" s="149"/>
      <c r="K298" s="149"/>
    </row>
    <row r="299" spans="1:15" ht="29.25" customHeight="1">
      <c r="A299" s="150" t="s">
        <v>385</v>
      </c>
      <c r="B299" s="813" t="s">
        <v>386</v>
      </c>
      <c r="C299" s="813"/>
      <c r="D299" s="813"/>
      <c r="E299" s="813"/>
      <c r="F299" s="813"/>
      <c r="G299" s="813"/>
      <c r="H299" s="813"/>
      <c r="I299" s="813"/>
      <c r="J299" s="149"/>
      <c r="K299" s="149"/>
    </row>
    <row r="300" spans="1:15">
      <c r="A300" s="14" t="s">
        <v>387</v>
      </c>
      <c r="B300" s="151" t="s">
        <v>388</v>
      </c>
      <c r="C300" s="149"/>
      <c r="D300" s="149"/>
      <c r="E300" s="149"/>
      <c r="F300" s="149"/>
      <c r="G300" s="149"/>
      <c r="H300" s="149"/>
      <c r="I300" s="149"/>
      <c r="J300" s="149"/>
      <c r="K300" s="149"/>
    </row>
    <row r="301" spans="1:15">
      <c r="A301" s="152" t="s">
        <v>389</v>
      </c>
      <c r="B301" s="151" t="s">
        <v>390</v>
      </c>
      <c r="C301" s="146"/>
      <c r="D301" s="146"/>
      <c r="E301" s="146"/>
      <c r="F301" s="146"/>
      <c r="G301" s="146"/>
      <c r="H301" s="146"/>
      <c r="I301" s="146"/>
      <c r="J301" s="146"/>
      <c r="K301" s="146"/>
    </row>
    <row r="302" spans="1:15" s="154" customFormat="1">
      <c r="A302" s="153" t="s">
        <v>391</v>
      </c>
      <c r="B302" s="146" t="s">
        <v>392</v>
      </c>
      <c r="C302" s="146"/>
      <c r="D302" s="146"/>
      <c r="E302" s="146"/>
      <c r="F302" s="146"/>
      <c r="G302" s="146"/>
      <c r="H302" s="146"/>
      <c r="I302" s="146"/>
      <c r="J302" s="146"/>
      <c r="K302" s="146"/>
    </row>
    <row r="303" spans="1:15" s="154" customFormat="1" ht="68.25" customHeight="1">
      <c r="A303" s="155" t="s">
        <v>393</v>
      </c>
      <c r="B303" s="811" t="s">
        <v>394</v>
      </c>
      <c r="C303" s="812"/>
      <c r="D303" s="812"/>
      <c r="E303" s="812"/>
      <c r="F303" s="812"/>
      <c r="G303" s="812"/>
      <c r="H303" s="812"/>
      <c r="I303" s="812"/>
      <c r="J303" s="561"/>
      <c r="K303" s="561"/>
    </row>
    <row r="304" spans="1:15" s="154" customFormat="1" ht="14.25" customHeight="1">
      <c r="A304" s="155" t="s">
        <v>395</v>
      </c>
      <c r="B304" s="821" t="s">
        <v>396</v>
      </c>
      <c r="C304" s="821"/>
      <c r="D304" s="821"/>
      <c r="E304" s="821"/>
      <c r="F304" s="821"/>
      <c r="G304" s="821"/>
      <c r="H304" s="821"/>
      <c r="I304" s="821"/>
      <c r="J304" s="821"/>
      <c r="K304" s="821"/>
    </row>
    <row r="305" spans="1:11" ht="29.25" customHeight="1">
      <c r="A305" s="150" t="s">
        <v>397</v>
      </c>
      <c r="B305" s="817" t="s">
        <v>398</v>
      </c>
      <c r="C305" s="817"/>
      <c r="D305" s="817"/>
      <c r="E305" s="817"/>
      <c r="F305" s="817"/>
      <c r="G305" s="817"/>
      <c r="H305" s="817"/>
      <c r="I305" s="817"/>
      <c r="J305" s="148"/>
      <c r="K305" s="148"/>
    </row>
    <row r="306" spans="1:11">
      <c r="A306" s="14" t="s">
        <v>399</v>
      </c>
      <c r="B306" s="156" t="s">
        <v>400</v>
      </c>
      <c r="C306" s="157"/>
      <c r="D306" s="157"/>
      <c r="E306" s="157"/>
      <c r="F306" s="157"/>
      <c r="G306" s="157"/>
      <c r="H306" s="142"/>
      <c r="I306" s="158"/>
      <c r="J306" s="159"/>
      <c r="K306" s="160"/>
    </row>
    <row r="307" spans="1:11" ht="12.75" customHeight="1">
      <c r="A307" s="14" t="s">
        <v>401</v>
      </c>
      <c r="B307" s="818" t="s">
        <v>402</v>
      </c>
      <c r="C307" s="818"/>
      <c r="D307" s="818"/>
      <c r="E307" s="818"/>
      <c r="F307" s="818"/>
      <c r="G307" s="818"/>
      <c r="H307" s="818"/>
      <c r="I307" s="818"/>
      <c r="J307" s="161"/>
      <c r="K307" s="161"/>
    </row>
    <row r="308" spans="1:11">
      <c r="A308" s="14" t="s">
        <v>403</v>
      </c>
      <c r="B308" s="146" t="s">
        <v>404</v>
      </c>
      <c r="C308" s="146"/>
      <c r="D308" s="146"/>
      <c r="E308" s="146"/>
      <c r="F308" s="146"/>
      <c r="G308" s="146"/>
      <c r="H308" s="146"/>
      <c r="I308" s="146"/>
      <c r="J308" s="146"/>
      <c r="K308" s="146"/>
    </row>
    <row r="309" spans="1:11">
      <c r="A309" s="14" t="s">
        <v>405</v>
      </c>
      <c r="B309" s="162" t="s">
        <v>406</v>
      </c>
      <c r="C309" s="162"/>
      <c r="D309" s="162"/>
      <c r="E309" s="162"/>
      <c r="F309" s="162"/>
      <c r="G309" s="162"/>
      <c r="H309" s="162"/>
      <c r="I309" s="162"/>
      <c r="J309" s="162"/>
      <c r="K309" s="162"/>
    </row>
    <row r="310" spans="1:11">
      <c r="A310" s="14" t="s">
        <v>407</v>
      </c>
      <c r="B310" s="146" t="s">
        <v>408</v>
      </c>
      <c r="C310" s="146"/>
      <c r="D310" s="146"/>
      <c r="E310" s="146"/>
      <c r="F310" s="146"/>
      <c r="G310" s="146"/>
      <c r="H310" s="146"/>
      <c r="I310" s="146"/>
      <c r="J310" s="146"/>
      <c r="K310" s="146"/>
    </row>
    <row r="311" spans="1:11" ht="12.75" customHeight="1">
      <c r="A311" s="150" t="s">
        <v>409</v>
      </c>
      <c r="B311" s="819" t="s">
        <v>410</v>
      </c>
      <c r="C311" s="819"/>
      <c r="D311" s="819"/>
      <c r="E311" s="819"/>
      <c r="F311" s="819"/>
      <c r="G311" s="819"/>
      <c r="H311" s="819"/>
      <c r="I311" s="819"/>
      <c r="J311" s="146"/>
      <c r="K311" s="146"/>
    </row>
    <row r="312" spans="1:11" ht="30.75" customHeight="1">
      <c r="A312" s="150" t="s">
        <v>990</v>
      </c>
      <c r="B312" s="810" t="s">
        <v>996</v>
      </c>
      <c r="C312" s="810"/>
      <c r="D312" s="810"/>
      <c r="E312" s="810"/>
      <c r="F312" s="810"/>
      <c r="G312" s="810"/>
      <c r="H312" s="810"/>
      <c r="I312" s="810"/>
    </row>
    <row r="313" spans="1:11" ht="47.45" customHeight="1">
      <c r="A313" s="155" t="s">
        <v>1009</v>
      </c>
      <c r="B313" s="810" t="s">
        <v>1154</v>
      </c>
      <c r="C313" s="810"/>
      <c r="D313" s="810"/>
      <c r="E313" s="810"/>
      <c r="F313" s="810"/>
      <c r="G313" s="810"/>
      <c r="H313" s="810"/>
      <c r="I313" s="810"/>
    </row>
    <row r="314" spans="1:11">
      <c r="A314" s="179" t="s">
        <v>991</v>
      </c>
      <c r="B314" s="1"/>
      <c r="D314" s="6"/>
      <c r="E314" s="10"/>
      <c r="F314" s="10"/>
      <c r="G314" s="10"/>
    </row>
    <row r="315" spans="1:11">
      <c r="A315" s="6"/>
      <c r="B315" s="1"/>
      <c r="C315" s="128"/>
      <c r="D315" s="10"/>
      <c r="E315" s="10"/>
      <c r="F315" s="10"/>
    </row>
    <row r="316" spans="1:11">
      <c r="A316" s="6"/>
      <c r="B316" s="1"/>
      <c r="C316" s="128"/>
      <c r="D316" s="21"/>
      <c r="E316" s="10"/>
      <c r="F316" s="10"/>
    </row>
    <row r="317" spans="1:11">
      <c r="A317" s="6"/>
      <c r="B317" s="1"/>
      <c r="C317" s="129"/>
      <c r="D317" s="32"/>
      <c r="E317" s="32"/>
      <c r="F317" s="32"/>
      <c r="G317" s="32"/>
    </row>
    <row r="318" spans="1:11">
      <c r="A318" s="6"/>
      <c r="B318" s="4"/>
      <c r="C318" s="129"/>
      <c r="D318" s="105"/>
      <c r="E318" s="32"/>
      <c r="F318" s="32"/>
      <c r="G318" s="32"/>
    </row>
    <row r="319" spans="1:11">
      <c r="A319" s="6"/>
      <c r="B319" s="1"/>
      <c r="C319" s="6"/>
      <c r="D319" s="10"/>
      <c r="E319" s="10"/>
      <c r="F319" s="10"/>
      <c r="G319" s="10"/>
    </row>
  </sheetData>
  <mergeCells count="39">
    <mergeCell ref="M270:V270"/>
    <mergeCell ref="M272:V272"/>
    <mergeCell ref="M273:V273"/>
    <mergeCell ref="M274:V274"/>
    <mergeCell ref="B275:I275"/>
    <mergeCell ref="M275:V275"/>
    <mergeCell ref="A59:K59"/>
    <mergeCell ref="A117:K117"/>
    <mergeCell ref="A200:K200"/>
    <mergeCell ref="A264:K264"/>
    <mergeCell ref="B269:C269"/>
    <mergeCell ref="B304:K304"/>
    <mergeCell ref="B294:I294"/>
    <mergeCell ref="B289:I289"/>
    <mergeCell ref="L276:L278"/>
    <mergeCell ref="M276:V276"/>
    <mergeCell ref="B277:I277"/>
    <mergeCell ref="B278:I278"/>
    <mergeCell ref="M279:V279"/>
    <mergeCell ref="B280:I280"/>
    <mergeCell ref="B284:I284"/>
    <mergeCell ref="B285:I285"/>
    <mergeCell ref="B287:I287"/>
    <mergeCell ref="B313:I313"/>
    <mergeCell ref="B303:I303"/>
    <mergeCell ref="B312:I312"/>
    <mergeCell ref="B295:I295"/>
    <mergeCell ref="B279:I279"/>
    <mergeCell ref="B288:K288"/>
    <mergeCell ref="B290:I290"/>
    <mergeCell ref="B291:I291"/>
    <mergeCell ref="B292:I292"/>
    <mergeCell ref="B305:I305"/>
    <mergeCell ref="B307:I307"/>
    <mergeCell ref="B311:I311"/>
    <mergeCell ref="B296:I296"/>
    <mergeCell ref="B297:I297"/>
    <mergeCell ref="B298:I298"/>
    <mergeCell ref="B299:I299"/>
  </mergeCells>
  <printOptions horizontalCentered="1"/>
  <pageMargins left="0.25" right="0.25" top="0.75" bottom="0.75" header="0.3" footer="0.3"/>
  <pageSetup scale="43" fitToHeight="5" orientation="landscape" r:id="rId1"/>
  <rowBreaks count="4" manualBreakCount="4">
    <brk id="52" max="10" man="1"/>
    <brk id="111" max="10" man="1"/>
    <brk id="194" max="10" man="1"/>
    <brk id="258" max="10" man="1"/>
  </rowBreaks>
  <cellWatches>
    <cellWatch r="I191"/>
  </cellWatch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70EDA-FD19-4EB7-8FD5-4AB87B451392}">
  <sheetPr>
    <pageSetUpPr fitToPage="1"/>
  </sheetPr>
  <dimension ref="A1:T178"/>
  <sheetViews>
    <sheetView zoomScale="80" zoomScaleNormal="80" zoomScaleSheetLayoutView="70" workbookViewId="0">
      <selection activeCell="D10" sqref="D10"/>
    </sheetView>
  </sheetViews>
  <sheetFormatPr defaultColWidth="8.88671875" defaultRowHeight="15.75"/>
  <cols>
    <col min="1" max="1" width="5.5546875" style="439" customWidth="1"/>
    <col min="2" max="2" width="31" style="459" customWidth="1"/>
    <col min="3" max="3" width="10.5546875" style="439" bestFit="1" customWidth="1"/>
    <col min="4" max="4" width="9.88671875" style="439" bestFit="1" customWidth="1"/>
    <col min="5" max="5" width="10" style="439" bestFit="1" customWidth="1"/>
    <col min="6" max="6" width="14.88671875" style="439" customWidth="1"/>
    <col min="7" max="7" width="12" style="439" customWidth="1"/>
    <col min="8" max="8" width="11.88671875" style="439" customWidth="1"/>
    <col min="9" max="9" width="12" style="440" customWidth="1"/>
    <col min="10" max="10" width="15.88671875" style="440" customWidth="1"/>
    <col min="11" max="11" width="8.88671875" style="440"/>
    <col min="12" max="12" width="12" style="440" customWidth="1"/>
    <col min="13" max="13" width="44.88671875" style="440" customWidth="1"/>
    <col min="14" max="16384" width="8.88671875" style="440"/>
  </cols>
  <sheetData>
    <row r="1" spans="1:20" ht="18" customHeight="1">
      <c r="A1" s="852" t="s">
        <v>893</v>
      </c>
      <c r="B1" s="852"/>
      <c r="C1" s="852"/>
      <c r="D1" s="852"/>
      <c r="E1" s="852"/>
      <c r="F1" s="852"/>
      <c r="G1" s="852"/>
      <c r="H1" s="852"/>
      <c r="I1" s="852"/>
      <c r="J1" s="852"/>
      <c r="K1" s="852"/>
      <c r="L1" s="852"/>
    </row>
    <row r="2" spans="1:20" ht="18" customHeight="1">
      <c r="A2" s="853" t="str">
        <f>+'8a-ADIT Projection'!A2:I2</f>
        <v>GridLiance Heartland LLC</v>
      </c>
      <c r="B2" s="853"/>
      <c r="C2" s="853"/>
      <c r="D2" s="853"/>
      <c r="E2" s="853"/>
      <c r="F2" s="853"/>
      <c r="G2" s="853"/>
      <c r="H2" s="853"/>
      <c r="I2" s="853"/>
      <c r="J2" s="853"/>
      <c r="K2" s="853"/>
      <c r="L2" s="853"/>
    </row>
    <row r="3" spans="1:20" ht="18" customHeight="1">
      <c r="A3" s="852" t="str">
        <f>"Projection "&amp;'Attachment O'!$K$3</f>
        <v>Projection For the 12 months ended 12/31/2022</v>
      </c>
      <c r="B3" s="852"/>
      <c r="C3" s="852"/>
      <c r="D3" s="852"/>
      <c r="E3" s="852"/>
      <c r="F3" s="852"/>
      <c r="G3" s="852"/>
      <c r="H3" s="854"/>
      <c r="I3" s="852"/>
      <c r="J3" s="852"/>
      <c r="K3" s="852"/>
      <c r="L3" s="852"/>
    </row>
    <row r="4" spans="1:20" ht="18">
      <c r="I4" s="444"/>
      <c r="J4" s="444"/>
    </row>
    <row r="5" spans="1:20">
      <c r="D5" s="440"/>
      <c r="E5" s="440"/>
      <c r="F5" s="440"/>
      <c r="G5" s="440"/>
      <c r="H5" s="440"/>
      <c r="J5" s="439"/>
      <c r="T5" s="443"/>
    </row>
    <row r="6" spans="1:20">
      <c r="B6" s="442" t="s">
        <v>329</v>
      </c>
      <c r="C6" s="442" t="s">
        <v>330</v>
      </c>
      <c r="D6" s="442" t="s">
        <v>331</v>
      </c>
      <c r="E6" s="442" t="s">
        <v>332</v>
      </c>
      <c r="F6" s="442" t="s">
        <v>653</v>
      </c>
      <c r="G6" s="442" t="s">
        <v>654</v>
      </c>
      <c r="H6" s="442" t="s">
        <v>655</v>
      </c>
      <c r="I6" s="443" t="s">
        <v>656</v>
      </c>
      <c r="J6" s="443" t="s">
        <v>657</v>
      </c>
      <c r="K6" s="443" t="s">
        <v>658</v>
      </c>
      <c r="L6" s="443" t="s">
        <v>659</v>
      </c>
    </row>
    <row r="7" spans="1:20" ht="47.25">
      <c r="A7" s="457"/>
      <c r="B7" s="458" t="s">
        <v>877</v>
      </c>
      <c r="C7" s="458" t="s">
        <v>645</v>
      </c>
      <c r="D7" s="458" t="s">
        <v>598</v>
      </c>
      <c r="E7" s="458" t="s">
        <v>894</v>
      </c>
      <c r="F7" s="458" t="s">
        <v>895</v>
      </c>
      <c r="G7" s="458" t="s">
        <v>75</v>
      </c>
      <c r="H7" s="458" t="s">
        <v>896</v>
      </c>
      <c r="I7" s="458" t="s">
        <v>860</v>
      </c>
      <c r="J7" s="458" t="s">
        <v>897</v>
      </c>
      <c r="K7" s="458" t="s">
        <v>861</v>
      </c>
      <c r="L7" s="458" t="s">
        <v>898</v>
      </c>
      <c r="T7" s="443"/>
    </row>
    <row r="8" spans="1:20">
      <c r="A8" s="439" t="s">
        <v>967</v>
      </c>
      <c r="D8" s="442"/>
      <c r="E8" s="442"/>
      <c r="F8" s="442"/>
      <c r="G8" s="442"/>
      <c r="L8" s="450"/>
      <c r="T8" s="443"/>
    </row>
    <row r="9" spans="1:20" ht="20.25" customHeight="1">
      <c r="A9" s="449">
        <v>1</v>
      </c>
      <c r="B9" s="459" t="s">
        <v>899</v>
      </c>
      <c r="C9" s="439" t="s">
        <v>752</v>
      </c>
      <c r="D9" s="460">
        <v>2021</v>
      </c>
      <c r="E9" s="468">
        <f>365/365</f>
        <v>1</v>
      </c>
      <c r="F9" s="451">
        <f>'8c- ADIT BOY'!C54</f>
        <v>-127026.21469340209</v>
      </c>
      <c r="G9" s="451">
        <f>'8c- ADIT BOY'!E54</f>
        <v>-127026.21469340209</v>
      </c>
      <c r="H9" s="463">
        <f t="shared" ref="H9:H21" si="0">E9*G9</f>
        <v>-127026.21469340209</v>
      </c>
      <c r="I9" s="461">
        <f>'8c- ADIT BOY'!F54</f>
        <v>0</v>
      </c>
      <c r="J9" s="464">
        <f t="shared" ref="J9:J21" si="1">I9*E9</f>
        <v>0</v>
      </c>
      <c r="K9" s="461">
        <f>'8c- ADIT BOY'!G54</f>
        <v>0</v>
      </c>
      <c r="L9" s="464">
        <f t="shared" ref="L9:L21" si="2">E9*K9</f>
        <v>0</v>
      </c>
    </row>
    <row r="10" spans="1:20" ht="20.25" customHeight="1">
      <c r="A10" s="449">
        <f t="shared" ref="A10:A22" si="3">+A9+1</f>
        <v>2</v>
      </c>
      <c r="B10" s="459" t="s">
        <v>900</v>
      </c>
      <c r="C10" s="439" t="s">
        <v>677</v>
      </c>
      <c r="D10" s="460">
        <v>2022</v>
      </c>
      <c r="E10" s="468">
        <f>335/365</f>
        <v>0.9178082191780822</v>
      </c>
      <c r="F10" s="469">
        <v>-32685.84086107387</v>
      </c>
      <c r="G10" s="469">
        <f>F10</f>
        <v>-32685.84086107387</v>
      </c>
      <c r="H10" s="463">
        <f t="shared" si="0"/>
        <v>-29999.333393040401</v>
      </c>
      <c r="I10" s="470">
        <v>0</v>
      </c>
      <c r="J10" s="464">
        <f t="shared" si="1"/>
        <v>0</v>
      </c>
      <c r="K10" s="470">
        <v>0</v>
      </c>
      <c r="L10" s="464">
        <f t="shared" si="2"/>
        <v>0</v>
      </c>
    </row>
    <row r="11" spans="1:20" ht="20.25" customHeight="1">
      <c r="A11" s="449">
        <f t="shared" si="3"/>
        <v>3</v>
      </c>
      <c r="B11" s="459" t="s">
        <v>900</v>
      </c>
      <c r="C11" s="439" t="s">
        <v>678</v>
      </c>
      <c r="D11" s="460">
        <f>$D$10</f>
        <v>2022</v>
      </c>
      <c r="E11" s="468">
        <f>307/365</f>
        <v>0.84109589041095889</v>
      </c>
      <c r="F11" s="469">
        <f>F$10</f>
        <v>-32685.84086107387</v>
      </c>
      <c r="G11" s="469">
        <f t="shared" ref="G11:G21" si="4">F11</f>
        <v>-32685.84086107387</v>
      </c>
      <c r="H11" s="463">
        <f t="shared" si="0"/>
        <v>-27491.926422875829</v>
      </c>
      <c r="I11" s="470">
        <v>0</v>
      </c>
      <c r="J11" s="464">
        <f t="shared" si="1"/>
        <v>0</v>
      </c>
      <c r="K11" s="470">
        <v>0</v>
      </c>
      <c r="L11" s="464">
        <f t="shared" si="2"/>
        <v>0</v>
      </c>
    </row>
    <row r="12" spans="1:20" ht="20.25" customHeight="1">
      <c r="A12" s="449">
        <f t="shared" si="3"/>
        <v>4</v>
      </c>
      <c r="B12" s="459" t="s">
        <v>900</v>
      </c>
      <c r="C12" s="439" t="s">
        <v>749</v>
      </c>
      <c r="D12" s="460">
        <f t="shared" ref="D12:D21" si="5">$D$10</f>
        <v>2022</v>
      </c>
      <c r="E12" s="468">
        <f>276/365</f>
        <v>0.75616438356164384</v>
      </c>
      <c r="F12" s="469">
        <f t="shared" ref="F12:F21" si="6">F$10</f>
        <v>-32685.84086107387</v>
      </c>
      <c r="G12" s="469">
        <f t="shared" si="4"/>
        <v>-32685.84086107387</v>
      </c>
      <c r="H12" s="463">
        <f t="shared" si="0"/>
        <v>-24715.868705907913</v>
      </c>
      <c r="I12" s="470">
        <v>0</v>
      </c>
      <c r="J12" s="464">
        <f t="shared" si="1"/>
        <v>0</v>
      </c>
      <c r="K12" s="470">
        <v>0</v>
      </c>
      <c r="L12" s="464">
        <f t="shared" si="2"/>
        <v>0</v>
      </c>
    </row>
    <row r="13" spans="1:20" ht="20.25" customHeight="1">
      <c r="A13" s="449">
        <f t="shared" si="3"/>
        <v>5</v>
      </c>
      <c r="B13" s="459" t="s">
        <v>900</v>
      </c>
      <c r="C13" s="439" t="s">
        <v>680</v>
      </c>
      <c r="D13" s="460">
        <f t="shared" si="5"/>
        <v>2022</v>
      </c>
      <c r="E13" s="468">
        <f>246/365</f>
        <v>0.67397260273972603</v>
      </c>
      <c r="F13" s="469">
        <f t="shared" si="6"/>
        <v>-32685.84086107387</v>
      </c>
      <c r="G13" s="469">
        <f t="shared" si="4"/>
        <v>-32685.84086107387</v>
      </c>
      <c r="H13" s="463">
        <f t="shared" si="0"/>
        <v>-22029.361237874444</v>
      </c>
      <c r="I13" s="470">
        <v>0</v>
      </c>
      <c r="J13" s="464">
        <f t="shared" si="1"/>
        <v>0</v>
      </c>
      <c r="K13" s="470">
        <v>0</v>
      </c>
      <c r="L13" s="464">
        <f t="shared" si="2"/>
        <v>0</v>
      </c>
    </row>
    <row r="14" spans="1:20" ht="20.25" customHeight="1">
      <c r="A14" s="449">
        <f t="shared" si="3"/>
        <v>6</v>
      </c>
      <c r="B14" s="459" t="s">
        <v>900</v>
      </c>
      <c r="C14" s="439" t="s">
        <v>681</v>
      </c>
      <c r="D14" s="460">
        <f t="shared" si="5"/>
        <v>2022</v>
      </c>
      <c r="E14" s="468">
        <f>215/365</f>
        <v>0.58904109589041098</v>
      </c>
      <c r="F14" s="469">
        <f t="shared" si="6"/>
        <v>-32685.84086107387</v>
      </c>
      <c r="G14" s="469">
        <f t="shared" si="4"/>
        <v>-32685.84086107387</v>
      </c>
      <c r="H14" s="463">
        <f t="shared" si="0"/>
        <v>-19253.303520906527</v>
      </c>
      <c r="I14" s="470">
        <v>0</v>
      </c>
      <c r="J14" s="464">
        <f t="shared" si="1"/>
        <v>0</v>
      </c>
      <c r="K14" s="470">
        <v>0</v>
      </c>
      <c r="L14" s="464">
        <f t="shared" si="2"/>
        <v>0</v>
      </c>
    </row>
    <row r="15" spans="1:20" ht="20.25" customHeight="1">
      <c r="A15" s="449">
        <f t="shared" si="3"/>
        <v>7</v>
      </c>
      <c r="B15" s="459" t="s">
        <v>900</v>
      </c>
      <c r="C15" s="439" t="s">
        <v>682</v>
      </c>
      <c r="D15" s="460">
        <f t="shared" si="5"/>
        <v>2022</v>
      </c>
      <c r="E15" s="468">
        <f>185/365</f>
        <v>0.50684931506849318</v>
      </c>
      <c r="F15" s="469">
        <f t="shared" si="6"/>
        <v>-32685.84086107387</v>
      </c>
      <c r="G15" s="469">
        <f t="shared" si="4"/>
        <v>-32685.84086107387</v>
      </c>
      <c r="H15" s="463">
        <f t="shared" si="0"/>
        <v>-16566.796052873058</v>
      </c>
      <c r="I15" s="470">
        <v>0</v>
      </c>
      <c r="J15" s="464">
        <f t="shared" si="1"/>
        <v>0</v>
      </c>
      <c r="K15" s="470">
        <v>0</v>
      </c>
      <c r="L15" s="464">
        <f t="shared" si="2"/>
        <v>0</v>
      </c>
    </row>
    <row r="16" spans="1:20" ht="20.25" customHeight="1">
      <c r="A16" s="449">
        <f t="shared" si="3"/>
        <v>8</v>
      </c>
      <c r="B16" s="459" t="s">
        <v>900</v>
      </c>
      <c r="C16" s="439" t="s">
        <v>683</v>
      </c>
      <c r="D16" s="460">
        <f t="shared" si="5"/>
        <v>2022</v>
      </c>
      <c r="E16" s="468">
        <f>154/365</f>
        <v>0.42191780821917807</v>
      </c>
      <c r="F16" s="469">
        <f t="shared" si="6"/>
        <v>-32685.84086107387</v>
      </c>
      <c r="G16" s="469">
        <f t="shared" si="4"/>
        <v>-32685.84086107387</v>
      </c>
      <c r="H16" s="463">
        <f t="shared" si="0"/>
        <v>-13790.73833590514</v>
      </c>
      <c r="I16" s="470">
        <v>0</v>
      </c>
      <c r="J16" s="464">
        <f t="shared" si="1"/>
        <v>0</v>
      </c>
      <c r="K16" s="470">
        <v>0</v>
      </c>
      <c r="L16" s="464">
        <f t="shared" si="2"/>
        <v>0</v>
      </c>
    </row>
    <row r="17" spans="1:20" ht="20.25" customHeight="1">
      <c r="A17" s="449">
        <f t="shared" si="3"/>
        <v>9</v>
      </c>
      <c r="B17" s="459" t="s">
        <v>900</v>
      </c>
      <c r="C17" s="439" t="s">
        <v>751</v>
      </c>
      <c r="D17" s="460">
        <f t="shared" si="5"/>
        <v>2022</v>
      </c>
      <c r="E17" s="468">
        <f>123/365</f>
        <v>0.33698630136986302</v>
      </c>
      <c r="F17" s="469">
        <f t="shared" si="6"/>
        <v>-32685.84086107387</v>
      </c>
      <c r="G17" s="469">
        <f t="shared" si="4"/>
        <v>-32685.84086107387</v>
      </c>
      <c r="H17" s="463">
        <f t="shared" si="0"/>
        <v>-11014.680618937222</v>
      </c>
      <c r="I17" s="470">
        <v>0</v>
      </c>
      <c r="J17" s="464">
        <f t="shared" si="1"/>
        <v>0</v>
      </c>
      <c r="K17" s="470">
        <v>0</v>
      </c>
      <c r="L17" s="464">
        <f t="shared" si="2"/>
        <v>0</v>
      </c>
    </row>
    <row r="18" spans="1:20" ht="20.25" customHeight="1">
      <c r="A18" s="449">
        <f t="shared" si="3"/>
        <v>10</v>
      </c>
      <c r="B18" s="459" t="s">
        <v>900</v>
      </c>
      <c r="C18" s="439" t="s">
        <v>685</v>
      </c>
      <c r="D18" s="460">
        <f t="shared" si="5"/>
        <v>2022</v>
      </c>
      <c r="E18" s="468">
        <f>93/365</f>
        <v>0.25479452054794521</v>
      </c>
      <c r="F18" s="469">
        <f t="shared" si="6"/>
        <v>-32685.84086107387</v>
      </c>
      <c r="G18" s="469">
        <f t="shared" si="4"/>
        <v>-32685.84086107387</v>
      </c>
      <c r="H18" s="463">
        <f t="shared" si="0"/>
        <v>-8328.1731509037527</v>
      </c>
      <c r="I18" s="470">
        <v>0</v>
      </c>
      <c r="J18" s="464">
        <f t="shared" si="1"/>
        <v>0</v>
      </c>
      <c r="K18" s="470">
        <v>0</v>
      </c>
      <c r="L18" s="464">
        <f t="shared" si="2"/>
        <v>0</v>
      </c>
    </row>
    <row r="19" spans="1:20" ht="20.25" customHeight="1">
      <c r="A19" s="449">
        <f t="shared" si="3"/>
        <v>11</v>
      </c>
      <c r="B19" s="459" t="s">
        <v>900</v>
      </c>
      <c r="C19" s="439" t="s">
        <v>686</v>
      </c>
      <c r="D19" s="460">
        <f t="shared" si="5"/>
        <v>2022</v>
      </c>
      <c r="E19" s="468">
        <f>62/365</f>
        <v>0.16986301369863013</v>
      </c>
      <c r="F19" s="469">
        <f t="shared" si="6"/>
        <v>-32685.84086107387</v>
      </c>
      <c r="G19" s="469">
        <f t="shared" si="4"/>
        <v>-32685.84086107387</v>
      </c>
      <c r="H19" s="463">
        <f t="shared" si="0"/>
        <v>-5552.1154339358354</v>
      </c>
      <c r="I19" s="470">
        <v>0</v>
      </c>
      <c r="J19" s="464">
        <f t="shared" si="1"/>
        <v>0</v>
      </c>
      <c r="K19" s="470">
        <v>0</v>
      </c>
      <c r="L19" s="464">
        <f t="shared" si="2"/>
        <v>0</v>
      </c>
    </row>
    <row r="20" spans="1:20" ht="20.25" customHeight="1">
      <c r="A20" s="449">
        <f t="shared" si="3"/>
        <v>12</v>
      </c>
      <c r="B20" s="459" t="s">
        <v>900</v>
      </c>
      <c r="C20" s="439" t="s">
        <v>687</v>
      </c>
      <c r="D20" s="460">
        <f t="shared" si="5"/>
        <v>2022</v>
      </c>
      <c r="E20" s="468">
        <f>32/365</f>
        <v>8.7671232876712329E-2</v>
      </c>
      <c r="F20" s="469">
        <f t="shared" si="6"/>
        <v>-32685.84086107387</v>
      </c>
      <c r="G20" s="469">
        <f t="shared" si="4"/>
        <v>-32685.84086107387</v>
      </c>
      <c r="H20" s="463">
        <f t="shared" si="0"/>
        <v>-2865.6079659023667</v>
      </c>
      <c r="I20" s="470">
        <v>0</v>
      </c>
      <c r="J20" s="464">
        <f t="shared" si="1"/>
        <v>0</v>
      </c>
      <c r="K20" s="470">
        <v>0</v>
      </c>
      <c r="L20" s="464">
        <f t="shared" si="2"/>
        <v>0</v>
      </c>
    </row>
    <row r="21" spans="1:20" ht="20.25" customHeight="1">
      <c r="A21" s="449">
        <f t="shared" si="3"/>
        <v>13</v>
      </c>
      <c r="B21" s="459" t="s">
        <v>900</v>
      </c>
      <c r="C21" s="439" t="s">
        <v>752</v>
      </c>
      <c r="D21" s="460">
        <f t="shared" si="5"/>
        <v>2022</v>
      </c>
      <c r="E21" s="468">
        <f>1/365</f>
        <v>2.7397260273972603E-3</v>
      </c>
      <c r="F21" s="469">
        <f t="shared" si="6"/>
        <v>-32685.84086107387</v>
      </c>
      <c r="G21" s="469">
        <f t="shared" si="4"/>
        <v>-32685.84086107387</v>
      </c>
      <c r="H21" s="463">
        <f t="shared" si="0"/>
        <v>-89.550248934448959</v>
      </c>
      <c r="I21" s="470">
        <v>0</v>
      </c>
      <c r="J21" s="464">
        <f t="shared" si="1"/>
        <v>0</v>
      </c>
      <c r="K21" s="470">
        <v>0</v>
      </c>
      <c r="L21" s="464">
        <f t="shared" si="2"/>
        <v>0</v>
      </c>
    </row>
    <row r="22" spans="1:20" ht="20.25" customHeight="1">
      <c r="A22" s="449">
        <f t="shared" si="3"/>
        <v>14</v>
      </c>
      <c r="B22" s="459" t="s">
        <v>901</v>
      </c>
      <c r="F22" s="463">
        <f t="shared" ref="F22:L22" si="7">SUM(F9:F21)</f>
        <v>-519256.30502628855</v>
      </c>
      <c r="G22" s="463">
        <f t="shared" si="7"/>
        <v>-519256.30502628855</v>
      </c>
      <c r="H22" s="463">
        <f t="shared" si="7"/>
        <v>-308723.66978139908</v>
      </c>
      <c r="I22" s="464">
        <f t="shared" si="7"/>
        <v>0</v>
      </c>
      <c r="J22" s="464">
        <f t="shared" si="7"/>
        <v>0</v>
      </c>
      <c r="K22" s="464">
        <f t="shared" si="7"/>
        <v>0</v>
      </c>
      <c r="L22" s="464">
        <f t="shared" si="7"/>
        <v>0</v>
      </c>
    </row>
    <row r="23" spans="1:20">
      <c r="A23" s="449"/>
    </row>
    <row r="24" spans="1:20">
      <c r="A24" s="439" t="s">
        <v>968</v>
      </c>
      <c r="D24" s="442"/>
      <c r="E24" s="442"/>
      <c r="F24" s="442"/>
      <c r="G24" s="442"/>
      <c r="T24" s="443"/>
    </row>
    <row r="25" spans="1:20" ht="20.25" customHeight="1">
      <c r="A25" s="449">
        <f>A22+1</f>
        <v>15</v>
      </c>
      <c r="B25" s="459" t="s">
        <v>902</v>
      </c>
      <c r="C25" s="439" t="s">
        <v>752</v>
      </c>
      <c r="D25" s="460">
        <f>$D$9</f>
        <v>2021</v>
      </c>
      <c r="E25" s="468">
        <f>365/365</f>
        <v>1</v>
      </c>
      <c r="F25" s="453">
        <f>'8c- ADIT BOY'!C77</f>
        <v>0</v>
      </c>
      <c r="G25" s="453">
        <f>'8c- ADIT BOY'!E77</f>
        <v>0</v>
      </c>
      <c r="H25" s="454">
        <f t="shared" ref="H25:H37" si="8">E25*G25</f>
        <v>0</v>
      </c>
      <c r="I25" s="461">
        <f>'8c- ADIT BOY'!F77</f>
        <v>0</v>
      </c>
      <c r="J25" s="464">
        <f t="shared" ref="J25:J37" si="9">I25*E25</f>
        <v>0</v>
      </c>
      <c r="K25" s="461">
        <f>'8c- ADIT BOY'!G77</f>
        <v>0</v>
      </c>
      <c r="L25" s="464">
        <f t="shared" ref="L25:L37" si="10">E25*K25</f>
        <v>0</v>
      </c>
    </row>
    <row r="26" spans="1:20" ht="20.25" customHeight="1">
      <c r="A26" s="449">
        <f t="shared" ref="A26:A38" si="11">+A25+1</f>
        <v>16</v>
      </c>
      <c r="B26" s="459" t="s">
        <v>900</v>
      </c>
      <c r="C26" s="439" t="s">
        <v>677</v>
      </c>
      <c r="D26" s="460">
        <f>$D$10</f>
        <v>2022</v>
      </c>
      <c r="E26" s="468">
        <f>335/365</f>
        <v>0.9178082191780822</v>
      </c>
      <c r="F26" s="469">
        <v>0</v>
      </c>
      <c r="G26" s="469">
        <v>0</v>
      </c>
      <c r="H26" s="454">
        <f t="shared" si="8"/>
        <v>0</v>
      </c>
      <c r="I26" s="470">
        <v>0</v>
      </c>
      <c r="J26" s="464">
        <f t="shared" si="9"/>
        <v>0</v>
      </c>
      <c r="K26" s="470">
        <v>0</v>
      </c>
      <c r="L26" s="464">
        <f t="shared" si="10"/>
        <v>0</v>
      </c>
    </row>
    <row r="27" spans="1:20" ht="20.25" customHeight="1">
      <c r="A27" s="449">
        <f t="shared" si="11"/>
        <v>17</v>
      </c>
      <c r="B27" s="459" t="s">
        <v>900</v>
      </c>
      <c r="C27" s="439" t="s">
        <v>678</v>
      </c>
      <c r="D27" s="460">
        <f t="shared" ref="D27:D37" si="12">$D$10</f>
        <v>2022</v>
      </c>
      <c r="E27" s="468">
        <f>307/365</f>
        <v>0.84109589041095889</v>
      </c>
      <c r="F27" s="469">
        <v>0</v>
      </c>
      <c r="G27" s="469">
        <v>0</v>
      </c>
      <c r="H27" s="454">
        <f t="shared" si="8"/>
        <v>0</v>
      </c>
      <c r="I27" s="470">
        <v>0</v>
      </c>
      <c r="J27" s="464">
        <f t="shared" si="9"/>
        <v>0</v>
      </c>
      <c r="K27" s="470">
        <v>0</v>
      </c>
      <c r="L27" s="464">
        <f t="shared" si="10"/>
        <v>0</v>
      </c>
    </row>
    <row r="28" spans="1:20" ht="20.25" customHeight="1">
      <c r="A28" s="449">
        <f t="shared" si="11"/>
        <v>18</v>
      </c>
      <c r="B28" s="459" t="s">
        <v>900</v>
      </c>
      <c r="C28" s="439" t="s">
        <v>749</v>
      </c>
      <c r="D28" s="460">
        <f t="shared" si="12"/>
        <v>2022</v>
      </c>
      <c r="E28" s="468">
        <f>276/365</f>
        <v>0.75616438356164384</v>
      </c>
      <c r="F28" s="469">
        <v>0</v>
      </c>
      <c r="G28" s="469">
        <v>0</v>
      </c>
      <c r="H28" s="454">
        <f t="shared" si="8"/>
        <v>0</v>
      </c>
      <c r="I28" s="470">
        <v>0</v>
      </c>
      <c r="J28" s="464">
        <f t="shared" si="9"/>
        <v>0</v>
      </c>
      <c r="K28" s="470">
        <v>0</v>
      </c>
      <c r="L28" s="464">
        <f t="shared" si="10"/>
        <v>0</v>
      </c>
    </row>
    <row r="29" spans="1:20" ht="20.25" customHeight="1">
      <c r="A29" s="449">
        <f t="shared" si="11"/>
        <v>19</v>
      </c>
      <c r="B29" s="459" t="s">
        <v>900</v>
      </c>
      <c r="C29" s="439" t="s">
        <v>680</v>
      </c>
      <c r="D29" s="460">
        <f t="shared" si="12"/>
        <v>2022</v>
      </c>
      <c r="E29" s="468">
        <f>246/365</f>
        <v>0.67397260273972603</v>
      </c>
      <c r="F29" s="469">
        <v>0</v>
      </c>
      <c r="G29" s="469">
        <v>0</v>
      </c>
      <c r="H29" s="454">
        <f t="shared" si="8"/>
        <v>0</v>
      </c>
      <c r="I29" s="470">
        <v>0</v>
      </c>
      <c r="J29" s="464">
        <f t="shared" si="9"/>
        <v>0</v>
      </c>
      <c r="K29" s="470">
        <v>0</v>
      </c>
      <c r="L29" s="464">
        <f t="shared" si="10"/>
        <v>0</v>
      </c>
    </row>
    <row r="30" spans="1:20" ht="20.25" customHeight="1">
      <c r="A30" s="449">
        <f t="shared" si="11"/>
        <v>20</v>
      </c>
      <c r="B30" s="459" t="s">
        <v>900</v>
      </c>
      <c r="C30" s="439" t="s">
        <v>681</v>
      </c>
      <c r="D30" s="460">
        <f t="shared" si="12"/>
        <v>2022</v>
      </c>
      <c r="E30" s="468">
        <f>215/365</f>
        <v>0.58904109589041098</v>
      </c>
      <c r="F30" s="469">
        <v>0</v>
      </c>
      <c r="G30" s="469">
        <v>0</v>
      </c>
      <c r="H30" s="454">
        <f t="shared" si="8"/>
        <v>0</v>
      </c>
      <c r="I30" s="470">
        <v>0</v>
      </c>
      <c r="J30" s="464">
        <f t="shared" si="9"/>
        <v>0</v>
      </c>
      <c r="K30" s="470">
        <v>0</v>
      </c>
      <c r="L30" s="464">
        <f t="shared" si="10"/>
        <v>0</v>
      </c>
    </row>
    <row r="31" spans="1:20" ht="20.25" customHeight="1">
      <c r="A31" s="449">
        <f t="shared" si="11"/>
        <v>21</v>
      </c>
      <c r="B31" s="459" t="s">
        <v>900</v>
      </c>
      <c r="C31" s="439" t="s">
        <v>682</v>
      </c>
      <c r="D31" s="460">
        <f t="shared" si="12"/>
        <v>2022</v>
      </c>
      <c r="E31" s="468">
        <f>185/365</f>
        <v>0.50684931506849318</v>
      </c>
      <c r="F31" s="469">
        <v>0</v>
      </c>
      <c r="G31" s="469">
        <v>0</v>
      </c>
      <c r="H31" s="454">
        <f t="shared" si="8"/>
        <v>0</v>
      </c>
      <c r="I31" s="470">
        <v>0</v>
      </c>
      <c r="J31" s="464">
        <f t="shared" si="9"/>
        <v>0</v>
      </c>
      <c r="K31" s="470">
        <v>0</v>
      </c>
      <c r="L31" s="464">
        <f t="shared" si="10"/>
        <v>0</v>
      </c>
    </row>
    <row r="32" spans="1:20" ht="20.25" customHeight="1">
      <c r="A32" s="449">
        <f t="shared" si="11"/>
        <v>22</v>
      </c>
      <c r="B32" s="459" t="s">
        <v>900</v>
      </c>
      <c r="C32" s="439" t="s">
        <v>683</v>
      </c>
      <c r="D32" s="460">
        <f t="shared" si="12"/>
        <v>2022</v>
      </c>
      <c r="E32" s="468">
        <f>154/365</f>
        <v>0.42191780821917807</v>
      </c>
      <c r="F32" s="469">
        <v>0</v>
      </c>
      <c r="G32" s="469">
        <v>0</v>
      </c>
      <c r="H32" s="454">
        <f t="shared" si="8"/>
        <v>0</v>
      </c>
      <c r="I32" s="470">
        <v>0</v>
      </c>
      <c r="J32" s="464">
        <f t="shared" si="9"/>
        <v>0</v>
      </c>
      <c r="K32" s="470">
        <v>0</v>
      </c>
      <c r="L32" s="464">
        <f t="shared" si="10"/>
        <v>0</v>
      </c>
    </row>
    <row r="33" spans="1:20" ht="20.25" customHeight="1">
      <c r="A33" s="449">
        <f t="shared" si="11"/>
        <v>23</v>
      </c>
      <c r="B33" s="459" t="s">
        <v>900</v>
      </c>
      <c r="C33" s="439" t="s">
        <v>751</v>
      </c>
      <c r="D33" s="460">
        <f t="shared" si="12"/>
        <v>2022</v>
      </c>
      <c r="E33" s="468">
        <f>123/365</f>
        <v>0.33698630136986302</v>
      </c>
      <c r="F33" s="469">
        <v>0</v>
      </c>
      <c r="G33" s="469">
        <v>0</v>
      </c>
      <c r="H33" s="454">
        <f t="shared" si="8"/>
        <v>0</v>
      </c>
      <c r="I33" s="470">
        <v>0</v>
      </c>
      <c r="J33" s="464">
        <f t="shared" si="9"/>
        <v>0</v>
      </c>
      <c r="K33" s="470">
        <v>0</v>
      </c>
      <c r="L33" s="464">
        <f t="shared" si="10"/>
        <v>0</v>
      </c>
    </row>
    <row r="34" spans="1:20" ht="20.25" customHeight="1">
      <c r="A34" s="449">
        <f t="shared" si="11"/>
        <v>24</v>
      </c>
      <c r="B34" s="459" t="s">
        <v>900</v>
      </c>
      <c r="C34" s="439" t="s">
        <v>685</v>
      </c>
      <c r="D34" s="460">
        <f t="shared" si="12"/>
        <v>2022</v>
      </c>
      <c r="E34" s="468">
        <f>93/365</f>
        <v>0.25479452054794521</v>
      </c>
      <c r="F34" s="469">
        <v>0</v>
      </c>
      <c r="G34" s="469">
        <v>0</v>
      </c>
      <c r="H34" s="454">
        <f t="shared" si="8"/>
        <v>0</v>
      </c>
      <c r="I34" s="470">
        <v>0</v>
      </c>
      <c r="J34" s="464">
        <f t="shared" si="9"/>
        <v>0</v>
      </c>
      <c r="K34" s="470">
        <v>0</v>
      </c>
      <c r="L34" s="464">
        <f t="shared" si="10"/>
        <v>0</v>
      </c>
    </row>
    <row r="35" spans="1:20" ht="20.25" customHeight="1">
      <c r="A35" s="449">
        <f t="shared" si="11"/>
        <v>25</v>
      </c>
      <c r="B35" s="459" t="s">
        <v>900</v>
      </c>
      <c r="C35" s="439" t="s">
        <v>686</v>
      </c>
      <c r="D35" s="460">
        <f t="shared" si="12"/>
        <v>2022</v>
      </c>
      <c r="E35" s="468">
        <f>62/365</f>
        <v>0.16986301369863013</v>
      </c>
      <c r="F35" s="469">
        <v>0</v>
      </c>
      <c r="G35" s="469">
        <v>0</v>
      </c>
      <c r="H35" s="454">
        <f t="shared" si="8"/>
        <v>0</v>
      </c>
      <c r="I35" s="470">
        <v>0</v>
      </c>
      <c r="J35" s="464">
        <f t="shared" si="9"/>
        <v>0</v>
      </c>
      <c r="K35" s="470">
        <v>0</v>
      </c>
      <c r="L35" s="464">
        <f t="shared" si="10"/>
        <v>0</v>
      </c>
    </row>
    <row r="36" spans="1:20" ht="20.25" customHeight="1">
      <c r="A36" s="449">
        <f t="shared" si="11"/>
        <v>26</v>
      </c>
      <c r="B36" s="459" t="s">
        <v>900</v>
      </c>
      <c r="C36" s="439" t="s">
        <v>687</v>
      </c>
      <c r="D36" s="460">
        <f t="shared" si="12"/>
        <v>2022</v>
      </c>
      <c r="E36" s="468">
        <f>32/365</f>
        <v>8.7671232876712329E-2</v>
      </c>
      <c r="F36" s="469">
        <v>0</v>
      </c>
      <c r="G36" s="469">
        <v>0</v>
      </c>
      <c r="H36" s="454">
        <f t="shared" si="8"/>
        <v>0</v>
      </c>
      <c r="I36" s="470">
        <v>0</v>
      </c>
      <c r="J36" s="464">
        <f t="shared" si="9"/>
        <v>0</v>
      </c>
      <c r="K36" s="470">
        <v>0</v>
      </c>
      <c r="L36" s="464">
        <f t="shared" si="10"/>
        <v>0</v>
      </c>
    </row>
    <row r="37" spans="1:20" ht="20.25" customHeight="1">
      <c r="A37" s="449">
        <f t="shared" si="11"/>
        <v>27</v>
      </c>
      <c r="B37" s="459" t="s">
        <v>900</v>
      </c>
      <c r="C37" s="439" t="s">
        <v>752</v>
      </c>
      <c r="D37" s="460">
        <f t="shared" si="12"/>
        <v>2022</v>
      </c>
      <c r="E37" s="468">
        <f>1/365</f>
        <v>2.7397260273972603E-3</v>
      </c>
      <c r="F37" s="469">
        <v>0</v>
      </c>
      <c r="G37" s="469">
        <v>0</v>
      </c>
      <c r="H37" s="454">
        <f t="shared" si="8"/>
        <v>0</v>
      </c>
      <c r="I37" s="470">
        <v>0</v>
      </c>
      <c r="J37" s="464">
        <f t="shared" si="9"/>
        <v>0</v>
      </c>
      <c r="K37" s="470">
        <v>0</v>
      </c>
      <c r="L37" s="464">
        <f t="shared" si="10"/>
        <v>0</v>
      </c>
    </row>
    <row r="38" spans="1:20" ht="20.25" customHeight="1">
      <c r="A38" s="449">
        <f t="shared" si="11"/>
        <v>28</v>
      </c>
      <c r="B38" s="459" t="s">
        <v>903</v>
      </c>
      <c r="F38" s="454">
        <f t="shared" ref="F38:L38" si="13">SUM(F25:F37)</f>
        <v>0</v>
      </c>
      <c r="G38" s="454">
        <f t="shared" si="13"/>
        <v>0</v>
      </c>
      <c r="H38" s="454">
        <f t="shared" si="13"/>
        <v>0</v>
      </c>
      <c r="I38" s="464">
        <f t="shared" si="13"/>
        <v>0</v>
      </c>
      <c r="J38" s="464">
        <f t="shared" si="13"/>
        <v>0</v>
      </c>
      <c r="K38" s="464">
        <f t="shared" si="13"/>
        <v>0</v>
      </c>
      <c r="L38" s="464">
        <f t="shared" si="13"/>
        <v>0</v>
      </c>
    </row>
    <row r="39" spans="1:20">
      <c r="A39" s="449"/>
      <c r="F39" s="454"/>
      <c r="G39" s="454"/>
      <c r="I39" s="464"/>
      <c r="J39" s="464"/>
      <c r="K39" s="464"/>
      <c r="L39" s="464"/>
    </row>
    <row r="40" spans="1:20">
      <c r="A40" s="439" t="s">
        <v>969</v>
      </c>
      <c r="D40" s="442"/>
      <c r="E40" s="442"/>
      <c r="F40" s="442"/>
      <c r="G40" s="442"/>
      <c r="T40" s="443"/>
    </row>
    <row r="41" spans="1:20" ht="20.25" customHeight="1">
      <c r="A41" s="449">
        <f>A38+1</f>
        <v>29</v>
      </c>
      <c r="B41" s="459" t="s">
        <v>904</v>
      </c>
      <c r="C41" s="439" t="s">
        <v>752</v>
      </c>
      <c r="D41" s="460">
        <f>$D$9</f>
        <v>2021</v>
      </c>
      <c r="E41" s="468">
        <f>365/365</f>
        <v>1</v>
      </c>
      <c r="F41" s="453">
        <f>'8c- ADIT BOY'!C29</f>
        <v>0</v>
      </c>
      <c r="G41" s="453">
        <f>'8c- ADIT BOY'!E29</f>
        <v>0</v>
      </c>
      <c r="H41" s="454">
        <f t="shared" ref="H41:H53" si="14">E41*G41</f>
        <v>0</v>
      </c>
      <c r="I41" s="461">
        <f>'8c- ADIT BOY'!F29</f>
        <v>0</v>
      </c>
      <c r="J41" s="464">
        <f t="shared" ref="J41:J53" si="15">I41*E41</f>
        <v>0</v>
      </c>
      <c r="K41" s="461">
        <f>'8c- ADIT BOY'!G29</f>
        <v>0</v>
      </c>
      <c r="L41" s="464">
        <f t="shared" ref="L41:L53" si="16">E41*K41</f>
        <v>0</v>
      </c>
    </row>
    <row r="42" spans="1:20" ht="20.25" customHeight="1">
      <c r="A42" s="449">
        <f t="shared" ref="A42:A54" si="17">+A41+1</f>
        <v>30</v>
      </c>
      <c r="B42" s="459" t="s">
        <v>900</v>
      </c>
      <c r="C42" s="439" t="s">
        <v>677</v>
      </c>
      <c r="D42" s="460">
        <f>$D$10</f>
        <v>2022</v>
      </c>
      <c r="E42" s="468">
        <f>335/365</f>
        <v>0.9178082191780822</v>
      </c>
      <c r="F42" s="469">
        <v>0</v>
      </c>
      <c r="G42" s="469">
        <v>0</v>
      </c>
      <c r="H42" s="454">
        <f t="shared" si="14"/>
        <v>0</v>
      </c>
      <c r="I42" s="470">
        <v>0</v>
      </c>
      <c r="J42" s="464">
        <f t="shared" si="15"/>
        <v>0</v>
      </c>
      <c r="K42" s="470">
        <v>0</v>
      </c>
      <c r="L42" s="464">
        <f t="shared" si="16"/>
        <v>0</v>
      </c>
    </row>
    <row r="43" spans="1:20" ht="20.25" customHeight="1">
      <c r="A43" s="449">
        <f t="shared" si="17"/>
        <v>31</v>
      </c>
      <c r="B43" s="459" t="s">
        <v>900</v>
      </c>
      <c r="C43" s="439" t="s">
        <v>678</v>
      </c>
      <c r="D43" s="460">
        <f t="shared" ref="D43:D53" si="18">$D$10</f>
        <v>2022</v>
      </c>
      <c r="E43" s="468">
        <f>307/365</f>
        <v>0.84109589041095889</v>
      </c>
      <c r="F43" s="469">
        <v>0</v>
      </c>
      <c r="G43" s="469">
        <v>0</v>
      </c>
      <c r="H43" s="454">
        <f t="shared" si="14"/>
        <v>0</v>
      </c>
      <c r="I43" s="470">
        <v>0</v>
      </c>
      <c r="J43" s="464">
        <f t="shared" si="15"/>
        <v>0</v>
      </c>
      <c r="K43" s="470">
        <v>0</v>
      </c>
      <c r="L43" s="464">
        <f t="shared" si="16"/>
        <v>0</v>
      </c>
    </row>
    <row r="44" spans="1:20" ht="20.25" customHeight="1">
      <c r="A44" s="449">
        <f t="shared" si="17"/>
        <v>32</v>
      </c>
      <c r="B44" s="459" t="s">
        <v>900</v>
      </c>
      <c r="C44" s="439" t="s">
        <v>749</v>
      </c>
      <c r="D44" s="460">
        <f t="shared" si="18"/>
        <v>2022</v>
      </c>
      <c r="E44" s="468">
        <f>276/365</f>
        <v>0.75616438356164384</v>
      </c>
      <c r="F44" s="469">
        <v>0</v>
      </c>
      <c r="G44" s="469">
        <v>0</v>
      </c>
      <c r="H44" s="454">
        <f t="shared" si="14"/>
        <v>0</v>
      </c>
      <c r="I44" s="470">
        <v>0</v>
      </c>
      <c r="J44" s="464">
        <f t="shared" si="15"/>
        <v>0</v>
      </c>
      <c r="K44" s="470">
        <v>0</v>
      </c>
      <c r="L44" s="464">
        <f t="shared" si="16"/>
        <v>0</v>
      </c>
    </row>
    <row r="45" spans="1:20" ht="20.25" customHeight="1">
      <c r="A45" s="449">
        <f t="shared" si="17"/>
        <v>33</v>
      </c>
      <c r="B45" s="459" t="s">
        <v>900</v>
      </c>
      <c r="C45" s="439" t="s">
        <v>680</v>
      </c>
      <c r="D45" s="460">
        <f t="shared" si="18"/>
        <v>2022</v>
      </c>
      <c r="E45" s="468">
        <f>246/365</f>
        <v>0.67397260273972603</v>
      </c>
      <c r="F45" s="469">
        <v>0</v>
      </c>
      <c r="G45" s="469">
        <v>0</v>
      </c>
      <c r="H45" s="454">
        <f t="shared" si="14"/>
        <v>0</v>
      </c>
      <c r="I45" s="470">
        <v>0</v>
      </c>
      <c r="J45" s="464">
        <f t="shared" si="15"/>
        <v>0</v>
      </c>
      <c r="K45" s="470">
        <v>0</v>
      </c>
      <c r="L45" s="464">
        <f t="shared" si="16"/>
        <v>0</v>
      </c>
    </row>
    <row r="46" spans="1:20" ht="20.25" customHeight="1">
      <c r="A46" s="449">
        <f t="shared" si="17"/>
        <v>34</v>
      </c>
      <c r="B46" s="459" t="s">
        <v>900</v>
      </c>
      <c r="C46" s="439" t="s">
        <v>681</v>
      </c>
      <c r="D46" s="460">
        <f t="shared" si="18"/>
        <v>2022</v>
      </c>
      <c r="E46" s="468">
        <f>215/365</f>
        <v>0.58904109589041098</v>
      </c>
      <c r="F46" s="469">
        <v>0</v>
      </c>
      <c r="G46" s="469">
        <v>0</v>
      </c>
      <c r="H46" s="454">
        <f t="shared" si="14"/>
        <v>0</v>
      </c>
      <c r="I46" s="470">
        <v>0</v>
      </c>
      <c r="J46" s="464">
        <f t="shared" si="15"/>
        <v>0</v>
      </c>
      <c r="K46" s="470">
        <v>0</v>
      </c>
      <c r="L46" s="464">
        <f t="shared" si="16"/>
        <v>0</v>
      </c>
    </row>
    <row r="47" spans="1:20" ht="20.25" customHeight="1">
      <c r="A47" s="449">
        <f t="shared" si="17"/>
        <v>35</v>
      </c>
      <c r="B47" s="459" t="s">
        <v>900</v>
      </c>
      <c r="C47" s="439" t="s">
        <v>682</v>
      </c>
      <c r="D47" s="460">
        <f t="shared" si="18"/>
        <v>2022</v>
      </c>
      <c r="E47" s="468">
        <f>185/365</f>
        <v>0.50684931506849318</v>
      </c>
      <c r="F47" s="469">
        <v>0</v>
      </c>
      <c r="G47" s="469">
        <v>0</v>
      </c>
      <c r="H47" s="454">
        <f t="shared" si="14"/>
        <v>0</v>
      </c>
      <c r="I47" s="470">
        <v>0</v>
      </c>
      <c r="J47" s="464">
        <f t="shared" si="15"/>
        <v>0</v>
      </c>
      <c r="K47" s="470">
        <v>0</v>
      </c>
      <c r="L47" s="464">
        <f t="shared" si="16"/>
        <v>0</v>
      </c>
    </row>
    <row r="48" spans="1:20" ht="20.25" customHeight="1">
      <c r="A48" s="449">
        <f t="shared" si="17"/>
        <v>36</v>
      </c>
      <c r="B48" s="459" t="s">
        <v>900</v>
      </c>
      <c r="C48" s="439" t="s">
        <v>683</v>
      </c>
      <c r="D48" s="460">
        <f t="shared" si="18"/>
        <v>2022</v>
      </c>
      <c r="E48" s="468">
        <f>154/365</f>
        <v>0.42191780821917807</v>
      </c>
      <c r="F48" s="469">
        <v>0</v>
      </c>
      <c r="G48" s="469">
        <v>0</v>
      </c>
      <c r="H48" s="454">
        <f t="shared" si="14"/>
        <v>0</v>
      </c>
      <c r="I48" s="470">
        <v>0</v>
      </c>
      <c r="J48" s="464">
        <f t="shared" si="15"/>
        <v>0</v>
      </c>
      <c r="K48" s="470">
        <v>0</v>
      </c>
      <c r="L48" s="464">
        <f t="shared" si="16"/>
        <v>0</v>
      </c>
    </row>
    <row r="49" spans="1:12" ht="20.25" customHeight="1">
      <c r="A49" s="449">
        <f t="shared" si="17"/>
        <v>37</v>
      </c>
      <c r="B49" s="459" t="s">
        <v>900</v>
      </c>
      <c r="C49" s="439" t="s">
        <v>751</v>
      </c>
      <c r="D49" s="460">
        <f t="shared" si="18"/>
        <v>2022</v>
      </c>
      <c r="E49" s="468">
        <f>123/365</f>
        <v>0.33698630136986302</v>
      </c>
      <c r="F49" s="469">
        <v>0</v>
      </c>
      <c r="G49" s="469">
        <v>0</v>
      </c>
      <c r="H49" s="454">
        <f t="shared" si="14"/>
        <v>0</v>
      </c>
      <c r="I49" s="470">
        <v>0</v>
      </c>
      <c r="J49" s="464">
        <f t="shared" si="15"/>
        <v>0</v>
      </c>
      <c r="K49" s="470">
        <v>0</v>
      </c>
      <c r="L49" s="464">
        <f t="shared" si="16"/>
        <v>0</v>
      </c>
    </row>
    <row r="50" spans="1:12" ht="20.25" customHeight="1">
      <c r="A50" s="449">
        <f t="shared" si="17"/>
        <v>38</v>
      </c>
      <c r="B50" s="459" t="s">
        <v>900</v>
      </c>
      <c r="C50" s="439" t="s">
        <v>685</v>
      </c>
      <c r="D50" s="460">
        <f t="shared" si="18"/>
        <v>2022</v>
      </c>
      <c r="E50" s="468">
        <f>93/365</f>
        <v>0.25479452054794521</v>
      </c>
      <c r="F50" s="469">
        <v>0</v>
      </c>
      <c r="G50" s="469">
        <v>0</v>
      </c>
      <c r="H50" s="454">
        <f t="shared" si="14"/>
        <v>0</v>
      </c>
      <c r="I50" s="470">
        <v>0</v>
      </c>
      <c r="J50" s="464">
        <f t="shared" si="15"/>
        <v>0</v>
      </c>
      <c r="K50" s="470">
        <v>0</v>
      </c>
      <c r="L50" s="464">
        <f t="shared" si="16"/>
        <v>0</v>
      </c>
    </row>
    <row r="51" spans="1:12" ht="20.25" customHeight="1">
      <c r="A51" s="449">
        <f t="shared" si="17"/>
        <v>39</v>
      </c>
      <c r="B51" s="459" t="s">
        <v>900</v>
      </c>
      <c r="C51" s="439" t="s">
        <v>686</v>
      </c>
      <c r="D51" s="460">
        <f t="shared" si="18"/>
        <v>2022</v>
      </c>
      <c r="E51" s="468">
        <f>62/365</f>
        <v>0.16986301369863013</v>
      </c>
      <c r="F51" s="469">
        <v>0</v>
      </c>
      <c r="G51" s="469">
        <v>0</v>
      </c>
      <c r="H51" s="454">
        <f t="shared" si="14"/>
        <v>0</v>
      </c>
      <c r="I51" s="470">
        <v>0</v>
      </c>
      <c r="J51" s="464">
        <f t="shared" si="15"/>
        <v>0</v>
      </c>
      <c r="K51" s="470">
        <v>0</v>
      </c>
      <c r="L51" s="464">
        <f t="shared" si="16"/>
        <v>0</v>
      </c>
    </row>
    <row r="52" spans="1:12" ht="20.25" customHeight="1">
      <c r="A52" s="449">
        <f t="shared" si="17"/>
        <v>40</v>
      </c>
      <c r="B52" s="459" t="s">
        <v>900</v>
      </c>
      <c r="C52" s="439" t="s">
        <v>687</v>
      </c>
      <c r="D52" s="460">
        <f t="shared" si="18"/>
        <v>2022</v>
      </c>
      <c r="E52" s="468">
        <f>32/365</f>
        <v>8.7671232876712329E-2</v>
      </c>
      <c r="F52" s="469">
        <v>0</v>
      </c>
      <c r="G52" s="469">
        <v>0</v>
      </c>
      <c r="H52" s="454">
        <f t="shared" si="14"/>
        <v>0</v>
      </c>
      <c r="I52" s="470">
        <v>0</v>
      </c>
      <c r="J52" s="464">
        <f t="shared" si="15"/>
        <v>0</v>
      </c>
      <c r="K52" s="470">
        <v>0</v>
      </c>
      <c r="L52" s="464">
        <f t="shared" si="16"/>
        <v>0</v>
      </c>
    </row>
    <row r="53" spans="1:12" ht="20.25" customHeight="1">
      <c r="A53" s="449">
        <f t="shared" si="17"/>
        <v>41</v>
      </c>
      <c r="B53" s="459" t="s">
        <v>900</v>
      </c>
      <c r="C53" s="439" t="s">
        <v>752</v>
      </c>
      <c r="D53" s="460">
        <f t="shared" si="18"/>
        <v>2022</v>
      </c>
      <c r="E53" s="468">
        <f>1/365</f>
        <v>2.7397260273972603E-3</v>
      </c>
      <c r="F53" s="469">
        <v>0</v>
      </c>
      <c r="G53" s="469">
        <v>0</v>
      </c>
      <c r="H53" s="454">
        <f t="shared" si="14"/>
        <v>0</v>
      </c>
      <c r="I53" s="470">
        <v>0</v>
      </c>
      <c r="J53" s="464">
        <f t="shared" si="15"/>
        <v>0</v>
      </c>
      <c r="K53" s="470">
        <v>0</v>
      </c>
      <c r="L53" s="464">
        <f t="shared" si="16"/>
        <v>0</v>
      </c>
    </row>
    <row r="54" spans="1:12" ht="20.25" customHeight="1">
      <c r="A54" s="449">
        <f t="shared" si="17"/>
        <v>42</v>
      </c>
      <c r="B54" s="459" t="s">
        <v>905</v>
      </c>
      <c r="F54" s="454">
        <f t="shared" ref="F54:L54" si="19">SUM(F41:F53)</f>
        <v>0</v>
      </c>
      <c r="G54" s="454">
        <f t="shared" si="19"/>
        <v>0</v>
      </c>
      <c r="H54" s="454">
        <f t="shared" si="19"/>
        <v>0</v>
      </c>
      <c r="I54" s="464">
        <f t="shared" si="19"/>
        <v>0</v>
      </c>
      <c r="J54" s="464">
        <f t="shared" si="19"/>
        <v>0</v>
      </c>
      <c r="K54" s="464">
        <f t="shared" si="19"/>
        <v>0</v>
      </c>
      <c r="L54" s="464">
        <f t="shared" si="19"/>
        <v>0</v>
      </c>
    </row>
    <row r="55" spans="1:12">
      <c r="B55" s="439"/>
    </row>
    <row r="56" spans="1:12">
      <c r="B56" s="439"/>
    </row>
    <row r="57" spans="1:12" ht="15.75" customHeight="1">
      <c r="A57" s="441" t="s">
        <v>906</v>
      </c>
      <c r="B57" s="439" t="s">
        <v>907</v>
      </c>
    </row>
    <row r="58" spans="1:12">
      <c r="A58" s="441" t="s">
        <v>908</v>
      </c>
      <c r="B58" s="439" t="s">
        <v>976</v>
      </c>
      <c r="D58" s="465"/>
      <c r="E58" s="465"/>
      <c r="F58" s="465"/>
      <c r="G58" s="465"/>
      <c r="H58" s="465"/>
      <c r="I58" s="466"/>
    </row>
    <row r="59" spans="1:12">
      <c r="A59" s="539" t="s">
        <v>340</v>
      </c>
      <c r="B59" s="439" t="s">
        <v>909</v>
      </c>
      <c r="D59" s="465"/>
      <c r="E59" s="465"/>
      <c r="F59" s="465"/>
      <c r="G59" s="465"/>
      <c r="H59" s="465"/>
      <c r="I59" s="466"/>
    </row>
    <row r="60" spans="1:12">
      <c r="A60" s="539" t="s">
        <v>341</v>
      </c>
      <c r="B60" s="439" t="s">
        <v>910</v>
      </c>
      <c r="D60" s="465"/>
      <c r="E60" s="465"/>
      <c r="F60" s="465"/>
      <c r="G60" s="465"/>
      <c r="H60" s="465"/>
      <c r="I60" s="466"/>
    </row>
    <row r="61" spans="1:12">
      <c r="A61" s="539" t="s">
        <v>342</v>
      </c>
      <c r="B61" s="459" t="s">
        <v>977</v>
      </c>
      <c r="D61" s="442"/>
      <c r="E61" s="442"/>
    </row>
    <row r="62" spans="1:12">
      <c r="D62" s="451"/>
      <c r="E62" s="451"/>
    </row>
    <row r="63" spans="1:12">
      <c r="D63" s="451"/>
      <c r="E63" s="451"/>
    </row>
    <row r="64" spans="1:12">
      <c r="D64" s="451"/>
      <c r="E64" s="451"/>
    </row>
    <row r="65" spans="2:10">
      <c r="D65" s="451"/>
      <c r="E65" s="451"/>
    </row>
    <row r="66" spans="2:10">
      <c r="D66" s="451"/>
      <c r="E66" s="451"/>
      <c r="J66" s="451"/>
    </row>
    <row r="67" spans="2:10">
      <c r="D67" s="451"/>
      <c r="E67" s="451"/>
    </row>
    <row r="68" spans="2:10">
      <c r="D68" s="451"/>
      <c r="E68" s="451"/>
    </row>
    <row r="69" spans="2:10">
      <c r="D69" s="451"/>
      <c r="E69" s="451"/>
    </row>
    <row r="70" spans="2:10">
      <c r="D70" s="451"/>
      <c r="E70" s="451"/>
    </row>
    <row r="71" spans="2:10">
      <c r="D71" s="451"/>
      <c r="E71" s="451"/>
    </row>
    <row r="72" spans="2:10">
      <c r="B72" s="439"/>
      <c r="D72" s="451"/>
      <c r="E72" s="451"/>
    </row>
    <row r="73" spans="2:10">
      <c r="D73" s="451"/>
      <c r="E73" s="451"/>
    </row>
    <row r="74" spans="2:10">
      <c r="B74" s="439"/>
      <c r="D74" s="451"/>
      <c r="E74" s="451"/>
    </row>
    <row r="178" spans="9:9">
      <c r="I178" s="467"/>
    </row>
  </sheetData>
  <mergeCells count="3">
    <mergeCell ref="A1:L1"/>
    <mergeCell ref="A2:L2"/>
    <mergeCell ref="A3:L3"/>
  </mergeCells>
  <printOptions horizontalCentered="1"/>
  <pageMargins left="0.25" right="0.25" top="0.5" bottom="0.5" header="0.3" footer="0.3"/>
  <pageSetup scale="43" orientation="landscape"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FD9D1-DD17-4377-A974-A3485EDB7549}">
  <dimension ref="A1:U209"/>
  <sheetViews>
    <sheetView zoomScale="70" zoomScaleNormal="70" zoomScaleSheetLayoutView="70" workbookViewId="0">
      <selection activeCell="E6" sqref="E6"/>
    </sheetView>
  </sheetViews>
  <sheetFormatPr defaultColWidth="8.88671875" defaultRowHeight="15.75"/>
  <cols>
    <col min="1" max="1" width="5.109375" style="439" customWidth="1"/>
    <col min="2" max="2" width="51.44140625" style="459" customWidth="1"/>
    <col min="3" max="3" width="22" style="439" customWidth="1"/>
    <col min="4" max="4" width="16.109375" style="439" customWidth="1"/>
    <col min="5" max="5" width="11.88671875" style="439" customWidth="1"/>
    <col min="6" max="6" width="13.88671875" style="439" customWidth="1"/>
    <col min="7" max="7" width="13" style="439" customWidth="1"/>
    <col min="8" max="8" width="77.5546875" style="439" customWidth="1"/>
    <col min="9" max="16384" width="8.88671875" style="440"/>
  </cols>
  <sheetData>
    <row r="1" spans="1:21" ht="18">
      <c r="A1" s="856" t="s">
        <v>911</v>
      </c>
      <c r="B1" s="857"/>
      <c r="C1" s="857"/>
      <c r="D1" s="857"/>
      <c r="E1" s="857"/>
      <c r="F1" s="857"/>
      <c r="G1" s="857"/>
      <c r="H1" s="542" t="s">
        <v>638</v>
      </c>
      <c r="I1" s="444"/>
      <c r="J1" s="444"/>
    </row>
    <row r="2" spans="1:21" ht="18">
      <c r="B2" s="852" t="str">
        <f>'Attachment O'!$K$3</f>
        <v>For the 12 months ended 12/31/2022</v>
      </c>
      <c r="C2" s="852"/>
      <c r="D2" s="852"/>
      <c r="E2" s="852"/>
      <c r="F2" s="852"/>
      <c r="G2" s="852"/>
      <c r="H2" s="852"/>
      <c r="I2" s="444"/>
      <c r="J2" s="444"/>
    </row>
    <row r="3" spans="1:21">
      <c r="D3" s="440"/>
      <c r="E3" s="440"/>
      <c r="F3" s="440"/>
      <c r="G3" s="440"/>
      <c r="U3" s="443"/>
    </row>
    <row r="4" spans="1:21" ht="34.5" customHeight="1">
      <c r="A4" s="445" t="s">
        <v>857</v>
      </c>
      <c r="B4" s="445" t="s">
        <v>858</v>
      </c>
      <c r="C4" s="446"/>
      <c r="D4" s="447"/>
      <c r="E4" s="448" t="s">
        <v>859</v>
      </c>
      <c r="F4" s="448" t="s">
        <v>860</v>
      </c>
      <c r="G4" s="445" t="s">
        <v>861</v>
      </c>
      <c r="H4" s="446"/>
      <c r="U4" s="443"/>
    </row>
    <row r="5" spans="1:21">
      <c r="B5" s="449"/>
      <c r="D5" s="440"/>
      <c r="L5" s="450"/>
    </row>
    <row r="6" spans="1:21" ht="20.25" customHeight="1">
      <c r="A6" s="439">
        <v>1</v>
      </c>
      <c r="B6" s="439" t="s">
        <v>879</v>
      </c>
      <c r="D6" s="440"/>
      <c r="E6" s="451">
        <f>+E54</f>
        <v>-127026.21469340209</v>
      </c>
      <c r="F6" s="451">
        <f>+F54</f>
        <v>0</v>
      </c>
      <c r="G6" s="451">
        <f>+G54</f>
        <v>0</v>
      </c>
      <c r="H6" s="439" t="s">
        <v>912</v>
      </c>
    </row>
    <row r="7" spans="1:21" ht="20.25" customHeight="1">
      <c r="A7" s="439">
        <f>+A6+1</f>
        <v>2</v>
      </c>
      <c r="B7" s="439" t="s">
        <v>884</v>
      </c>
      <c r="D7" s="440"/>
      <c r="E7" s="451">
        <f>+E77</f>
        <v>0</v>
      </c>
      <c r="F7" s="451">
        <f>+F77</f>
        <v>0</v>
      </c>
      <c r="G7" s="451">
        <f>+G77</f>
        <v>0</v>
      </c>
      <c r="H7" s="439" t="s">
        <v>913</v>
      </c>
    </row>
    <row r="8" spans="1:21" ht="20.25" customHeight="1">
      <c r="A8" s="439">
        <f>+A7+1</f>
        <v>3</v>
      </c>
      <c r="B8" s="439" t="s">
        <v>866</v>
      </c>
      <c r="D8" s="440"/>
      <c r="E8" s="451">
        <f>E29</f>
        <v>0</v>
      </c>
      <c r="F8" s="451">
        <f>F29</f>
        <v>0</v>
      </c>
      <c r="G8" s="451">
        <f>G29</f>
        <v>0</v>
      </c>
      <c r="H8" s="439" t="s">
        <v>914</v>
      </c>
    </row>
    <row r="9" spans="1:21" ht="20.25" customHeight="1">
      <c r="A9" s="439">
        <f>+A8+1</f>
        <v>4</v>
      </c>
      <c r="B9" s="439" t="s">
        <v>915</v>
      </c>
      <c r="D9" s="440"/>
      <c r="E9" s="451">
        <f>SUM(E6:E8)</f>
        <v>-127026.21469340209</v>
      </c>
      <c r="F9" s="451">
        <f>SUM(F6:F8)</f>
        <v>0</v>
      </c>
      <c r="G9" s="451">
        <f>SUM(G6:G8)</f>
        <v>0</v>
      </c>
      <c r="H9" s="452" t="s">
        <v>916</v>
      </c>
    </row>
    <row r="10" spans="1:21">
      <c r="B10" s="439"/>
      <c r="D10" s="452"/>
      <c r="H10" s="451"/>
    </row>
    <row r="11" spans="1:21">
      <c r="B11" s="439"/>
      <c r="H11" s="454"/>
    </row>
    <row r="12" spans="1:21" ht="33" customHeight="1">
      <c r="B12" s="859" t="s">
        <v>917</v>
      </c>
      <c r="C12" s="859"/>
      <c r="D12" s="859"/>
      <c r="E12" s="859"/>
      <c r="F12" s="859"/>
      <c r="G12" s="859"/>
      <c r="H12" s="859"/>
    </row>
    <row r="13" spans="1:21">
      <c r="C13" s="440"/>
      <c r="D13" s="442"/>
      <c r="E13" s="442"/>
      <c r="F13" s="442"/>
      <c r="G13" s="442"/>
    </row>
    <row r="14" spans="1:21">
      <c r="B14" s="442" t="s">
        <v>340</v>
      </c>
      <c r="C14" s="442" t="s">
        <v>341</v>
      </c>
      <c r="D14" s="442" t="s">
        <v>342</v>
      </c>
      <c r="E14" s="442" t="s">
        <v>343</v>
      </c>
      <c r="F14" s="442" t="s">
        <v>344</v>
      </c>
      <c r="G14" s="442" t="s">
        <v>345</v>
      </c>
      <c r="H14" s="442" t="s">
        <v>347</v>
      </c>
    </row>
    <row r="15" spans="1:21" ht="31.5">
      <c r="B15" s="459" t="s">
        <v>866</v>
      </c>
      <c r="C15" s="471" t="s">
        <v>21</v>
      </c>
      <c r="D15" s="471" t="s">
        <v>918</v>
      </c>
      <c r="E15" s="471" t="s">
        <v>859</v>
      </c>
      <c r="F15" s="471" t="s">
        <v>860</v>
      </c>
      <c r="G15" s="471" t="s">
        <v>861</v>
      </c>
      <c r="H15" s="471" t="s">
        <v>919</v>
      </c>
    </row>
    <row r="16" spans="1:21" ht="30" customHeight="1">
      <c r="A16" s="439">
        <f>A9+1</f>
        <v>5</v>
      </c>
      <c r="B16" s="472"/>
      <c r="C16" s="473"/>
      <c r="D16" s="474"/>
      <c r="E16" s="474"/>
      <c r="F16" s="474"/>
      <c r="G16" s="474"/>
      <c r="H16" s="475"/>
    </row>
    <row r="17" spans="1:8" ht="30" customHeight="1">
      <c r="A17" s="439">
        <f t="shared" ref="A17:A29" si="0">+A16+1</f>
        <v>6</v>
      </c>
      <c r="B17" s="476"/>
      <c r="C17" s="473"/>
      <c r="D17" s="474"/>
      <c r="E17" s="474"/>
      <c r="F17" s="474"/>
      <c r="G17" s="474"/>
      <c r="H17" s="475"/>
    </row>
    <row r="18" spans="1:8" ht="30" customHeight="1">
      <c r="A18" s="439">
        <f t="shared" si="0"/>
        <v>7</v>
      </c>
      <c r="B18" s="476"/>
      <c r="C18" s="473"/>
      <c r="D18" s="474"/>
      <c r="E18" s="474"/>
      <c r="F18" s="474"/>
      <c r="G18" s="474"/>
      <c r="H18" s="475"/>
    </row>
    <row r="19" spans="1:8" ht="30" customHeight="1">
      <c r="A19" s="439">
        <f t="shared" si="0"/>
        <v>8</v>
      </c>
      <c r="B19" s="476"/>
      <c r="C19" s="473"/>
      <c r="D19" s="474"/>
      <c r="E19" s="474"/>
      <c r="F19" s="474"/>
      <c r="G19" s="474"/>
      <c r="H19" s="475"/>
    </row>
    <row r="20" spans="1:8" ht="30" customHeight="1">
      <c r="A20" s="439">
        <f t="shared" si="0"/>
        <v>9</v>
      </c>
      <c r="B20" s="476"/>
      <c r="C20" s="473"/>
      <c r="D20" s="474"/>
      <c r="E20" s="474"/>
      <c r="F20" s="474"/>
      <c r="G20" s="474"/>
      <c r="H20" s="475"/>
    </row>
    <row r="21" spans="1:8" ht="30" customHeight="1">
      <c r="A21" s="439">
        <f t="shared" si="0"/>
        <v>10</v>
      </c>
      <c r="B21" s="476"/>
      <c r="C21" s="473"/>
      <c r="D21" s="474"/>
      <c r="E21" s="474"/>
      <c r="F21" s="474"/>
      <c r="G21" s="474"/>
      <c r="H21" s="475"/>
    </row>
    <row r="22" spans="1:8" ht="30" customHeight="1">
      <c r="A22" s="439">
        <f t="shared" si="0"/>
        <v>11</v>
      </c>
      <c r="B22" s="476"/>
      <c r="C22" s="473"/>
      <c r="D22" s="474"/>
      <c r="E22" s="474"/>
      <c r="F22" s="474"/>
      <c r="G22" s="474"/>
      <c r="H22" s="475"/>
    </row>
    <row r="23" spans="1:8" ht="30" customHeight="1">
      <c r="A23" s="439">
        <f t="shared" si="0"/>
        <v>12</v>
      </c>
      <c r="B23" s="476" t="s">
        <v>1030</v>
      </c>
      <c r="C23" s="473"/>
      <c r="D23" s="477"/>
      <c r="E23" s="474"/>
      <c r="F23" s="474"/>
      <c r="G23" s="474"/>
      <c r="H23" s="475"/>
    </row>
    <row r="24" spans="1:8" ht="30" customHeight="1">
      <c r="A24" s="439">
        <f t="shared" si="0"/>
        <v>13</v>
      </c>
      <c r="B24" s="476" t="s">
        <v>1031</v>
      </c>
      <c r="C24" s="473"/>
      <c r="D24" s="474"/>
      <c r="E24" s="474"/>
      <c r="F24" s="474"/>
      <c r="G24" s="474"/>
      <c r="H24" s="475"/>
    </row>
    <row r="25" spans="1:8" ht="30" customHeight="1">
      <c r="A25" s="439">
        <f t="shared" si="0"/>
        <v>14</v>
      </c>
      <c r="B25" s="478" t="s">
        <v>920</v>
      </c>
      <c r="C25" s="773">
        <f>E25</f>
        <v>0</v>
      </c>
      <c r="D25" s="479"/>
      <c r="E25" s="773">
        <v>0</v>
      </c>
      <c r="F25" s="479"/>
      <c r="G25" s="479"/>
      <c r="H25" s="480" t="s">
        <v>921</v>
      </c>
    </row>
    <row r="26" spans="1:8" ht="20.25" customHeight="1">
      <c r="A26" s="439">
        <f t="shared" si="0"/>
        <v>15</v>
      </c>
      <c r="B26" s="481" t="s">
        <v>922</v>
      </c>
      <c r="C26" s="482">
        <f>SUBTOTAL(9,C16:C25)</f>
        <v>0</v>
      </c>
      <c r="D26" s="482">
        <f>SUM(D16:D25)</f>
        <v>0</v>
      </c>
      <c r="E26" s="482">
        <f>SUM(E16:E25)</f>
        <v>0</v>
      </c>
      <c r="F26" s="482">
        <f>SUM(F16:F25)</f>
        <v>0</v>
      </c>
      <c r="G26" s="482">
        <f>SUM(G16:G25)</f>
        <v>0</v>
      </c>
      <c r="H26" s="483"/>
    </row>
    <row r="27" spans="1:8" ht="20.25" customHeight="1">
      <c r="A27" s="439">
        <f t="shared" si="0"/>
        <v>16</v>
      </c>
      <c r="B27" s="484" t="s">
        <v>923</v>
      </c>
      <c r="C27" s="485"/>
      <c r="D27" s="485"/>
      <c r="E27" s="485"/>
      <c r="F27" s="486"/>
      <c r="G27" s="487"/>
      <c r="H27" s="475"/>
    </row>
    <row r="28" spans="1:8" ht="20.25" customHeight="1">
      <c r="A28" s="439">
        <f t="shared" si="0"/>
        <v>17</v>
      </c>
      <c r="B28" s="488" t="s">
        <v>924</v>
      </c>
      <c r="C28" s="489"/>
      <c r="D28" s="489"/>
      <c r="E28" s="489"/>
      <c r="F28" s="489"/>
      <c r="G28" s="489"/>
      <c r="H28" s="490"/>
    </row>
    <row r="29" spans="1:8" ht="20.25" customHeight="1" thickBot="1">
      <c r="A29" s="439">
        <f t="shared" si="0"/>
        <v>18</v>
      </c>
      <c r="B29" s="491" t="s">
        <v>21</v>
      </c>
      <c r="C29" s="492">
        <f>+C26-C27-C28</f>
        <v>0</v>
      </c>
      <c r="D29" s="492">
        <f>+D26-D27-D28</f>
        <v>0</v>
      </c>
      <c r="E29" s="492">
        <f>+E26-E27-E28</f>
        <v>0</v>
      </c>
      <c r="F29" s="492">
        <f>+F26-F27-F28</f>
        <v>0</v>
      </c>
      <c r="G29" s="492">
        <f>+G26-G27-G28</f>
        <v>0</v>
      </c>
      <c r="H29" s="493"/>
    </row>
    <row r="30" spans="1:8" ht="20.25" customHeight="1" thickTop="1">
      <c r="B30" s="439" t="s">
        <v>925</v>
      </c>
      <c r="C30" s="452"/>
      <c r="D30" s="494"/>
      <c r="E30" s="442"/>
      <c r="G30" s="495"/>
    </row>
    <row r="31" spans="1:8" ht="20.25" customHeight="1">
      <c r="B31" s="855" t="s">
        <v>926</v>
      </c>
      <c r="C31" s="855"/>
      <c r="D31" s="855"/>
      <c r="E31" s="855"/>
      <c r="F31" s="855"/>
      <c r="G31" s="855"/>
    </row>
    <row r="32" spans="1:8" ht="20.25" customHeight="1">
      <c r="B32" s="459" t="s">
        <v>927</v>
      </c>
      <c r="F32" s="442"/>
      <c r="G32" s="442"/>
    </row>
    <row r="33" spans="1:8" ht="20.25" customHeight="1">
      <c r="B33" s="459" t="s">
        <v>928</v>
      </c>
      <c r="F33" s="442"/>
      <c r="G33" s="442"/>
    </row>
    <row r="34" spans="1:8" ht="20.25" customHeight="1">
      <c r="B34" s="459" t="s">
        <v>929</v>
      </c>
      <c r="F34" s="442"/>
      <c r="G34" s="442"/>
    </row>
    <row r="35" spans="1:8" ht="35.25" customHeight="1">
      <c r="B35" s="855" t="s">
        <v>1001</v>
      </c>
      <c r="C35" s="855"/>
      <c r="D35" s="855"/>
      <c r="E35" s="855"/>
      <c r="F35" s="855"/>
      <c r="G35" s="855"/>
      <c r="H35" s="496"/>
    </row>
    <row r="36" spans="1:8">
      <c r="B36" s="496"/>
      <c r="C36" s="496"/>
      <c r="D36" s="496"/>
      <c r="E36" s="496"/>
      <c r="F36" s="496"/>
      <c r="G36" s="496"/>
      <c r="H36" s="496"/>
    </row>
    <row r="37" spans="1:8">
      <c r="A37" s="508"/>
      <c r="B37" s="496"/>
      <c r="C37" s="496"/>
      <c r="D37" s="496"/>
      <c r="E37" s="496"/>
      <c r="F37" s="496"/>
      <c r="G37" s="496"/>
      <c r="H37" s="496"/>
    </row>
    <row r="38" spans="1:8">
      <c r="A38" s="856" t="s">
        <v>911</v>
      </c>
      <c r="B38" s="857"/>
      <c r="C38" s="857"/>
      <c r="D38" s="857"/>
      <c r="E38" s="857"/>
      <c r="F38" s="857"/>
      <c r="G38" s="857"/>
      <c r="H38" s="542" t="s">
        <v>698</v>
      </c>
    </row>
    <row r="39" spans="1:8">
      <c r="A39" s="852" t="str">
        <f>'Attachment O'!$K$3</f>
        <v>For the 12 months ended 12/31/2022</v>
      </c>
      <c r="B39" s="858"/>
      <c r="C39" s="858"/>
      <c r="D39" s="858"/>
      <c r="E39" s="858"/>
      <c r="F39" s="858"/>
      <c r="G39" s="858"/>
      <c r="H39" s="858"/>
    </row>
    <row r="40" spans="1:8">
      <c r="A40" s="508"/>
      <c r="B40" s="508"/>
      <c r="C40" s="508"/>
      <c r="D40" s="508"/>
      <c r="E40" s="508"/>
      <c r="F40" s="508"/>
      <c r="G40" s="508"/>
      <c r="H40" s="508"/>
    </row>
    <row r="41" spans="1:8">
      <c r="B41" s="442" t="s">
        <v>340</v>
      </c>
      <c r="C41" s="442" t="s">
        <v>341</v>
      </c>
      <c r="D41" s="442" t="s">
        <v>342</v>
      </c>
      <c r="E41" s="442" t="s">
        <v>343</v>
      </c>
      <c r="F41" s="442" t="s">
        <v>344</v>
      </c>
      <c r="G41" s="442" t="s">
        <v>345</v>
      </c>
      <c r="H41" s="442" t="s">
        <v>347</v>
      </c>
    </row>
    <row r="42" spans="1:8" ht="31.5">
      <c r="B42" s="439" t="s">
        <v>930</v>
      </c>
      <c r="C42" s="471" t="s">
        <v>21</v>
      </c>
      <c r="D42" s="471" t="s">
        <v>918</v>
      </c>
      <c r="E42" s="471" t="s">
        <v>859</v>
      </c>
      <c r="F42" s="471" t="s">
        <v>860</v>
      </c>
      <c r="G42" s="471" t="s">
        <v>861</v>
      </c>
      <c r="H42" s="471" t="s">
        <v>919</v>
      </c>
    </row>
    <row r="43" spans="1:8" ht="30" customHeight="1">
      <c r="A43" s="439">
        <f>A29+1</f>
        <v>19</v>
      </c>
      <c r="B43" s="476"/>
      <c r="C43" s="473"/>
      <c r="D43" s="474"/>
      <c r="E43" s="474"/>
      <c r="F43" s="474"/>
      <c r="G43" s="474"/>
      <c r="H43" s="475"/>
    </row>
    <row r="44" spans="1:8" ht="30" customHeight="1">
      <c r="A44" s="439">
        <f t="shared" ref="A44:A54" si="1">+A43+1</f>
        <v>20</v>
      </c>
      <c r="B44" s="476"/>
      <c r="C44" s="473"/>
      <c r="D44" s="474"/>
      <c r="E44" s="474"/>
      <c r="F44" s="474"/>
      <c r="G44" s="474"/>
      <c r="H44" s="475"/>
    </row>
    <row r="45" spans="1:8" ht="30" customHeight="1">
      <c r="A45" s="439">
        <f t="shared" si="1"/>
        <v>21</v>
      </c>
      <c r="B45" s="476"/>
      <c r="C45" s="473"/>
      <c r="D45" s="474"/>
      <c r="E45" s="474"/>
      <c r="F45" s="474"/>
      <c r="G45" s="474"/>
      <c r="H45" s="475"/>
    </row>
    <row r="46" spans="1:8" ht="30" customHeight="1">
      <c r="A46" s="439">
        <f t="shared" si="1"/>
        <v>22</v>
      </c>
      <c r="B46" s="476"/>
      <c r="C46" s="474"/>
      <c r="D46" s="474"/>
      <c r="E46" s="474"/>
      <c r="F46" s="474"/>
      <c r="G46" s="474"/>
      <c r="H46" s="475"/>
    </row>
    <row r="47" spans="1:8" ht="30" customHeight="1">
      <c r="A47" s="439">
        <f t="shared" si="1"/>
        <v>23</v>
      </c>
      <c r="B47" s="476"/>
      <c r="C47" s="474"/>
      <c r="D47" s="474"/>
      <c r="E47" s="474"/>
      <c r="F47" s="474"/>
      <c r="G47" s="474"/>
      <c r="H47" s="475"/>
    </row>
    <row r="48" spans="1:8" ht="30" customHeight="1">
      <c r="A48" s="439">
        <f t="shared" si="1"/>
        <v>24</v>
      </c>
      <c r="B48" s="602" t="s">
        <v>1032</v>
      </c>
      <c r="C48" s="497"/>
      <c r="D48" s="497"/>
      <c r="E48" s="497"/>
      <c r="F48" s="497"/>
      <c r="G48" s="497"/>
      <c r="H48" s="475"/>
    </row>
    <row r="49" spans="1:8" ht="30" customHeight="1">
      <c r="A49" s="439">
        <f t="shared" si="1"/>
        <v>25</v>
      </c>
      <c r="B49" s="603" t="s">
        <v>1033</v>
      </c>
      <c r="C49" s="497"/>
      <c r="D49" s="497"/>
      <c r="E49" s="497"/>
      <c r="F49" s="497"/>
      <c r="G49" s="497"/>
      <c r="H49" s="475"/>
    </row>
    <row r="50" spans="1:8" ht="30" customHeight="1">
      <c r="A50" s="439">
        <f t="shared" si="1"/>
        <v>26</v>
      </c>
      <c r="B50" s="478" t="s">
        <v>931</v>
      </c>
      <c r="C50" s="774">
        <f>E50</f>
        <v>-127026.21469340209</v>
      </c>
      <c r="D50" s="774"/>
      <c r="E50" s="774">
        <v>-127026.21469340209</v>
      </c>
      <c r="F50" s="498">
        <v>0</v>
      </c>
      <c r="G50" s="498"/>
      <c r="H50" s="480" t="s">
        <v>921</v>
      </c>
    </row>
    <row r="51" spans="1:8" ht="20.25" customHeight="1">
      <c r="A51" s="439">
        <f t="shared" si="1"/>
        <v>27</v>
      </c>
      <c r="B51" s="499" t="s">
        <v>932</v>
      </c>
      <c r="C51" s="482">
        <f>SUBTOTAL(9,C43:C50)</f>
        <v>-127026.21469340209</v>
      </c>
      <c r="D51" s="482">
        <f>SUM(D43:D50)</f>
        <v>0</v>
      </c>
      <c r="E51" s="482">
        <f>SUM(E43:E50)</f>
        <v>-127026.21469340209</v>
      </c>
      <c r="F51" s="482">
        <f>SUM(F43:F50)</f>
        <v>0</v>
      </c>
      <c r="G51" s="482">
        <f>SUM(G43:G50)</f>
        <v>0</v>
      </c>
      <c r="H51" s="483"/>
    </row>
    <row r="52" spans="1:8" ht="20.25" customHeight="1">
      <c r="A52" s="439">
        <f t="shared" si="1"/>
        <v>28</v>
      </c>
      <c r="B52" s="499" t="s">
        <v>923</v>
      </c>
      <c r="C52" s="485"/>
      <c r="D52" s="485"/>
      <c r="E52" s="485"/>
      <c r="F52" s="485"/>
      <c r="G52" s="485"/>
      <c r="H52" s="475"/>
    </row>
    <row r="53" spans="1:8" ht="20.25" customHeight="1">
      <c r="A53" s="439">
        <f t="shared" si="1"/>
        <v>29</v>
      </c>
      <c r="B53" s="500" t="s">
        <v>924</v>
      </c>
      <c r="C53" s="489"/>
      <c r="D53" s="489"/>
      <c r="E53" s="489"/>
      <c r="F53" s="489"/>
      <c r="G53" s="489"/>
      <c r="H53" s="490"/>
    </row>
    <row r="54" spans="1:8" ht="20.25" customHeight="1" thickBot="1">
      <c r="A54" s="439">
        <f t="shared" si="1"/>
        <v>30</v>
      </c>
      <c r="B54" s="491" t="s">
        <v>21</v>
      </c>
      <c r="C54" s="492">
        <f>+C51-C52-C53</f>
        <v>-127026.21469340209</v>
      </c>
      <c r="D54" s="492">
        <f>+D51-D52-D53</f>
        <v>0</v>
      </c>
      <c r="E54" s="492">
        <f>+E51-E52-E53</f>
        <v>-127026.21469340209</v>
      </c>
      <c r="F54" s="492">
        <f>+F51-F52-F53</f>
        <v>0</v>
      </c>
      <c r="G54" s="492">
        <f>+G51-G52-G53</f>
        <v>0</v>
      </c>
      <c r="H54" s="493"/>
    </row>
    <row r="55" spans="1:8" ht="20.25" customHeight="1" thickTop="1">
      <c r="B55" s="439" t="s">
        <v>933</v>
      </c>
      <c r="D55" s="442"/>
      <c r="E55" s="494"/>
      <c r="G55" s="496"/>
    </row>
    <row r="56" spans="1:8" ht="20.25" customHeight="1">
      <c r="B56" s="855" t="s">
        <v>926</v>
      </c>
      <c r="C56" s="855"/>
      <c r="D56" s="855"/>
      <c r="E56" s="855"/>
      <c r="F56" s="855"/>
      <c r="G56" s="855"/>
    </row>
    <row r="57" spans="1:8" ht="20.25" customHeight="1">
      <c r="B57" s="459" t="s">
        <v>927</v>
      </c>
      <c r="F57" s="442"/>
      <c r="G57" s="442"/>
    </row>
    <row r="58" spans="1:8" ht="20.25" customHeight="1">
      <c r="B58" s="459" t="s">
        <v>928</v>
      </c>
      <c r="F58" s="442"/>
      <c r="G58" s="442"/>
    </row>
    <row r="59" spans="1:8" ht="20.25" customHeight="1">
      <c r="B59" s="459" t="s">
        <v>929</v>
      </c>
      <c r="F59" s="442"/>
      <c r="G59" s="442"/>
    </row>
    <row r="60" spans="1:8" ht="35.25" customHeight="1">
      <c r="B60" s="855" t="s">
        <v>1001</v>
      </c>
      <c r="C60" s="855"/>
      <c r="D60" s="855"/>
      <c r="E60" s="855"/>
      <c r="F60" s="855"/>
      <c r="G60" s="855"/>
      <c r="H60" s="496"/>
    </row>
    <row r="61" spans="1:8">
      <c r="H61" s="496"/>
    </row>
    <row r="62" spans="1:8">
      <c r="B62" s="442" t="s">
        <v>340</v>
      </c>
      <c r="C62" s="442" t="s">
        <v>341</v>
      </c>
      <c r="D62" s="442" t="s">
        <v>342</v>
      </c>
      <c r="E62" s="442" t="s">
        <v>343</v>
      </c>
      <c r="F62" s="442" t="s">
        <v>344</v>
      </c>
      <c r="G62" s="442" t="s">
        <v>345</v>
      </c>
      <c r="H62" s="442" t="s">
        <v>347</v>
      </c>
    </row>
    <row r="63" spans="1:8" ht="31.5">
      <c r="B63" s="439" t="s">
        <v>934</v>
      </c>
      <c r="C63" s="471" t="s">
        <v>21</v>
      </c>
      <c r="D63" s="471" t="s">
        <v>918</v>
      </c>
      <c r="E63" s="471" t="s">
        <v>859</v>
      </c>
      <c r="F63" s="471" t="s">
        <v>860</v>
      </c>
      <c r="G63" s="471" t="s">
        <v>861</v>
      </c>
      <c r="H63" s="471" t="s">
        <v>919</v>
      </c>
    </row>
    <row r="64" spans="1:8" ht="30" customHeight="1">
      <c r="A64" s="439">
        <f>A54+1</f>
        <v>31</v>
      </c>
      <c r="B64" s="501"/>
      <c r="C64" s="473"/>
      <c r="D64" s="474"/>
      <c r="E64" s="474"/>
      <c r="F64" s="474"/>
      <c r="G64" s="474"/>
      <c r="H64" s="475"/>
    </row>
    <row r="65" spans="1:10" ht="30" customHeight="1">
      <c r="A65" s="439">
        <f t="shared" ref="A65:A77" si="2">+A64+1</f>
        <v>32</v>
      </c>
      <c r="B65" s="476"/>
      <c r="C65" s="473"/>
      <c r="D65" s="474"/>
      <c r="E65" s="474"/>
      <c r="F65" s="474"/>
      <c r="G65" s="474"/>
      <c r="H65" s="475"/>
      <c r="J65" s="502"/>
    </row>
    <row r="66" spans="1:10" ht="30" customHeight="1">
      <c r="A66" s="439">
        <f t="shared" si="2"/>
        <v>33</v>
      </c>
      <c r="B66" s="476"/>
      <c r="C66" s="473"/>
      <c r="D66" s="474"/>
      <c r="E66" s="474"/>
      <c r="F66" s="474"/>
      <c r="G66" s="474"/>
      <c r="H66" s="475"/>
    </row>
    <row r="67" spans="1:10" ht="30" customHeight="1">
      <c r="A67" s="439">
        <f t="shared" si="2"/>
        <v>34</v>
      </c>
      <c r="B67" s="476"/>
      <c r="C67" s="473"/>
      <c r="D67" s="474"/>
      <c r="E67" s="474"/>
      <c r="F67" s="474"/>
      <c r="G67" s="474"/>
      <c r="H67" s="475"/>
    </row>
    <row r="68" spans="1:10" ht="30" customHeight="1">
      <c r="A68" s="439">
        <f t="shared" si="2"/>
        <v>35</v>
      </c>
      <c r="B68" s="476"/>
      <c r="C68" s="474"/>
      <c r="D68" s="497"/>
      <c r="E68" s="474"/>
      <c r="F68" s="474"/>
      <c r="G68" s="474"/>
      <c r="H68" s="475"/>
    </row>
    <row r="69" spans="1:10" ht="30" customHeight="1">
      <c r="A69" s="439">
        <f t="shared" si="2"/>
        <v>36</v>
      </c>
      <c r="B69" s="476"/>
      <c r="C69" s="474"/>
      <c r="D69" s="497"/>
      <c r="E69" s="474"/>
      <c r="F69" s="474"/>
      <c r="G69" s="474"/>
      <c r="H69" s="475"/>
    </row>
    <row r="70" spans="1:10" ht="30" customHeight="1">
      <c r="A70" s="439">
        <f t="shared" si="2"/>
        <v>37</v>
      </c>
      <c r="B70" s="476"/>
      <c r="C70" s="474"/>
      <c r="D70" s="497"/>
      <c r="E70" s="474"/>
      <c r="F70" s="474"/>
      <c r="G70" s="474"/>
      <c r="H70" s="475"/>
    </row>
    <row r="71" spans="1:10" ht="30" customHeight="1">
      <c r="A71" s="439">
        <f t="shared" si="2"/>
        <v>38</v>
      </c>
      <c r="B71" s="476" t="s">
        <v>1034</v>
      </c>
      <c r="C71" s="474"/>
      <c r="D71" s="477"/>
      <c r="E71" s="474"/>
      <c r="F71" s="474"/>
      <c r="G71" s="474"/>
      <c r="H71" s="475"/>
    </row>
    <row r="72" spans="1:10" ht="30" customHeight="1">
      <c r="A72" s="439">
        <f t="shared" si="2"/>
        <v>39</v>
      </c>
      <c r="B72" s="476" t="s">
        <v>1035</v>
      </c>
      <c r="C72" s="474"/>
      <c r="D72" s="474"/>
      <c r="E72" s="474"/>
      <c r="F72" s="474"/>
      <c r="G72" s="474"/>
      <c r="H72" s="475"/>
    </row>
    <row r="73" spans="1:10" ht="30" customHeight="1">
      <c r="A73" s="439">
        <f t="shared" si="2"/>
        <v>40</v>
      </c>
      <c r="B73" s="478" t="s">
        <v>935</v>
      </c>
      <c r="C73" s="774">
        <f>E73</f>
        <v>0</v>
      </c>
      <c r="D73" s="774"/>
      <c r="E73" s="774">
        <v>0</v>
      </c>
      <c r="F73" s="498"/>
      <c r="G73" s="498"/>
      <c r="H73" s="480" t="s">
        <v>921</v>
      </c>
    </row>
    <row r="74" spans="1:10" ht="20.25" customHeight="1">
      <c r="A74" s="439">
        <f t="shared" si="2"/>
        <v>41</v>
      </c>
      <c r="B74" s="481" t="s">
        <v>936</v>
      </c>
      <c r="C74" s="482">
        <f>SUBTOTAL(9,C64:C73)</f>
        <v>0</v>
      </c>
      <c r="D74" s="482">
        <f>SUM(D64:D73)</f>
        <v>0</v>
      </c>
      <c r="E74" s="482">
        <f>SUM(E64:E73)</f>
        <v>0</v>
      </c>
      <c r="F74" s="482">
        <f>SUM(F64:F73)</f>
        <v>0</v>
      </c>
      <c r="G74" s="482">
        <f>SUM(G64:G73)</f>
        <v>0</v>
      </c>
      <c r="H74" s="475"/>
    </row>
    <row r="75" spans="1:10" ht="20.25" customHeight="1">
      <c r="A75" s="439">
        <f t="shared" si="2"/>
        <v>42</v>
      </c>
      <c r="B75" s="481" t="s">
        <v>923</v>
      </c>
      <c r="C75" s="486"/>
      <c r="D75" s="486"/>
      <c r="E75" s="486"/>
      <c r="F75" s="486"/>
      <c r="G75" s="486"/>
      <c r="H75" s="475"/>
    </row>
    <row r="76" spans="1:10" ht="20.25" customHeight="1">
      <c r="A76" s="439">
        <f t="shared" si="2"/>
        <v>43</v>
      </c>
      <c r="B76" s="503" t="s">
        <v>924</v>
      </c>
      <c r="C76" s="504"/>
      <c r="D76" s="504"/>
      <c r="E76" s="504"/>
      <c r="F76" s="504"/>
      <c r="G76" s="504"/>
      <c r="H76" s="490"/>
    </row>
    <row r="77" spans="1:10" ht="20.25" customHeight="1" thickBot="1">
      <c r="A77" s="439">
        <f t="shared" si="2"/>
        <v>44</v>
      </c>
      <c r="B77" s="491" t="s">
        <v>21</v>
      </c>
      <c r="C77" s="505">
        <f>+C74-C75-C76</f>
        <v>0</v>
      </c>
      <c r="D77" s="505">
        <f>+D74-D75-D76</f>
        <v>0</v>
      </c>
      <c r="E77" s="505">
        <f>+E74-E75-E76</f>
        <v>0</v>
      </c>
      <c r="F77" s="505">
        <f>+F74-F75-F76</f>
        <v>0</v>
      </c>
      <c r="G77" s="505">
        <f>+G74-G75-G76</f>
        <v>0</v>
      </c>
      <c r="H77" s="493"/>
    </row>
    <row r="78" spans="1:10" ht="20.25" customHeight="1" thickTop="1">
      <c r="B78" s="439" t="s">
        <v>937</v>
      </c>
      <c r="E78" s="442"/>
      <c r="F78" s="442"/>
      <c r="H78" s="506"/>
    </row>
    <row r="79" spans="1:10" ht="20.25" customHeight="1">
      <c r="B79" s="855" t="s">
        <v>926</v>
      </c>
      <c r="C79" s="855"/>
      <c r="D79" s="855"/>
      <c r="E79" s="855"/>
      <c r="F79" s="855"/>
      <c r="G79" s="855"/>
    </row>
    <row r="80" spans="1:10" ht="20.25" customHeight="1">
      <c r="B80" s="459" t="s">
        <v>927</v>
      </c>
      <c r="F80" s="442"/>
      <c r="G80" s="442"/>
    </row>
    <row r="81" spans="2:9" ht="20.25" customHeight="1">
      <c r="B81" s="459" t="s">
        <v>928</v>
      </c>
      <c r="F81" s="442"/>
      <c r="G81" s="442"/>
    </row>
    <row r="82" spans="2:9" ht="20.25" customHeight="1">
      <c r="B82" s="459" t="s">
        <v>929</v>
      </c>
      <c r="F82" s="442"/>
      <c r="G82" s="442"/>
    </row>
    <row r="83" spans="2:9" ht="35.25" customHeight="1">
      <c r="B83" s="855" t="s">
        <v>1001</v>
      </c>
      <c r="C83" s="855"/>
      <c r="D83" s="855"/>
      <c r="E83" s="855"/>
      <c r="F83" s="855"/>
      <c r="G83" s="855"/>
    </row>
    <row r="85" spans="2:9" ht="15.75" customHeight="1">
      <c r="B85" s="507"/>
      <c r="C85" s="507"/>
      <c r="D85" s="507"/>
      <c r="E85" s="507"/>
      <c r="F85" s="507"/>
      <c r="G85" s="507"/>
      <c r="H85" s="507"/>
    </row>
    <row r="86" spans="2:9">
      <c r="B86" s="852"/>
      <c r="C86" s="852"/>
      <c r="D86" s="852"/>
      <c r="E86" s="852"/>
      <c r="F86" s="852"/>
      <c r="G86" s="852"/>
      <c r="H86" s="852"/>
    </row>
    <row r="87" spans="2:9">
      <c r="B87" s="439"/>
    </row>
    <row r="88" spans="2:9">
      <c r="B88" s="439"/>
    </row>
    <row r="89" spans="2:9" ht="15.75" customHeight="1">
      <c r="B89" s="439"/>
    </row>
    <row r="90" spans="2:9">
      <c r="B90" s="439"/>
      <c r="D90" s="465"/>
      <c r="E90" s="465"/>
      <c r="F90" s="465"/>
      <c r="G90" s="465"/>
      <c r="H90" s="465"/>
      <c r="I90" s="466"/>
    </row>
    <row r="91" spans="2:9">
      <c r="B91" s="439"/>
      <c r="D91" s="465"/>
      <c r="E91" s="465"/>
      <c r="F91" s="465"/>
      <c r="G91" s="465"/>
      <c r="H91" s="465"/>
      <c r="I91" s="466"/>
    </row>
    <row r="92" spans="2:9">
      <c r="D92" s="442"/>
      <c r="E92" s="442"/>
    </row>
    <row r="93" spans="2:9">
      <c r="D93" s="451"/>
      <c r="E93" s="451"/>
    </row>
    <row r="94" spans="2:9">
      <c r="D94" s="451"/>
      <c r="E94" s="451"/>
    </row>
    <row r="95" spans="2:9">
      <c r="D95" s="451"/>
      <c r="E95" s="451"/>
    </row>
    <row r="96" spans="2:9">
      <c r="D96" s="451"/>
      <c r="E96" s="451"/>
    </row>
    <row r="97" spans="2:5">
      <c r="D97" s="451"/>
      <c r="E97" s="451"/>
    </row>
    <row r="98" spans="2:5">
      <c r="D98" s="451"/>
      <c r="E98" s="451"/>
    </row>
    <row r="99" spans="2:5">
      <c r="D99" s="451"/>
      <c r="E99" s="451"/>
    </row>
    <row r="100" spans="2:5">
      <c r="D100" s="451"/>
      <c r="E100" s="451"/>
    </row>
    <row r="101" spans="2:5">
      <c r="D101" s="451"/>
      <c r="E101" s="451"/>
    </row>
    <row r="102" spans="2:5">
      <c r="D102" s="451"/>
      <c r="E102" s="451"/>
    </row>
    <row r="103" spans="2:5">
      <c r="B103" s="439"/>
      <c r="D103" s="451"/>
      <c r="E103" s="451"/>
    </row>
    <row r="104" spans="2:5">
      <c r="D104" s="451"/>
      <c r="E104" s="451"/>
    </row>
    <row r="105" spans="2:5">
      <c r="B105" s="439"/>
      <c r="D105" s="451"/>
      <c r="E105" s="451"/>
    </row>
    <row r="209" spans="9:9">
      <c r="I209" s="467"/>
    </row>
  </sheetData>
  <mergeCells count="12">
    <mergeCell ref="B35:G35"/>
    <mergeCell ref="A1:G1"/>
    <mergeCell ref="A38:G38"/>
    <mergeCell ref="A39:H39"/>
    <mergeCell ref="B2:H2"/>
    <mergeCell ref="B12:H12"/>
    <mergeCell ref="B31:G31"/>
    <mergeCell ref="B56:G56"/>
    <mergeCell ref="B60:G60"/>
    <mergeCell ref="B79:G79"/>
    <mergeCell ref="B83:G83"/>
    <mergeCell ref="B86:H86"/>
  </mergeCells>
  <printOptions horizontalCentered="1"/>
  <pageMargins left="0.25" right="0.25" top="0.5" bottom="0.5" header="0.3" footer="0.3"/>
  <pageSetup scale="47" fitToHeight="0" orientation="landscape" r:id="rId1"/>
  <headerFooter alignWithMargins="0"/>
  <rowBreaks count="2" manualBreakCount="2">
    <brk id="36" max="7" man="1"/>
    <brk id="8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5F581-3BE3-423B-AC4E-D0508D1AEDB7}">
  <dimension ref="A1:U212"/>
  <sheetViews>
    <sheetView topLeftCell="A40" zoomScale="80" zoomScaleNormal="80" zoomScaleSheetLayoutView="70" workbookViewId="0">
      <selection activeCell="E53" sqref="E53"/>
    </sheetView>
  </sheetViews>
  <sheetFormatPr defaultColWidth="8.88671875" defaultRowHeight="15.75"/>
  <cols>
    <col min="1" max="1" width="5" style="439" customWidth="1"/>
    <col min="2" max="2" width="49.109375" style="459" customWidth="1"/>
    <col min="3" max="3" width="22" style="439" customWidth="1"/>
    <col min="4" max="4" width="15" style="439" customWidth="1"/>
    <col min="5" max="5" width="12.5546875" style="439" customWidth="1"/>
    <col min="6" max="6" width="11.5546875" style="439" customWidth="1"/>
    <col min="7" max="7" width="14.88671875" style="439" customWidth="1"/>
    <col min="8" max="8" width="79.44140625" style="439" customWidth="1"/>
    <col min="9" max="16384" width="8.88671875" style="440"/>
  </cols>
  <sheetData>
    <row r="1" spans="1:21" ht="18">
      <c r="A1" s="856" t="s">
        <v>938</v>
      </c>
      <c r="B1" s="857"/>
      <c r="C1" s="857"/>
      <c r="D1" s="857"/>
      <c r="E1" s="857"/>
      <c r="F1" s="857"/>
      <c r="G1" s="857"/>
      <c r="H1" s="543" t="s">
        <v>638</v>
      </c>
      <c r="I1" s="444"/>
      <c r="J1" s="444"/>
    </row>
    <row r="2" spans="1:21" ht="18">
      <c r="B2" s="852" t="str">
        <f>'Attachment O'!$K$3</f>
        <v>For the 12 months ended 12/31/2022</v>
      </c>
      <c r="C2" s="861"/>
      <c r="D2" s="861"/>
      <c r="E2" s="861"/>
      <c r="F2" s="861"/>
      <c r="G2" s="861"/>
      <c r="H2" s="861"/>
      <c r="I2" s="444"/>
      <c r="J2" s="444"/>
    </row>
    <row r="3" spans="1:21" ht="18">
      <c r="B3" s="852"/>
      <c r="C3" s="852"/>
      <c r="D3" s="852"/>
      <c r="E3" s="852"/>
      <c r="F3" s="852"/>
      <c r="G3" s="852"/>
      <c r="H3" s="854"/>
      <c r="I3" s="444"/>
      <c r="J3" s="444"/>
    </row>
    <row r="4" spans="1:21" ht="18">
      <c r="I4" s="444"/>
      <c r="J4" s="444"/>
    </row>
    <row r="5" spans="1:21">
      <c r="D5" s="442"/>
      <c r="E5" s="442"/>
      <c r="G5" s="442"/>
    </row>
    <row r="6" spans="1:21">
      <c r="D6" s="442"/>
      <c r="E6" s="442"/>
      <c r="F6" s="442"/>
      <c r="G6" s="442"/>
      <c r="U6" s="443"/>
    </row>
    <row r="7" spans="1:21" ht="34.5" customHeight="1">
      <c r="A7" s="445" t="s">
        <v>857</v>
      </c>
      <c r="B7" s="445" t="s">
        <v>858</v>
      </c>
      <c r="C7" s="446"/>
      <c r="D7" s="447"/>
      <c r="E7" s="509" t="s">
        <v>859</v>
      </c>
      <c r="F7" s="448" t="s">
        <v>860</v>
      </c>
      <c r="G7" s="448" t="s">
        <v>861</v>
      </c>
      <c r="H7" s="446"/>
      <c r="U7" s="443"/>
    </row>
    <row r="8" spans="1:21">
      <c r="A8" s="449"/>
      <c r="L8" s="450"/>
    </row>
    <row r="9" spans="1:21" ht="20.25" customHeight="1">
      <c r="A9" s="449">
        <v>1</v>
      </c>
      <c r="B9" s="439" t="s">
        <v>930</v>
      </c>
      <c r="E9" s="453">
        <f>+E57</f>
        <v>-519256.30502628849</v>
      </c>
      <c r="F9" s="453">
        <f>+F57</f>
        <v>0</v>
      </c>
      <c r="G9" s="453">
        <f>+G57</f>
        <v>0</v>
      </c>
      <c r="H9" s="439" t="s">
        <v>912</v>
      </c>
    </row>
    <row r="10" spans="1:21" ht="20.25" customHeight="1">
      <c r="A10" s="449">
        <f>+A9+1</f>
        <v>2</v>
      </c>
      <c r="B10" s="439" t="s">
        <v>884</v>
      </c>
      <c r="E10" s="453">
        <f>+E80</f>
        <v>0</v>
      </c>
      <c r="F10" s="453">
        <f>+F80</f>
        <v>0</v>
      </c>
      <c r="G10" s="453">
        <f>+G80</f>
        <v>0</v>
      </c>
      <c r="H10" s="439" t="s">
        <v>913</v>
      </c>
    </row>
    <row r="11" spans="1:21" ht="20.25" customHeight="1">
      <c r="A11" s="449">
        <f>+A10+1</f>
        <v>3</v>
      </c>
      <c r="B11" s="439" t="s">
        <v>866</v>
      </c>
      <c r="E11" s="453">
        <f>E32</f>
        <v>0</v>
      </c>
      <c r="F11" s="453">
        <f>F32</f>
        <v>0</v>
      </c>
      <c r="G11" s="453">
        <f>G32</f>
        <v>0</v>
      </c>
      <c r="H11" s="439" t="s">
        <v>914</v>
      </c>
    </row>
    <row r="12" spans="1:21" ht="20.25" customHeight="1">
      <c r="A12" s="449">
        <f>+A11+1</f>
        <v>4</v>
      </c>
      <c r="B12" s="439" t="s">
        <v>915</v>
      </c>
      <c r="E12" s="453">
        <f>SUM(E9:E11)</f>
        <v>-519256.30502628849</v>
      </c>
      <c r="F12" s="453">
        <f>SUM(F9:F11)</f>
        <v>0</v>
      </c>
      <c r="G12" s="453">
        <f>SUM(G9:G11)</f>
        <v>0</v>
      </c>
      <c r="H12" s="452" t="s">
        <v>916</v>
      </c>
    </row>
    <row r="13" spans="1:21">
      <c r="A13" s="449"/>
      <c r="B13" s="439"/>
      <c r="D13" s="452"/>
      <c r="H13" s="451"/>
    </row>
    <row r="14" spans="1:21">
      <c r="A14" s="449"/>
      <c r="B14" s="439"/>
      <c r="H14" s="454"/>
    </row>
    <row r="15" spans="1:21" ht="30" customHeight="1">
      <c r="A15" s="449"/>
      <c r="B15" s="859" t="s">
        <v>917</v>
      </c>
      <c r="C15" s="859"/>
      <c r="D15" s="859"/>
      <c r="E15" s="859"/>
      <c r="F15" s="859"/>
      <c r="G15" s="859"/>
      <c r="H15" s="859"/>
    </row>
    <row r="16" spans="1:21">
      <c r="A16" s="449"/>
    </row>
    <row r="17" spans="1:8">
      <c r="A17" s="449"/>
      <c r="B17" s="442" t="s">
        <v>340</v>
      </c>
      <c r="C17" s="442" t="s">
        <v>341</v>
      </c>
      <c r="D17" s="442" t="s">
        <v>342</v>
      </c>
      <c r="E17" s="442" t="s">
        <v>343</v>
      </c>
      <c r="F17" s="442" t="s">
        <v>344</v>
      </c>
      <c r="G17" s="442" t="s">
        <v>345</v>
      </c>
      <c r="H17" s="442" t="s">
        <v>347</v>
      </c>
    </row>
    <row r="18" spans="1:8" ht="31.5">
      <c r="A18" s="449"/>
      <c r="B18" s="459" t="s">
        <v>866</v>
      </c>
      <c r="C18" s="471" t="s">
        <v>21</v>
      </c>
      <c r="D18" s="471" t="s">
        <v>918</v>
      </c>
      <c r="E18" s="471" t="s">
        <v>859</v>
      </c>
      <c r="F18" s="471" t="s">
        <v>860</v>
      </c>
      <c r="G18" s="471" t="s">
        <v>861</v>
      </c>
      <c r="H18" s="471" t="s">
        <v>919</v>
      </c>
    </row>
    <row r="19" spans="1:8" ht="30" customHeight="1">
      <c r="A19" s="449">
        <f>A12+1</f>
        <v>5</v>
      </c>
      <c r="B19" s="472"/>
      <c r="C19" s="473"/>
      <c r="D19" s="474"/>
      <c r="E19" s="474"/>
      <c r="F19" s="474"/>
      <c r="G19" s="474"/>
      <c r="H19" s="475"/>
    </row>
    <row r="20" spans="1:8" ht="30" customHeight="1">
      <c r="A20" s="449">
        <f t="shared" ref="A20:A32" si="0">+A19+1</f>
        <v>6</v>
      </c>
      <c r="B20" s="476"/>
      <c r="C20" s="473"/>
      <c r="D20" s="474"/>
      <c r="E20" s="474"/>
      <c r="F20" s="474"/>
      <c r="G20" s="474"/>
      <c r="H20" s="475"/>
    </row>
    <row r="21" spans="1:8" ht="30" customHeight="1">
      <c r="A21" s="449">
        <f t="shared" si="0"/>
        <v>7</v>
      </c>
      <c r="B21" s="476"/>
      <c r="C21" s="473"/>
      <c r="D21" s="474"/>
      <c r="E21" s="474"/>
      <c r="F21" s="474"/>
      <c r="G21" s="474"/>
      <c r="H21" s="475"/>
    </row>
    <row r="22" spans="1:8" ht="30" customHeight="1">
      <c r="A22" s="449">
        <f t="shared" si="0"/>
        <v>8</v>
      </c>
      <c r="B22" s="476"/>
      <c r="C22" s="473"/>
      <c r="D22" s="474"/>
      <c r="E22" s="474"/>
      <c r="F22" s="474"/>
      <c r="G22" s="474"/>
      <c r="H22" s="475"/>
    </row>
    <row r="23" spans="1:8" ht="30" customHeight="1">
      <c r="A23" s="449">
        <f t="shared" si="0"/>
        <v>9</v>
      </c>
      <c r="B23" s="476"/>
      <c r="C23" s="473"/>
      <c r="D23" s="474"/>
      <c r="E23" s="474"/>
      <c r="F23" s="474"/>
      <c r="G23" s="474"/>
      <c r="H23" s="475"/>
    </row>
    <row r="24" spans="1:8" ht="30" customHeight="1">
      <c r="A24" s="449">
        <f t="shared" si="0"/>
        <v>10</v>
      </c>
      <c r="B24" s="476"/>
      <c r="C24" s="473"/>
      <c r="D24" s="474"/>
      <c r="E24" s="474"/>
      <c r="F24" s="474"/>
      <c r="G24" s="474"/>
      <c r="H24" s="475"/>
    </row>
    <row r="25" spans="1:8" ht="30" customHeight="1">
      <c r="A25" s="449">
        <f t="shared" si="0"/>
        <v>11</v>
      </c>
      <c r="B25" s="476"/>
      <c r="C25" s="473"/>
      <c r="D25" s="474"/>
      <c r="E25" s="474"/>
      <c r="F25" s="474"/>
      <c r="G25" s="474"/>
      <c r="H25" s="475"/>
    </row>
    <row r="26" spans="1:8" ht="30" customHeight="1">
      <c r="A26" s="449">
        <f t="shared" si="0"/>
        <v>12</v>
      </c>
      <c r="B26" s="476" t="s">
        <v>1036</v>
      </c>
      <c r="C26" s="473"/>
      <c r="D26" s="477"/>
      <c r="E26" s="474"/>
      <c r="F26" s="474"/>
      <c r="G26" s="474"/>
      <c r="H26" s="475"/>
    </row>
    <row r="27" spans="1:8" ht="30" customHeight="1">
      <c r="A27" s="449">
        <f t="shared" si="0"/>
        <v>13</v>
      </c>
      <c r="B27" s="476" t="s">
        <v>1037</v>
      </c>
      <c r="C27" s="473"/>
      <c r="D27" s="474"/>
      <c r="E27" s="474"/>
      <c r="F27" s="474"/>
      <c r="G27" s="474"/>
      <c r="H27" s="475"/>
    </row>
    <row r="28" spans="1:8" ht="30" customHeight="1">
      <c r="A28" s="449">
        <f t="shared" si="0"/>
        <v>14</v>
      </c>
      <c r="B28" s="478" t="s">
        <v>920</v>
      </c>
      <c r="C28" s="773">
        <f>E28</f>
        <v>0</v>
      </c>
      <c r="D28" s="773"/>
      <c r="E28" s="773">
        <v>0</v>
      </c>
      <c r="F28" s="479"/>
      <c r="G28" s="479"/>
      <c r="H28" s="480" t="s">
        <v>921</v>
      </c>
    </row>
    <row r="29" spans="1:8" ht="20.25" customHeight="1">
      <c r="A29" s="449">
        <f t="shared" si="0"/>
        <v>15</v>
      </c>
      <c r="B29" s="481" t="s">
        <v>939</v>
      </c>
      <c r="C29" s="482">
        <f>SUBTOTAL(9,C19:C28)</f>
        <v>0</v>
      </c>
      <c r="D29" s="482">
        <f>SUM(D19:D28)</f>
        <v>0</v>
      </c>
      <c r="E29" s="482">
        <f>SUM(E19:E28)</f>
        <v>0</v>
      </c>
      <c r="F29" s="482">
        <f>SUM(F19:F28)</f>
        <v>0</v>
      </c>
      <c r="G29" s="482">
        <f>SUM(G19:G28)</f>
        <v>0</v>
      </c>
      <c r="H29" s="483"/>
    </row>
    <row r="30" spans="1:8" ht="20.25" customHeight="1">
      <c r="A30" s="449">
        <f t="shared" si="0"/>
        <v>16</v>
      </c>
      <c r="B30" s="484" t="s">
        <v>923</v>
      </c>
      <c r="C30" s="485"/>
      <c r="D30" s="485"/>
      <c r="E30" s="485"/>
      <c r="F30" s="486"/>
      <c r="G30" s="487"/>
      <c r="H30" s="475"/>
    </row>
    <row r="31" spans="1:8" ht="20.25" customHeight="1">
      <c r="A31" s="449">
        <f t="shared" si="0"/>
        <v>17</v>
      </c>
      <c r="B31" s="488" t="s">
        <v>924</v>
      </c>
      <c r="C31" s="489"/>
      <c r="D31" s="489"/>
      <c r="E31" s="489"/>
      <c r="F31" s="489"/>
      <c r="G31" s="489"/>
      <c r="H31" s="490"/>
    </row>
    <row r="32" spans="1:8" ht="20.25" customHeight="1" thickBot="1">
      <c r="A32" s="449">
        <f t="shared" si="0"/>
        <v>18</v>
      </c>
      <c r="B32" s="491" t="s">
        <v>21</v>
      </c>
      <c r="C32" s="492">
        <f>+C29-C30-C31</f>
        <v>0</v>
      </c>
      <c r="D32" s="492">
        <f>+D29-D30-D31</f>
        <v>0</v>
      </c>
      <c r="E32" s="492">
        <f>+E29-E30-E31</f>
        <v>0</v>
      </c>
      <c r="F32" s="492">
        <f>+F29-F30-F31</f>
        <v>0</v>
      </c>
      <c r="G32" s="492">
        <f>+G29-G30-G31</f>
        <v>0</v>
      </c>
      <c r="H32" s="493"/>
    </row>
    <row r="33" spans="1:8" ht="20.25" customHeight="1" thickTop="1">
      <c r="A33" s="449"/>
      <c r="B33" s="439" t="s">
        <v>925</v>
      </c>
      <c r="C33" s="452"/>
      <c r="D33" s="494"/>
      <c r="E33" s="442"/>
      <c r="G33" s="495"/>
    </row>
    <row r="34" spans="1:8" ht="20.25" customHeight="1">
      <c r="A34" s="449"/>
      <c r="B34" s="855" t="s">
        <v>926</v>
      </c>
      <c r="C34" s="855"/>
      <c r="D34" s="855"/>
      <c r="E34" s="855"/>
      <c r="F34" s="855"/>
      <c r="G34" s="855"/>
    </row>
    <row r="35" spans="1:8" ht="20.25" customHeight="1">
      <c r="A35" s="449"/>
      <c r="B35" s="459" t="s">
        <v>927</v>
      </c>
      <c r="F35" s="442"/>
      <c r="G35" s="442"/>
    </row>
    <row r="36" spans="1:8" ht="20.25" customHeight="1">
      <c r="A36" s="449"/>
      <c r="B36" s="459" t="s">
        <v>928</v>
      </c>
      <c r="F36" s="442"/>
      <c r="G36" s="442"/>
    </row>
    <row r="37" spans="1:8" ht="20.25" customHeight="1">
      <c r="A37" s="449"/>
      <c r="B37" s="459" t="s">
        <v>929</v>
      </c>
      <c r="F37" s="442"/>
      <c r="G37" s="442"/>
    </row>
    <row r="38" spans="1:8" ht="33" customHeight="1">
      <c r="A38" s="449"/>
      <c r="B38" s="855" t="s">
        <v>1002</v>
      </c>
      <c r="C38" s="855"/>
      <c r="D38" s="855"/>
      <c r="E38" s="855"/>
      <c r="F38" s="855"/>
      <c r="G38" s="855"/>
      <c r="H38" s="496"/>
    </row>
    <row r="39" spans="1:8">
      <c r="A39" s="449"/>
      <c r="B39" s="496"/>
      <c r="C39" s="496"/>
      <c r="D39" s="496"/>
      <c r="E39" s="496"/>
      <c r="F39" s="496"/>
      <c r="G39" s="496"/>
      <c r="H39" s="496"/>
    </row>
    <row r="40" spans="1:8">
      <c r="A40" s="449"/>
      <c r="B40" s="496"/>
      <c r="C40" s="496"/>
      <c r="D40" s="496"/>
      <c r="E40" s="496"/>
      <c r="F40" s="496"/>
      <c r="G40" s="496"/>
      <c r="H40" s="496"/>
    </row>
    <row r="41" spans="1:8">
      <c r="A41" s="856" t="s">
        <v>938</v>
      </c>
      <c r="B41" s="860"/>
      <c r="C41" s="860"/>
      <c r="D41" s="860"/>
      <c r="E41" s="860"/>
      <c r="F41" s="860"/>
      <c r="G41" s="860"/>
      <c r="H41" s="543" t="s">
        <v>698</v>
      </c>
    </row>
    <row r="42" spans="1:8">
      <c r="A42" s="852" t="str">
        <f>'Attachment O'!$K$3</f>
        <v>For the 12 months ended 12/31/2022</v>
      </c>
      <c r="B42" s="858"/>
      <c r="C42" s="858"/>
      <c r="D42" s="858"/>
      <c r="E42" s="858"/>
      <c r="F42" s="858"/>
      <c r="G42" s="858"/>
      <c r="H42" s="858"/>
    </row>
    <row r="43" spans="1:8">
      <c r="A43" s="449"/>
      <c r="B43" s="508"/>
      <c r="C43" s="508"/>
      <c r="D43" s="508"/>
      <c r="E43" s="508"/>
      <c r="F43" s="508"/>
      <c r="G43" s="508"/>
      <c r="H43" s="508"/>
    </row>
    <row r="44" spans="1:8">
      <c r="A44" s="449"/>
      <c r="B44" s="442" t="s">
        <v>340</v>
      </c>
      <c r="C44" s="442" t="s">
        <v>341</v>
      </c>
      <c r="D44" s="442" t="s">
        <v>342</v>
      </c>
      <c r="E44" s="442" t="s">
        <v>343</v>
      </c>
      <c r="F44" s="442" t="s">
        <v>344</v>
      </c>
      <c r="G44" s="442" t="s">
        <v>345</v>
      </c>
      <c r="H44" s="442" t="s">
        <v>347</v>
      </c>
    </row>
    <row r="45" spans="1:8" ht="31.5">
      <c r="A45" s="449"/>
      <c r="B45" s="459" t="s">
        <v>879</v>
      </c>
      <c r="C45" s="471" t="s">
        <v>21</v>
      </c>
      <c r="D45" s="471" t="s">
        <v>918</v>
      </c>
      <c r="E45" s="471" t="s">
        <v>859</v>
      </c>
      <c r="F45" s="471" t="s">
        <v>860</v>
      </c>
      <c r="G45" s="471" t="s">
        <v>861</v>
      </c>
      <c r="H45" s="471" t="s">
        <v>919</v>
      </c>
    </row>
    <row r="46" spans="1:8" ht="30" customHeight="1">
      <c r="A46" s="449">
        <f>A32+1</f>
        <v>19</v>
      </c>
      <c r="B46" s="476"/>
      <c r="C46" s="473"/>
      <c r="D46" s="474"/>
      <c r="E46" s="474"/>
      <c r="F46" s="474"/>
      <c r="G46" s="474"/>
      <c r="H46" s="475"/>
    </row>
    <row r="47" spans="1:8" ht="30" customHeight="1">
      <c r="A47" s="449">
        <f t="shared" ref="A47:A57" si="1">+A46+1</f>
        <v>20</v>
      </c>
      <c r="B47" s="476"/>
      <c r="C47" s="473"/>
      <c r="D47" s="474"/>
      <c r="E47" s="474"/>
      <c r="F47" s="474"/>
      <c r="G47" s="474"/>
      <c r="H47" s="475"/>
    </row>
    <row r="48" spans="1:8" ht="30" customHeight="1">
      <c r="A48" s="449">
        <f t="shared" si="1"/>
        <v>21</v>
      </c>
      <c r="B48" s="476"/>
      <c r="C48" s="473"/>
      <c r="D48" s="474"/>
      <c r="E48" s="474"/>
      <c r="F48" s="474"/>
      <c r="G48" s="474"/>
      <c r="H48" s="475"/>
    </row>
    <row r="49" spans="1:8" ht="30" customHeight="1">
      <c r="A49" s="449">
        <f t="shared" si="1"/>
        <v>22</v>
      </c>
      <c r="B49" s="476"/>
      <c r="C49" s="473"/>
      <c r="D49" s="474"/>
      <c r="E49" s="474"/>
      <c r="F49" s="474"/>
      <c r="G49" s="474"/>
      <c r="H49" s="475"/>
    </row>
    <row r="50" spans="1:8" ht="30" customHeight="1">
      <c r="A50" s="449">
        <f t="shared" si="1"/>
        <v>23</v>
      </c>
      <c r="B50" s="476"/>
      <c r="C50" s="474"/>
      <c r="D50" s="474"/>
      <c r="E50" s="474"/>
      <c r="F50" s="474"/>
      <c r="G50" s="474"/>
      <c r="H50" s="475"/>
    </row>
    <row r="51" spans="1:8" ht="30" customHeight="1">
      <c r="A51" s="449">
        <f t="shared" si="1"/>
        <v>24</v>
      </c>
      <c r="B51" s="476" t="s">
        <v>1038</v>
      </c>
      <c r="C51" s="474"/>
      <c r="D51" s="474"/>
      <c r="E51" s="474"/>
      <c r="F51" s="474"/>
      <c r="G51" s="474"/>
      <c r="H51" s="475"/>
    </row>
    <row r="52" spans="1:8" ht="30" customHeight="1">
      <c r="A52" s="449">
        <f t="shared" si="1"/>
        <v>25</v>
      </c>
      <c r="B52" s="602" t="s">
        <v>1039</v>
      </c>
      <c r="C52" s="497"/>
      <c r="D52" s="497"/>
      <c r="E52" s="497"/>
      <c r="F52" s="497"/>
      <c r="G52" s="497"/>
      <c r="H52" s="475"/>
    </row>
    <row r="53" spans="1:8" ht="30" customHeight="1">
      <c r="A53" s="449">
        <f t="shared" si="1"/>
        <v>26</v>
      </c>
      <c r="B53" s="478" t="s">
        <v>931</v>
      </c>
      <c r="C53" s="774">
        <f>E53</f>
        <v>-519256.30502628849</v>
      </c>
      <c r="D53" s="774"/>
      <c r="E53" s="774">
        <v>-519256.30502628849</v>
      </c>
      <c r="F53" s="498"/>
      <c r="G53" s="498"/>
      <c r="H53" s="480" t="s">
        <v>921</v>
      </c>
    </row>
    <row r="54" spans="1:8" ht="20.25" customHeight="1">
      <c r="A54" s="449">
        <f t="shared" si="1"/>
        <v>27</v>
      </c>
      <c r="B54" s="499" t="s">
        <v>940</v>
      </c>
      <c r="C54" s="482">
        <f>SUBTOTAL(9,C46:C53)</f>
        <v>-519256.30502628849</v>
      </c>
      <c r="D54" s="482">
        <f>SUM(D46:D53)</f>
        <v>0</v>
      </c>
      <c r="E54" s="482">
        <f>SUM(E46:E53)</f>
        <v>-519256.30502628849</v>
      </c>
      <c r="F54" s="482">
        <f>SUM(F46:F53)</f>
        <v>0</v>
      </c>
      <c r="G54" s="482">
        <f>SUM(G46:G53)</f>
        <v>0</v>
      </c>
      <c r="H54" s="483"/>
    </row>
    <row r="55" spans="1:8" ht="20.25" customHeight="1">
      <c r="A55" s="449">
        <f t="shared" si="1"/>
        <v>28</v>
      </c>
      <c r="B55" s="499" t="s">
        <v>923</v>
      </c>
      <c r="C55" s="485"/>
      <c r="D55" s="485"/>
      <c r="E55" s="485"/>
      <c r="F55" s="485"/>
      <c r="G55" s="485"/>
      <c r="H55" s="475"/>
    </row>
    <row r="56" spans="1:8" ht="20.25" customHeight="1">
      <c r="A56" s="449">
        <f t="shared" si="1"/>
        <v>29</v>
      </c>
      <c r="B56" s="500" t="s">
        <v>924</v>
      </c>
      <c r="C56" s="489"/>
      <c r="D56" s="489"/>
      <c r="E56" s="489"/>
      <c r="F56" s="489"/>
      <c r="G56" s="489"/>
      <c r="H56" s="490"/>
    </row>
    <row r="57" spans="1:8" ht="20.25" customHeight="1" thickBot="1">
      <c r="A57" s="449">
        <f t="shared" si="1"/>
        <v>30</v>
      </c>
      <c r="B57" s="491" t="s">
        <v>21</v>
      </c>
      <c r="C57" s="492">
        <f>+C54-C55-C56</f>
        <v>-519256.30502628849</v>
      </c>
      <c r="D57" s="492">
        <f>+D54-D55-D56</f>
        <v>0</v>
      </c>
      <c r="E57" s="492">
        <f>+E54-E55-E56</f>
        <v>-519256.30502628849</v>
      </c>
      <c r="F57" s="492">
        <f>+F54-F55-F56</f>
        <v>0</v>
      </c>
      <c r="G57" s="492">
        <f>+G54-G55-G56</f>
        <v>0</v>
      </c>
      <c r="H57" s="493"/>
    </row>
    <row r="58" spans="1:8" ht="20.25" customHeight="1" thickTop="1">
      <c r="A58" s="449"/>
      <c r="B58" s="439" t="s">
        <v>933</v>
      </c>
      <c r="D58" s="442"/>
      <c r="E58" s="494"/>
      <c r="G58" s="496"/>
    </row>
    <row r="59" spans="1:8" ht="20.25" customHeight="1">
      <c r="A59" s="449"/>
      <c r="B59" s="855" t="s">
        <v>926</v>
      </c>
      <c r="C59" s="855"/>
      <c r="D59" s="855"/>
      <c r="E59" s="855"/>
      <c r="F59" s="855"/>
      <c r="G59" s="855"/>
    </row>
    <row r="60" spans="1:8" ht="20.25" customHeight="1">
      <c r="A60" s="449"/>
      <c r="B60" s="459" t="s">
        <v>927</v>
      </c>
      <c r="F60" s="442"/>
      <c r="G60" s="442"/>
    </row>
    <row r="61" spans="1:8" ht="20.25" customHeight="1">
      <c r="A61" s="449"/>
      <c r="B61" s="459" t="s">
        <v>928</v>
      </c>
      <c r="F61" s="442"/>
      <c r="G61" s="442"/>
    </row>
    <row r="62" spans="1:8" ht="20.25" customHeight="1">
      <c r="A62" s="449"/>
      <c r="B62" s="459" t="s">
        <v>929</v>
      </c>
      <c r="F62" s="442"/>
      <c r="G62" s="442"/>
    </row>
    <row r="63" spans="1:8" ht="33.75" customHeight="1">
      <c r="A63" s="449"/>
      <c r="B63" s="855" t="s">
        <v>1001</v>
      </c>
      <c r="C63" s="855"/>
      <c r="D63" s="855"/>
      <c r="E63" s="855"/>
      <c r="F63" s="855"/>
      <c r="G63" s="855"/>
      <c r="H63" s="496"/>
    </row>
    <row r="64" spans="1:8">
      <c r="A64" s="449"/>
      <c r="H64" s="496"/>
    </row>
    <row r="65" spans="1:10">
      <c r="A65" s="449"/>
      <c r="B65" s="442" t="s">
        <v>340</v>
      </c>
      <c r="C65" s="442" t="s">
        <v>341</v>
      </c>
      <c r="D65" s="442" t="s">
        <v>342</v>
      </c>
      <c r="E65" s="442" t="s">
        <v>343</v>
      </c>
      <c r="F65" s="442" t="s">
        <v>344</v>
      </c>
      <c r="G65" s="442" t="s">
        <v>345</v>
      </c>
      <c r="H65" s="442" t="s">
        <v>347</v>
      </c>
    </row>
    <row r="66" spans="1:10" ht="31.5">
      <c r="A66" s="449"/>
      <c r="B66" s="459" t="s">
        <v>884</v>
      </c>
      <c r="C66" s="471" t="s">
        <v>21</v>
      </c>
      <c r="D66" s="471" t="s">
        <v>918</v>
      </c>
      <c r="E66" s="471" t="s">
        <v>859</v>
      </c>
      <c r="F66" s="471" t="s">
        <v>860</v>
      </c>
      <c r="G66" s="471" t="s">
        <v>861</v>
      </c>
      <c r="H66" s="471" t="s">
        <v>919</v>
      </c>
    </row>
    <row r="67" spans="1:10" ht="30" customHeight="1">
      <c r="A67" s="449">
        <f>A57+1</f>
        <v>31</v>
      </c>
      <c r="B67" s="501"/>
      <c r="C67" s="473"/>
      <c r="D67" s="474"/>
      <c r="E67" s="474"/>
      <c r="F67" s="474"/>
      <c r="G67" s="474"/>
      <c r="H67" s="475"/>
    </row>
    <row r="68" spans="1:10" ht="30" customHeight="1">
      <c r="A68" s="449">
        <f t="shared" ref="A68:A80" si="2">+A67+1</f>
        <v>32</v>
      </c>
      <c r="B68" s="476"/>
      <c r="C68" s="473"/>
      <c r="D68" s="474"/>
      <c r="E68" s="474"/>
      <c r="F68" s="474"/>
      <c r="G68" s="474"/>
      <c r="H68" s="475"/>
      <c r="J68" s="502"/>
    </row>
    <row r="69" spans="1:10" ht="30" customHeight="1">
      <c r="A69" s="449">
        <f t="shared" si="2"/>
        <v>33</v>
      </c>
      <c r="B69" s="476"/>
      <c r="C69" s="473"/>
      <c r="D69" s="474"/>
      <c r="E69" s="474"/>
      <c r="F69" s="474"/>
      <c r="G69" s="474"/>
      <c r="H69" s="475"/>
    </row>
    <row r="70" spans="1:10" ht="30" customHeight="1">
      <c r="A70" s="449">
        <f t="shared" si="2"/>
        <v>34</v>
      </c>
      <c r="B70" s="476"/>
      <c r="C70" s="473"/>
      <c r="D70" s="474"/>
      <c r="E70" s="474"/>
      <c r="F70" s="474"/>
      <c r="G70" s="474"/>
      <c r="H70" s="475"/>
    </row>
    <row r="71" spans="1:10" ht="30" customHeight="1">
      <c r="A71" s="449">
        <f t="shared" si="2"/>
        <v>35</v>
      </c>
      <c r="B71" s="476"/>
      <c r="C71" s="474"/>
      <c r="D71" s="497"/>
      <c r="E71" s="474"/>
      <c r="F71" s="474"/>
      <c r="G71" s="474"/>
      <c r="H71" s="475"/>
    </row>
    <row r="72" spans="1:10" ht="30" customHeight="1">
      <c r="A72" s="449">
        <f t="shared" si="2"/>
        <v>36</v>
      </c>
      <c r="B72" s="476"/>
      <c r="C72" s="474"/>
      <c r="D72" s="497"/>
      <c r="E72" s="474"/>
      <c r="F72" s="474"/>
      <c r="G72" s="474"/>
      <c r="H72" s="475"/>
    </row>
    <row r="73" spans="1:10" ht="30" customHeight="1">
      <c r="A73" s="449">
        <f t="shared" si="2"/>
        <v>37</v>
      </c>
      <c r="B73" s="476"/>
      <c r="C73" s="474"/>
      <c r="D73" s="497"/>
      <c r="E73" s="474"/>
      <c r="F73" s="474"/>
      <c r="G73" s="474"/>
      <c r="H73" s="475"/>
    </row>
    <row r="74" spans="1:10" ht="30" customHeight="1">
      <c r="A74" s="449">
        <f t="shared" si="2"/>
        <v>38</v>
      </c>
      <c r="B74" s="476" t="s">
        <v>1040</v>
      </c>
      <c r="C74" s="474"/>
      <c r="D74" s="477"/>
      <c r="E74" s="474"/>
      <c r="F74" s="474"/>
      <c r="G74" s="474"/>
      <c r="H74" s="475"/>
    </row>
    <row r="75" spans="1:10" ht="30" customHeight="1">
      <c r="A75" s="449">
        <f t="shared" si="2"/>
        <v>39</v>
      </c>
      <c r="B75" s="476" t="s">
        <v>1041</v>
      </c>
      <c r="C75" s="474"/>
      <c r="D75" s="474"/>
      <c r="E75" s="474"/>
      <c r="F75" s="474"/>
      <c r="G75" s="474"/>
      <c r="H75" s="475"/>
    </row>
    <row r="76" spans="1:10" ht="30" customHeight="1">
      <c r="A76" s="449">
        <f t="shared" si="2"/>
        <v>40</v>
      </c>
      <c r="B76" s="478" t="s">
        <v>935</v>
      </c>
      <c r="C76" s="774">
        <f>E76</f>
        <v>0</v>
      </c>
      <c r="D76" s="774"/>
      <c r="E76" s="774">
        <v>0</v>
      </c>
      <c r="F76" s="498"/>
      <c r="G76" s="498"/>
      <c r="H76" s="480" t="s">
        <v>921</v>
      </c>
    </row>
    <row r="77" spans="1:10" ht="20.25" customHeight="1">
      <c r="A77" s="449">
        <f t="shared" si="2"/>
        <v>41</v>
      </c>
      <c r="B77" s="481" t="s">
        <v>941</v>
      </c>
      <c r="C77" s="482">
        <f>SUBTOTAL(9,C67:C76)</f>
        <v>0</v>
      </c>
      <c r="D77" s="482">
        <f>SUM(D67:D76)</f>
        <v>0</v>
      </c>
      <c r="E77" s="482">
        <f>SUM(E67:E76)</f>
        <v>0</v>
      </c>
      <c r="F77" s="482">
        <f>SUM(F67:F76)</f>
        <v>0</v>
      </c>
      <c r="G77" s="482">
        <f>SUM(G67:G76)</f>
        <v>0</v>
      </c>
      <c r="H77" s="475"/>
    </row>
    <row r="78" spans="1:10" ht="20.25" customHeight="1">
      <c r="A78" s="449">
        <f t="shared" si="2"/>
        <v>42</v>
      </c>
      <c r="B78" s="481" t="s">
        <v>923</v>
      </c>
      <c r="C78" s="486"/>
      <c r="D78" s="486"/>
      <c r="E78" s="486"/>
      <c r="F78" s="486"/>
      <c r="G78" s="486"/>
      <c r="H78" s="475"/>
    </row>
    <row r="79" spans="1:10" ht="20.25" customHeight="1">
      <c r="A79" s="449">
        <f t="shared" si="2"/>
        <v>43</v>
      </c>
      <c r="B79" s="503" t="s">
        <v>924</v>
      </c>
      <c r="C79" s="504"/>
      <c r="D79" s="504"/>
      <c r="E79" s="504"/>
      <c r="F79" s="504"/>
      <c r="G79" s="504"/>
      <c r="H79" s="490"/>
    </row>
    <row r="80" spans="1:10" ht="20.25" customHeight="1" thickBot="1">
      <c r="A80" s="449">
        <f t="shared" si="2"/>
        <v>44</v>
      </c>
      <c r="B80" s="491" t="s">
        <v>21</v>
      </c>
      <c r="C80" s="505">
        <f>+C77-C78-C79</f>
        <v>0</v>
      </c>
      <c r="D80" s="505">
        <f>+D77-D78-D79</f>
        <v>0</v>
      </c>
      <c r="E80" s="505">
        <f>+E77-E78-E79</f>
        <v>0</v>
      </c>
      <c r="F80" s="505">
        <f>+F77-F78-F79</f>
        <v>0</v>
      </c>
      <c r="G80" s="505">
        <f>+G77-G78-G79</f>
        <v>0</v>
      </c>
      <c r="H80" s="493"/>
    </row>
    <row r="81" spans="1:9" ht="20.25" customHeight="1" thickTop="1">
      <c r="A81" s="449"/>
      <c r="B81" s="439" t="s">
        <v>937</v>
      </c>
      <c r="E81" s="442"/>
      <c r="F81" s="442"/>
      <c r="H81" s="506"/>
    </row>
    <row r="82" spans="1:9" ht="20.25" customHeight="1">
      <c r="A82" s="449"/>
      <c r="B82" s="855" t="s">
        <v>926</v>
      </c>
      <c r="C82" s="855"/>
      <c r="D82" s="855"/>
      <c r="E82" s="855"/>
      <c r="F82" s="855"/>
      <c r="G82" s="855"/>
    </row>
    <row r="83" spans="1:9" ht="20.25" customHeight="1">
      <c r="A83" s="449"/>
      <c r="B83" s="459" t="s">
        <v>927</v>
      </c>
      <c r="F83" s="442"/>
      <c r="G83" s="442"/>
    </row>
    <row r="84" spans="1:9" ht="20.25" customHeight="1">
      <c r="A84" s="449"/>
      <c r="B84" s="459" t="s">
        <v>928</v>
      </c>
      <c r="F84" s="442"/>
      <c r="G84" s="442"/>
    </row>
    <row r="85" spans="1:9" ht="20.25" customHeight="1">
      <c r="A85" s="449"/>
      <c r="B85" s="459" t="s">
        <v>929</v>
      </c>
      <c r="F85" s="442"/>
      <c r="G85" s="442"/>
    </row>
    <row r="86" spans="1:9" ht="32.25" customHeight="1">
      <c r="A86" s="449"/>
      <c r="B86" s="855" t="s">
        <v>1001</v>
      </c>
      <c r="C86" s="855"/>
      <c r="D86" s="855"/>
      <c r="E86" s="855"/>
      <c r="F86" s="855"/>
      <c r="G86" s="855"/>
    </row>
    <row r="88" spans="1:9" ht="15.75" customHeight="1">
      <c r="B88" s="507"/>
      <c r="C88" s="507"/>
      <c r="D88" s="507"/>
      <c r="E88" s="507"/>
      <c r="F88" s="507"/>
      <c r="G88" s="507"/>
      <c r="H88" s="507"/>
    </row>
    <row r="89" spans="1:9">
      <c r="B89" s="852"/>
      <c r="C89" s="852"/>
      <c r="D89" s="852"/>
      <c r="E89" s="852"/>
      <c r="F89" s="852"/>
      <c r="G89" s="852"/>
      <c r="H89" s="852"/>
    </row>
    <row r="90" spans="1:9">
      <c r="B90" s="439"/>
    </row>
    <row r="91" spans="1:9">
      <c r="B91" s="439"/>
    </row>
    <row r="92" spans="1:9" ht="15.75" customHeight="1">
      <c r="B92" s="439"/>
    </row>
    <row r="93" spans="1:9">
      <c r="B93" s="439"/>
      <c r="D93" s="465"/>
      <c r="E93" s="465"/>
      <c r="F93" s="465"/>
      <c r="G93" s="465"/>
      <c r="H93" s="465"/>
      <c r="I93" s="466"/>
    </row>
    <row r="94" spans="1:9">
      <c r="B94" s="439"/>
      <c r="D94" s="465"/>
      <c r="E94" s="465"/>
      <c r="F94" s="465"/>
      <c r="G94" s="465"/>
      <c r="H94" s="465"/>
      <c r="I94" s="466"/>
    </row>
    <row r="95" spans="1:9">
      <c r="D95" s="442"/>
      <c r="E95" s="442"/>
    </row>
    <row r="96" spans="1:9">
      <c r="D96" s="451"/>
      <c r="E96" s="451"/>
    </row>
    <row r="97" spans="2:5">
      <c r="D97" s="451"/>
      <c r="E97" s="451"/>
    </row>
    <row r="98" spans="2:5">
      <c r="D98" s="451"/>
      <c r="E98" s="451"/>
    </row>
    <row r="99" spans="2:5">
      <c r="D99" s="451"/>
      <c r="E99" s="451"/>
    </row>
    <row r="100" spans="2:5">
      <c r="D100" s="451"/>
      <c r="E100" s="451"/>
    </row>
    <row r="101" spans="2:5">
      <c r="D101" s="451"/>
      <c r="E101" s="451"/>
    </row>
    <row r="102" spans="2:5">
      <c r="D102" s="451"/>
      <c r="E102" s="451"/>
    </row>
    <row r="103" spans="2:5">
      <c r="D103" s="451"/>
      <c r="E103" s="451"/>
    </row>
    <row r="104" spans="2:5">
      <c r="D104" s="451"/>
      <c r="E104" s="451"/>
    </row>
    <row r="105" spans="2:5">
      <c r="D105" s="451"/>
      <c r="E105" s="451"/>
    </row>
    <row r="106" spans="2:5">
      <c r="B106" s="439"/>
      <c r="D106" s="451"/>
      <c r="E106" s="451"/>
    </row>
    <row r="107" spans="2:5">
      <c r="D107" s="451"/>
      <c r="E107" s="451"/>
    </row>
    <row r="108" spans="2:5">
      <c r="B108" s="439"/>
      <c r="D108" s="451"/>
      <c r="E108" s="451"/>
    </row>
    <row r="212" spans="9:9">
      <c r="I212" s="467"/>
    </row>
  </sheetData>
  <mergeCells count="13">
    <mergeCell ref="B38:G38"/>
    <mergeCell ref="A41:G41"/>
    <mergeCell ref="A1:G1"/>
    <mergeCell ref="A42:H42"/>
    <mergeCell ref="B2:H2"/>
    <mergeCell ref="B3:H3"/>
    <mergeCell ref="B15:H15"/>
    <mergeCell ref="B34:G34"/>
    <mergeCell ref="B59:G59"/>
    <mergeCell ref="B63:G63"/>
    <mergeCell ref="B82:G82"/>
    <mergeCell ref="B86:G86"/>
    <mergeCell ref="B89:H89"/>
  </mergeCells>
  <printOptions horizontalCentered="1"/>
  <pageMargins left="0.5" right="0.5" top="0.5" bottom="0.5" header="0.33" footer="0.5"/>
  <pageSetup scale="47" fitToHeight="0" orientation="landscape" r:id="rId1"/>
  <headerFooter alignWithMargins="0"/>
  <rowBreaks count="1" manualBreakCount="1">
    <brk id="39"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E70D4-57ED-4CD0-A244-E268282E142B}">
  <sheetPr>
    <pageSetUpPr fitToPage="1"/>
  </sheetPr>
  <dimension ref="A1:T152"/>
  <sheetViews>
    <sheetView zoomScale="80" zoomScaleNormal="80" zoomScaleSheetLayoutView="70" workbookViewId="0">
      <selection activeCell="E25" sqref="E25"/>
    </sheetView>
  </sheetViews>
  <sheetFormatPr defaultColWidth="8.88671875" defaultRowHeight="15.75"/>
  <cols>
    <col min="1" max="1" width="5.5546875" style="439" customWidth="1"/>
    <col min="2" max="2" width="35.6640625" style="459" customWidth="1"/>
    <col min="3" max="3" width="10.5546875" style="439" bestFit="1" customWidth="1"/>
    <col min="4" max="4" width="9.88671875" style="439" bestFit="1" customWidth="1"/>
    <col min="5" max="5" width="16.109375" style="439" customWidth="1"/>
    <col min="6" max="6" width="12" style="439" customWidth="1"/>
    <col min="7" max="7" width="11.88671875" style="439" customWidth="1"/>
    <col min="8" max="8" width="14" style="440" customWidth="1"/>
    <col min="9" max="9" width="33.5546875" style="440" customWidth="1"/>
    <col min="10" max="10" width="8.88671875" style="440"/>
    <col min="11" max="11" width="12" style="440" customWidth="1"/>
    <col min="12" max="12" width="12.88671875" style="440" customWidth="1"/>
    <col min="13" max="16384" width="8.88671875" style="440"/>
  </cols>
  <sheetData>
    <row r="1" spans="1:20" ht="18" customHeight="1">
      <c r="A1" s="852" t="s">
        <v>942</v>
      </c>
      <c r="B1" s="852"/>
      <c r="C1" s="852"/>
      <c r="D1" s="852"/>
      <c r="E1" s="852"/>
      <c r="F1" s="852"/>
      <c r="G1" s="852"/>
      <c r="H1" s="852"/>
      <c r="I1" s="852"/>
      <c r="J1" s="439"/>
      <c r="K1" s="439"/>
      <c r="L1" s="439"/>
    </row>
    <row r="2" spans="1:20" ht="18" customHeight="1">
      <c r="A2" s="853" t="str">
        <f>+'Attachment O'!D5</f>
        <v>GridLiance Heartland LLC</v>
      </c>
      <c r="B2" s="853"/>
      <c r="C2" s="853"/>
      <c r="D2" s="853"/>
      <c r="E2" s="853"/>
      <c r="F2" s="853"/>
      <c r="G2" s="853"/>
      <c r="H2" s="853"/>
      <c r="I2" s="853"/>
      <c r="J2" s="441"/>
      <c r="K2" s="441"/>
      <c r="L2" s="441"/>
    </row>
    <row r="3" spans="1:20" ht="18" customHeight="1">
      <c r="A3" s="852" t="str">
        <f>'Attachment O'!$K$3</f>
        <v>For the 12 months ended 12/31/2022</v>
      </c>
      <c r="B3" s="852"/>
      <c r="C3" s="852"/>
      <c r="D3" s="852"/>
      <c r="E3" s="852"/>
      <c r="F3" s="852"/>
      <c r="G3" s="852"/>
      <c r="H3" s="854"/>
      <c r="I3" s="852"/>
      <c r="J3" s="439"/>
      <c r="K3" s="439"/>
      <c r="L3" s="439"/>
    </row>
    <row r="4" spans="1:20" ht="18" customHeight="1">
      <c r="A4" s="442"/>
      <c r="B4" s="442"/>
      <c r="C4" s="442"/>
      <c r="D4" s="442"/>
      <c r="E4" s="442"/>
      <c r="F4" s="442"/>
      <c r="G4" s="442"/>
      <c r="H4" s="442"/>
      <c r="I4" s="442"/>
      <c r="J4" s="439"/>
      <c r="K4" s="439"/>
      <c r="L4" s="439"/>
    </row>
    <row r="5" spans="1:20" ht="18" customHeight="1">
      <c r="B5" s="442" t="s">
        <v>340</v>
      </c>
      <c r="C5" s="442"/>
      <c r="D5" s="443"/>
      <c r="E5" s="443" t="s">
        <v>341</v>
      </c>
      <c r="F5" s="443" t="s">
        <v>342</v>
      </c>
      <c r="G5" s="443" t="s">
        <v>343</v>
      </c>
      <c r="H5" s="443" t="s">
        <v>344</v>
      </c>
      <c r="I5" s="444"/>
    </row>
    <row r="6" spans="1:20" ht="18" customHeight="1">
      <c r="B6" s="440"/>
      <c r="C6" s="440"/>
      <c r="D6" s="440"/>
      <c r="E6" s="440"/>
      <c r="F6" s="440"/>
      <c r="G6" s="440"/>
      <c r="H6" s="443" t="s">
        <v>856</v>
      </c>
      <c r="I6" s="439"/>
      <c r="T6" s="443"/>
    </row>
    <row r="7" spans="1:20" ht="18" customHeight="1">
      <c r="A7" s="445" t="s">
        <v>857</v>
      </c>
      <c r="B7" s="445" t="s">
        <v>858</v>
      </c>
      <c r="C7" s="446"/>
      <c r="D7" s="447"/>
      <c r="E7" s="448" t="s">
        <v>859</v>
      </c>
      <c r="F7" s="448" t="s">
        <v>860</v>
      </c>
      <c r="G7" s="448" t="s">
        <v>861</v>
      </c>
      <c r="H7" s="448" t="s">
        <v>943</v>
      </c>
      <c r="I7" s="446"/>
      <c r="T7" s="443"/>
    </row>
    <row r="8" spans="1:20" ht="18" customHeight="1">
      <c r="B8" s="449"/>
      <c r="D8" s="440"/>
      <c r="H8" s="439"/>
      <c r="I8" s="439"/>
      <c r="L8" s="450"/>
    </row>
    <row r="9" spans="1:20" ht="18" customHeight="1">
      <c r="A9" s="439">
        <v>1</v>
      </c>
      <c r="B9" s="439" t="s">
        <v>879</v>
      </c>
      <c r="D9" s="440"/>
      <c r="E9" s="451">
        <f>F25</f>
        <v>210532.6352448895</v>
      </c>
      <c r="F9" s="451">
        <f t="shared" ref="F9:G9" si="0">G25</f>
        <v>0</v>
      </c>
      <c r="G9" s="451">
        <f t="shared" si="0"/>
        <v>0</v>
      </c>
      <c r="H9" s="451"/>
      <c r="I9" s="439" t="s">
        <v>863</v>
      </c>
    </row>
    <row r="10" spans="1:20" ht="18" customHeight="1">
      <c r="A10" s="439">
        <f t="shared" ref="A10:A16" si="1">+A9+1</f>
        <v>2</v>
      </c>
      <c r="B10" s="439" t="s">
        <v>884</v>
      </c>
      <c r="D10" s="440"/>
      <c r="E10" s="451">
        <f>F31</f>
        <v>0</v>
      </c>
      <c r="F10" s="451">
        <f>G31</f>
        <v>0</v>
      </c>
      <c r="G10" s="451">
        <f>H31</f>
        <v>0</v>
      </c>
      <c r="H10" s="451"/>
      <c r="I10" s="439" t="s">
        <v>865</v>
      </c>
    </row>
    <row r="11" spans="1:20" ht="18" customHeight="1">
      <c r="A11" s="439">
        <f t="shared" si="1"/>
        <v>3</v>
      </c>
      <c r="B11" s="439" t="s">
        <v>866</v>
      </c>
      <c r="D11" s="440"/>
      <c r="E11" s="451">
        <f>F37</f>
        <v>0</v>
      </c>
      <c r="F11" s="451">
        <f>G37</f>
        <v>0</v>
      </c>
      <c r="G11" s="451">
        <f>H37</f>
        <v>0</v>
      </c>
      <c r="H11" s="451"/>
      <c r="I11" s="439" t="s">
        <v>944</v>
      </c>
    </row>
    <row r="12" spans="1:20" ht="18" customHeight="1">
      <c r="A12" s="439">
        <f t="shared" si="1"/>
        <v>4</v>
      </c>
      <c r="B12" s="439" t="s">
        <v>915</v>
      </c>
      <c r="D12" s="440"/>
      <c r="E12" s="451">
        <f>SUM(E9:E11)</f>
        <v>210532.6352448895</v>
      </c>
      <c r="F12" s="451">
        <f>SUM(F9:F11)</f>
        <v>0</v>
      </c>
      <c r="G12" s="451">
        <f>SUM(G9:G11)</f>
        <v>0</v>
      </c>
      <c r="H12" s="451"/>
      <c r="I12" s="452" t="s">
        <v>869</v>
      </c>
    </row>
    <row r="13" spans="1:20" ht="18" customHeight="1">
      <c r="A13" s="439">
        <f t="shared" si="1"/>
        <v>5</v>
      </c>
      <c r="B13" s="439" t="s">
        <v>945</v>
      </c>
      <c r="D13" s="440"/>
      <c r="G13" s="453">
        <f>+'Attachment O'!I219</f>
        <v>0.83165890028977185</v>
      </c>
      <c r="H13" s="439"/>
      <c r="I13" s="439" t="s">
        <v>871</v>
      </c>
    </row>
    <row r="14" spans="1:20" ht="18" customHeight="1">
      <c r="A14" s="439">
        <f t="shared" si="1"/>
        <v>6</v>
      </c>
      <c r="B14" s="439" t="s">
        <v>872</v>
      </c>
      <c r="D14" s="440"/>
      <c r="F14" s="454">
        <f>+'Attachment O'!G70</f>
        <v>0.83165890028977185</v>
      </c>
      <c r="H14" s="439"/>
      <c r="I14" s="439" t="s">
        <v>873</v>
      </c>
    </row>
    <row r="15" spans="1:20" ht="18" customHeight="1">
      <c r="A15" s="439">
        <f t="shared" si="1"/>
        <v>7</v>
      </c>
      <c r="B15" s="439" t="s">
        <v>874</v>
      </c>
      <c r="D15" s="440"/>
      <c r="E15" s="454">
        <v>1</v>
      </c>
      <c r="F15" s="454"/>
      <c r="H15" s="439"/>
      <c r="I15" s="455">
        <v>1</v>
      </c>
    </row>
    <row r="16" spans="1:20" ht="18" customHeight="1">
      <c r="A16" s="439">
        <f t="shared" si="1"/>
        <v>8</v>
      </c>
      <c r="B16" s="439" t="s">
        <v>946</v>
      </c>
      <c r="D16" s="440"/>
      <c r="E16" s="451">
        <f>+E12*E15</f>
        <v>210532.6352448895</v>
      </c>
      <c r="F16" s="451">
        <f>+F14*F12</f>
        <v>0</v>
      </c>
      <c r="G16" s="451">
        <f>+G13*G12</f>
        <v>0</v>
      </c>
      <c r="H16" s="451">
        <f>+E16+F16+G16</f>
        <v>210532.6352448895</v>
      </c>
      <c r="I16" s="456" t="s">
        <v>876</v>
      </c>
    </row>
    <row r="17" spans="1:17" ht="18" customHeight="1">
      <c r="B17" s="439"/>
      <c r="D17" s="440"/>
      <c r="E17" s="451"/>
      <c r="F17" s="451"/>
      <c r="G17" s="451"/>
      <c r="H17" s="451"/>
      <c r="I17" s="456"/>
    </row>
    <row r="18" spans="1:17" ht="18" customHeight="1">
      <c r="B18" s="439"/>
      <c r="D18" s="452"/>
      <c r="G18" s="451"/>
      <c r="I18" s="443"/>
    </row>
    <row r="19" spans="1:17" ht="18" customHeight="1">
      <c r="B19" s="442" t="s">
        <v>329</v>
      </c>
      <c r="C19" s="442" t="s">
        <v>330</v>
      </c>
      <c r="D19" s="442" t="s">
        <v>331</v>
      </c>
      <c r="E19" s="442" t="s">
        <v>332</v>
      </c>
      <c r="F19" s="442" t="s">
        <v>653</v>
      </c>
      <c r="G19" s="443" t="s">
        <v>654</v>
      </c>
      <c r="H19" s="443" t="s">
        <v>655</v>
      </c>
      <c r="I19" s="443"/>
    </row>
    <row r="20" spans="1:17" ht="18" customHeight="1">
      <c r="A20" s="457"/>
      <c r="B20" s="458" t="s">
        <v>877</v>
      </c>
      <c r="C20" s="458" t="s">
        <v>645</v>
      </c>
      <c r="D20" s="458" t="s">
        <v>598</v>
      </c>
      <c r="E20" s="458" t="s">
        <v>878</v>
      </c>
      <c r="F20" s="458" t="s">
        <v>859</v>
      </c>
      <c r="G20" s="458" t="s">
        <v>860</v>
      </c>
      <c r="H20" s="458" t="s">
        <v>861</v>
      </c>
      <c r="I20" s="458"/>
      <c r="Q20" s="443"/>
    </row>
    <row r="21" spans="1:17" ht="18" customHeight="1">
      <c r="A21" s="439" t="s">
        <v>879</v>
      </c>
      <c r="D21" s="442"/>
      <c r="E21" s="442"/>
      <c r="F21" s="442"/>
      <c r="G21" s="440"/>
      <c r="Q21" s="443"/>
    </row>
    <row r="22" spans="1:17" ht="18" customHeight="1">
      <c r="A22" s="449">
        <f>A16+1</f>
        <v>9</v>
      </c>
      <c r="B22" s="459" t="s">
        <v>880</v>
      </c>
      <c r="C22" s="439" t="s">
        <v>752</v>
      </c>
      <c r="D22" s="460">
        <f>'8b-ADIT Projection Proration'!D9</f>
        <v>2021</v>
      </c>
      <c r="E22" s="453">
        <f>'8c- ADIT BOY'!C54</f>
        <v>-127026.21469340209</v>
      </c>
      <c r="F22" s="453">
        <f>'8c- ADIT BOY'!E54</f>
        <v>-127026.21469340209</v>
      </c>
      <c r="G22" s="453">
        <f>'8c- ADIT BOY'!F54</f>
        <v>0</v>
      </c>
      <c r="H22" s="453">
        <f>'8c- ADIT BOY'!G54</f>
        <v>0</v>
      </c>
      <c r="I22" s="462"/>
    </row>
    <row r="23" spans="1:17" ht="18" customHeight="1">
      <c r="A23" s="449">
        <f>A22+1</f>
        <v>10</v>
      </c>
      <c r="B23" s="459" t="s">
        <v>947</v>
      </c>
      <c r="C23" s="439" t="s">
        <v>752</v>
      </c>
      <c r="D23" s="460">
        <f>D24</f>
        <v>2022</v>
      </c>
      <c r="E23" s="453">
        <f>'8d- ADIT EOY'!C57-'8d- ADIT EOY'!C53</f>
        <v>0</v>
      </c>
      <c r="F23" s="453">
        <f>'8d- ADIT EOY'!E57-'8d- ADIT EOY'!E53</f>
        <v>0</v>
      </c>
      <c r="G23" s="453">
        <f>'8d- ADIT EOY'!F57-'8d- ADIT EOY'!F53</f>
        <v>0</v>
      </c>
      <c r="H23" s="453">
        <f>'8d- ADIT EOY'!G57-'8d- ADIT EOY'!G53</f>
        <v>0</v>
      </c>
      <c r="I23" s="462"/>
    </row>
    <row r="24" spans="1:17" ht="18" customHeight="1">
      <c r="A24" s="449">
        <f>A23+1</f>
        <v>11</v>
      </c>
      <c r="B24" s="459" t="s">
        <v>948</v>
      </c>
      <c r="C24" s="439" t="s">
        <v>752</v>
      </c>
      <c r="D24" s="460">
        <f>'8b-ADIT Projection Proration'!D21</f>
        <v>2022</v>
      </c>
      <c r="E24" s="453">
        <f>'8f-ADIT True-up Proration'!F22</f>
        <v>-392230.09033288644</v>
      </c>
      <c r="F24" s="453">
        <f>'8f-ADIT True-up Proration'!N21</f>
        <v>210532.6352448895</v>
      </c>
      <c r="G24" s="453">
        <f>'8f-ADIT True-up Proration'!W21</f>
        <v>0</v>
      </c>
      <c r="H24" s="453">
        <f>'8f-ADIT True-up Proration'!AF21</f>
        <v>0</v>
      </c>
      <c r="I24" s="462"/>
    </row>
    <row r="25" spans="1:17" ht="18" customHeight="1">
      <c r="A25" s="449">
        <f>A24+1</f>
        <v>12</v>
      </c>
      <c r="B25" s="459" t="s">
        <v>949</v>
      </c>
      <c r="D25" s="510"/>
      <c r="E25" s="453">
        <f>E23+E24</f>
        <v>-392230.09033288644</v>
      </c>
      <c r="F25" s="453">
        <f>F23+F24</f>
        <v>210532.6352448895</v>
      </c>
      <c r="G25" s="453">
        <f>G23+G24</f>
        <v>0</v>
      </c>
      <c r="H25" s="453">
        <f>H23+H24</f>
        <v>0</v>
      </c>
      <c r="I25" s="462"/>
    </row>
    <row r="26" spans="1:17" ht="18" customHeight="1">
      <c r="A26" s="449"/>
      <c r="G26" s="440"/>
    </row>
    <row r="27" spans="1:17" ht="18" customHeight="1">
      <c r="A27" s="439" t="s">
        <v>884</v>
      </c>
      <c r="G27" s="440"/>
    </row>
    <row r="28" spans="1:17" ht="18" customHeight="1">
      <c r="A28" s="449">
        <f>A25+1</f>
        <v>13</v>
      </c>
      <c r="B28" s="459" t="s">
        <v>885</v>
      </c>
      <c r="C28" s="439" t="s">
        <v>752</v>
      </c>
      <c r="D28" s="460">
        <f>D22</f>
        <v>2021</v>
      </c>
      <c r="E28" s="451">
        <f>'8c- ADIT BOY'!C77</f>
        <v>0</v>
      </c>
      <c r="F28" s="451">
        <f>'8c- ADIT BOY'!E77</f>
        <v>0</v>
      </c>
      <c r="G28" s="451">
        <f>'8c- ADIT BOY'!F77</f>
        <v>0</v>
      </c>
      <c r="H28" s="451">
        <f>'8c- ADIT BOY'!G77</f>
        <v>0</v>
      </c>
      <c r="I28" s="462"/>
    </row>
    <row r="29" spans="1:17" ht="18" customHeight="1">
      <c r="A29" s="449">
        <f>A28+1</f>
        <v>14</v>
      </c>
      <c r="B29" s="459" t="s">
        <v>950</v>
      </c>
      <c r="C29" s="439" t="s">
        <v>752</v>
      </c>
      <c r="D29" s="460">
        <f t="shared" ref="D29:D30" si="2">D23</f>
        <v>2022</v>
      </c>
      <c r="E29" s="451">
        <f>'8d- ADIT EOY'!C80-'8d- ADIT EOY'!C76</f>
        <v>0</v>
      </c>
      <c r="F29" s="451">
        <f>'8d- ADIT EOY'!E80-'8d- ADIT EOY'!E76</f>
        <v>0</v>
      </c>
      <c r="G29" s="451">
        <f>'8d- ADIT EOY'!F80-'8d- ADIT EOY'!F76</f>
        <v>0</v>
      </c>
      <c r="H29" s="451">
        <f>'8d- ADIT EOY'!G80-'8d- ADIT EOY'!G76</f>
        <v>0</v>
      </c>
      <c r="I29" s="462"/>
    </row>
    <row r="30" spans="1:17" ht="18" customHeight="1">
      <c r="A30" s="449">
        <f>A29+1</f>
        <v>15</v>
      </c>
      <c r="B30" s="459" t="s">
        <v>951</v>
      </c>
      <c r="C30" s="439" t="s">
        <v>752</v>
      </c>
      <c r="D30" s="460">
        <f t="shared" si="2"/>
        <v>2022</v>
      </c>
      <c r="E30" s="451">
        <f>'8f-ADIT True-up Proration'!F38</f>
        <v>0</v>
      </c>
      <c r="F30" s="451">
        <f>'8f-ADIT True-up Proration'!N37</f>
        <v>0</v>
      </c>
      <c r="G30" s="451">
        <f>'8f-ADIT True-up Proration'!W37</f>
        <v>0</v>
      </c>
      <c r="H30" s="451">
        <f>'8f-ADIT True-up Proration'!AF37</f>
        <v>0</v>
      </c>
      <c r="I30" s="462"/>
    </row>
    <row r="31" spans="1:17" ht="18" customHeight="1">
      <c r="A31" s="449">
        <f>A30+1</f>
        <v>16</v>
      </c>
      <c r="B31" s="459" t="s">
        <v>952</v>
      </c>
      <c r="E31" s="463">
        <f>E29+E30</f>
        <v>0</v>
      </c>
      <c r="F31" s="463">
        <f>F29+F30</f>
        <v>0</v>
      </c>
      <c r="G31" s="463">
        <f>G29+G30</f>
        <v>0</v>
      </c>
      <c r="H31" s="463">
        <f>H29+H30</f>
        <v>0</v>
      </c>
      <c r="I31" s="464"/>
    </row>
    <row r="32" spans="1:17" ht="18" customHeight="1">
      <c r="A32" s="449"/>
      <c r="G32" s="440"/>
    </row>
    <row r="33" spans="1:9" ht="18" customHeight="1">
      <c r="A33" s="439" t="s">
        <v>866</v>
      </c>
      <c r="G33" s="440"/>
    </row>
    <row r="34" spans="1:9" ht="18" customHeight="1">
      <c r="A34" s="449">
        <f>A31+1</f>
        <v>17</v>
      </c>
      <c r="B34" s="459" t="s">
        <v>889</v>
      </c>
      <c r="C34" s="439" t="s">
        <v>752</v>
      </c>
      <c r="D34" s="460">
        <f>D28</f>
        <v>2021</v>
      </c>
      <c r="E34" s="451">
        <f>'8c- ADIT BOY'!C29</f>
        <v>0</v>
      </c>
      <c r="F34" s="451">
        <f>'8c- ADIT BOY'!E29</f>
        <v>0</v>
      </c>
      <c r="G34" s="451">
        <f>'8c- ADIT BOY'!F29</f>
        <v>0</v>
      </c>
      <c r="H34" s="451">
        <f>'8c- ADIT BOY'!G29</f>
        <v>0</v>
      </c>
      <c r="I34" s="462"/>
    </row>
    <row r="35" spans="1:9" ht="18" customHeight="1">
      <c r="A35" s="449">
        <f>A34+1</f>
        <v>18</v>
      </c>
      <c r="B35" s="459" t="s">
        <v>953</v>
      </c>
      <c r="C35" s="439" t="s">
        <v>752</v>
      </c>
      <c r="D35" s="460">
        <f t="shared" ref="D35:D36" si="3">D29</f>
        <v>2022</v>
      </c>
      <c r="E35" s="451">
        <f>'8d- ADIT EOY'!C32-'8d- ADIT EOY'!C28</f>
        <v>0</v>
      </c>
      <c r="F35" s="451">
        <f>'8d- ADIT EOY'!E32-'8d- ADIT EOY'!E28</f>
        <v>0</v>
      </c>
      <c r="G35" s="451">
        <f>'8d- ADIT EOY'!F32-'8d- ADIT EOY'!F28</f>
        <v>0</v>
      </c>
      <c r="H35" s="451">
        <f>'8d- ADIT EOY'!G32-'8d- ADIT EOY'!G28</f>
        <v>0</v>
      </c>
      <c r="I35" s="462"/>
    </row>
    <row r="36" spans="1:9" ht="18" customHeight="1">
      <c r="A36" s="449">
        <f>A35+1</f>
        <v>19</v>
      </c>
      <c r="B36" s="459" t="s">
        <v>954</v>
      </c>
      <c r="C36" s="439" t="s">
        <v>752</v>
      </c>
      <c r="D36" s="460">
        <f t="shared" si="3"/>
        <v>2022</v>
      </c>
      <c r="E36" s="451">
        <f>'8f-ADIT True-up Proration'!F54</f>
        <v>0</v>
      </c>
      <c r="F36" s="451">
        <f>'8f-ADIT True-up Proration'!N53</f>
        <v>0</v>
      </c>
      <c r="G36" s="451">
        <f>'8f-ADIT True-up Proration'!W53</f>
        <v>0</v>
      </c>
      <c r="H36" s="451">
        <f>'8f-ADIT True-up Proration'!AF53</f>
        <v>0</v>
      </c>
      <c r="I36" s="462"/>
    </row>
    <row r="37" spans="1:9" ht="18" customHeight="1">
      <c r="A37" s="449">
        <f>A36+1</f>
        <v>20</v>
      </c>
      <c r="B37" s="459" t="s">
        <v>955</v>
      </c>
      <c r="E37" s="463">
        <f>E35+E36</f>
        <v>0</v>
      </c>
      <c r="F37" s="463">
        <f>F35+F36</f>
        <v>0</v>
      </c>
      <c r="G37" s="463">
        <f>G35+G36</f>
        <v>0</v>
      </c>
      <c r="H37" s="463">
        <f>H35+H36</f>
        <v>0</v>
      </c>
      <c r="I37" s="464"/>
    </row>
    <row r="38" spans="1:9">
      <c r="D38" s="451"/>
    </row>
    <row r="39" spans="1:9">
      <c r="D39" s="451"/>
    </row>
    <row r="40" spans="1:9">
      <c r="D40" s="451"/>
    </row>
    <row r="41" spans="1:9">
      <c r="D41" s="451"/>
    </row>
    <row r="42" spans="1:9">
      <c r="D42" s="451"/>
    </row>
    <row r="43" spans="1:9">
      <c r="D43" s="451"/>
    </row>
    <row r="44" spans="1:9">
      <c r="D44" s="451"/>
    </row>
    <row r="45" spans="1:9">
      <c r="D45" s="451"/>
    </row>
    <row r="46" spans="1:9">
      <c r="B46" s="439"/>
      <c r="D46" s="451"/>
    </row>
    <row r="47" spans="1:9">
      <c r="D47" s="451"/>
    </row>
    <row r="48" spans="1:9">
      <c r="B48" s="439"/>
      <c r="D48" s="451"/>
    </row>
    <row r="66" spans="10:10">
      <c r="J66" s="439"/>
    </row>
    <row r="152" spans="8:8">
      <c r="H152" s="467"/>
    </row>
  </sheetData>
  <mergeCells count="3">
    <mergeCell ref="A1:I1"/>
    <mergeCell ref="A2:I2"/>
    <mergeCell ref="A3:I3"/>
  </mergeCells>
  <printOptions horizontalCentered="1"/>
  <pageMargins left="0.25" right="0.25" top="0.75" bottom="0.75" header="0.3" footer="0.3"/>
  <pageSetup scale="7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B6B50-E4EA-4172-9D28-FC6237C6E283}">
  <dimension ref="A1:AG74"/>
  <sheetViews>
    <sheetView zoomScale="80" zoomScaleNormal="80" zoomScaleSheetLayoutView="80" workbookViewId="0">
      <selection activeCell="E10" sqref="E10"/>
    </sheetView>
  </sheetViews>
  <sheetFormatPr defaultColWidth="8.88671875" defaultRowHeight="12.75"/>
  <cols>
    <col min="1" max="1" width="5.6640625" style="511" customWidth="1"/>
    <col min="2" max="2" width="31" style="512" customWidth="1"/>
    <col min="3" max="3" width="10.6640625" style="511" customWidth="1"/>
    <col min="4" max="4" width="9.88671875" style="511" customWidth="1"/>
    <col min="5" max="5" width="10" style="511" customWidth="1"/>
    <col min="6" max="32" width="10.5546875" style="511" customWidth="1"/>
    <col min="33" max="16384" width="8.88671875" style="511"/>
  </cols>
  <sheetData>
    <row r="1" spans="1:33" ht="15">
      <c r="A1" s="866" t="s">
        <v>956</v>
      </c>
      <c r="B1" s="857"/>
      <c r="C1" s="857"/>
      <c r="D1" s="857"/>
      <c r="E1" s="857"/>
      <c r="F1" s="857"/>
      <c r="G1" s="857"/>
      <c r="H1" s="857"/>
      <c r="I1" s="857"/>
      <c r="J1" s="866" t="s">
        <v>412</v>
      </c>
      <c r="K1" s="857"/>
      <c r="L1" s="857"/>
      <c r="M1" s="857"/>
      <c r="N1" s="857"/>
      <c r="O1" s="866" t="s">
        <v>956</v>
      </c>
      <c r="P1" s="867"/>
      <c r="Q1" s="867"/>
      <c r="R1" s="867"/>
      <c r="S1" s="867"/>
      <c r="T1" s="867"/>
      <c r="U1" s="868"/>
      <c r="W1" s="544" t="s">
        <v>482</v>
      </c>
      <c r="X1" s="866" t="s">
        <v>956</v>
      </c>
      <c r="Y1" s="867"/>
      <c r="Z1" s="867"/>
      <c r="AA1" s="867"/>
      <c r="AB1" s="867"/>
      <c r="AC1" s="867"/>
      <c r="AD1" s="867"/>
      <c r="AF1" s="544" t="s">
        <v>483</v>
      </c>
    </row>
    <row r="2" spans="1:33" ht="15">
      <c r="A2" s="865" t="str">
        <f>+'Attachment O'!D5</f>
        <v>GridLiance Heartland LLC</v>
      </c>
      <c r="B2" s="865"/>
      <c r="C2" s="865"/>
      <c r="D2" s="865"/>
      <c r="E2" s="865"/>
      <c r="F2" s="865"/>
      <c r="G2" s="865"/>
      <c r="H2" s="865"/>
      <c r="I2" s="865"/>
      <c r="J2" s="865"/>
      <c r="K2" s="865"/>
      <c r="L2" s="865"/>
      <c r="M2" s="865"/>
      <c r="N2" s="865"/>
      <c r="O2" s="865" t="str">
        <f>+'Attachment O'!D5</f>
        <v>GridLiance Heartland LLC</v>
      </c>
      <c r="P2" s="858"/>
      <c r="Q2" s="858"/>
      <c r="R2" s="858"/>
      <c r="S2" s="858"/>
      <c r="T2" s="858"/>
      <c r="U2" s="858"/>
      <c r="V2" s="858"/>
      <c r="W2" s="858"/>
      <c r="X2" s="865" t="str">
        <f>+'Attachment O'!D5</f>
        <v>GridLiance Heartland LLC</v>
      </c>
      <c r="Y2" s="858"/>
      <c r="Z2" s="858"/>
      <c r="AA2" s="858"/>
      <c r="AB2" s="858"/>
      <c r="AC2" s="858"/>
      <c r="AD2" s="858"/>
      <c r="AE2" s="858"/>
      <c r="AF2" s="858"/>
    </row>
    <row r="3" spans="1:33" ht="15">
      <c r="A3" s="865" t="str">
        <f>'Attachment O'!$K$3</f>
        <v>For the 12 months ended 12/31/2022</v>
      </c>
      <c r="B3" s="865"/>
      <c r="C3" s="865"/>
      <c r="D3" s="865"/>
      <c r="E3" s="865"/>
      <c r="F3" s="865"/>
      <c r="G3" s="865"/>
      <c r="H3" s="865"/>
      <c r="I3" s="865"/>
      <c r="J3" s="865"/>
      <c r="K3" s="865"/>
      <c r="L3" s="865"/>
      <c r="M3" s="865"/>
      <c r="N3" s="865"/>
      <c r="O3" s="865" t="str">
        <f>'Attachment O'!$K$3</f>
        <v>For the 12 months ended 12/31/2022</v>
      </c>
      <c r="P3" s="858"/>
      <c r="Q3" s="858"/>
      <c r="R3" s="858"/>
      <c r="S3" s="858"/>
      <c r="T3" s="858"/>
      <c r="U3" s="858"/>
      <c r="V3" s="858"/>
      <c r="W3" s="858"/>
      <c r="X3" s="865" t="str">
        <f>'Attachment O'!$K$3</f>
        <v>For the 12 months ended 12/31/2022</v>
      </c>
      <c r="Y3" s="858"/>
      <c r="Z3" s="858"/>
      <c r="AA3" s="858"/>
      <c r="AB3" s="858"/>
      <c r="AC3" s="858"/>
      <c r="AD3" s="858"/>
      <c r="AE3" s="858"/>
      <c r="AF3" s="858"/>
    </row>
    <row r="4" spans="1:33" ht="13.5" thickBot="1"/>
    <row r="5" spans="1:33">
      <c r="F5" s="862" t="s">
        <v>75</v>
      </c>
      <c r="G5" s="863"/>
      <c r="H5" s="863"/>
      <c r="I5" s="863"/>
      <c r="J5" s="863"/>
      <c r="K5" s="863"/>
      <c r="L5" s="863"/>
      <c r="M5" s="863"/>
      <c r="N5" s="864"/>
      <c r="O5" s="862" t="s">
        <v>860</v>
      </c>
      <c r="P5" s="863"/>
      <c r="Q5" s="863"/>
      <c r="R5" s="863"/>
      <c r="S5" s="863"/>
      <c r="T5" s="863"/>
      <c r="U5" s="863"/>
      <c r="V5" s="863"/>
      <c r="W5" s="864"/>
      <c r="X5" s="862" t="s">
        <v>861</v>
      </c>
      <c r="Y5" s="863"/>
      <c r="Z5" s="863"/>
      <c r="AA5" s="863"/>
      <c r="AB5" s="863"/>
      <c r="AC5" s="863"/>
      <c r="AD5" s="863"/>
      <c r="AE5" s="863"/>
      <c r="AF5" s="864"/>
      <c r="AG5" s="513"/>
    </row>
    <row r="6" spans="1:33">
      <c r="B6" s="513" t="s">
        <v>329</v>
      </c>
      <c r="C6" s="513" t="s">
        <v>330</v>
      </c>
      <c r="D6" s="513" t="s">
        <v>331</v>
      </c>
      <c r="E6" s="513" t="s">
        <v>332</v>
      </c>
      <c r="F6" s="514" t="s">
        <v>653</v>
      </c>
      <c r="G6" s="513" t="s">
        <v>654</v>
      </c>
      <c r="H6" s="513" t="s">
        <v>655</v>
      </c>
      <c r="I6" s="513" t="s">
        <v>656</v>
      </c>
      <c r="J6" s="513" t="s">
        <v>657</v>
      </c>
      <c r="K6" s="513" t="s">
        <v>658</v>
      </c>
      <c r="L6" s="513" t="s">
        <v>659</v>
      </c>
      <c r="M6" s="513" t="s">
        <v>660</v>
      </c>
      <c r="N6" s="515" t="s">
        <v>661</v>
      </c>
      <c r="O6" s="514" t="s">
        <v>653</v>
      </c>
      <c r="P6" s="513" t="s">
        <v>654</v>
      </c>
      <c r="Q6" s="513" t="s">
        <v>655</v>
      </c>
      <c r="R6" s="513" t="s">
        <v>656</v>
      </c>
      <c r="S6" s="513" t="s">
        <v>657</v>
      </c>
      <c r="T6" s="513" t="s">
        <v>658</v>
      </c>
      <c r="U6" s="513" t="s">
        <v>659</v>
      </c>
      <c r="V6" s="513" t="s">
        <v>660</v>
      </c>
      <c r="W6" s="515" t="s">
        <v>661</v>
      </c>
      <c r="X6" s="514" t="s">
        <v>653</v>
      </c>
      <c r="Y6" s="513" t="s">
        <v>654</v>
      </c>
      <c r="Z6" s="513" t="s">
        <v>655</v>
      </c>
      <c r="AA6" s="513" t="s">
        <v>656</v>
      </c>
      <c r="AB6" s="513" t="s">
        <v>657</v>
      </c>
      <c r="AC6" s="513" t="s">
        <v>658</v>
      </c>
      <c r="AD6" s="513" t="s">
        <v>659</v>
      </c>
      <c r="AE6" s="513" t="s">
        <v>660</v>
      </c>
      <c r="AF6" s="515" t="s">
        <v>661</v>
      </c>
    </row>
    <row r="7" spans="1:33" ht="63.75">
      <c r="A7" s="516"/>
      <c r="B7" s="517" t="s">
        <v>877</v>
      </c>
      <c r="C7" s="517" t="s">
        <v>645</v>
      </c>
      <c r="D7" s="517" t="s">
        <v>598</v>
      </c>
      <c r="E7" s="517" t="s">
        <v>894</v>
      </c>
      <c r="F7" s="518" t="s">
        <v>957</v>
      </c>
      <c r="G7" s="517" t="s">
        <v>958</v>
      </c>
      <c r="H7" s="517" t="s">
        <v>959</v>
      </c>
      <c r="I7" s="517" t="s">
        <v>960</v>
      </c>
      <c r="J7" s="517" t="s">
        <v>961</v>
      </c>
      <c r="K7" s="517" t="s">
        <v>962</v>
      </c>
      <c r="L7" s="517" t="s">
        <v>963</v>
      </c>
      <c r="M7" s="517" t="s">
        <v>964</v>
      </c>
      <c r="N7" s="519" t="s">
        <v>965</v>
      </c>
      <c r="O7" s="518" t="s">
        <v>957</v>
      </c>
      <c r="P7" s="517" t="s">
        <v>958</v>
      </c>
      <c r="Q7" s="517" t="s">
        <v>959</v>
      </c>
      <c r="R7" s="517" t="s">
        <v>960</v>
      </c>
      <c r="S7" s="517" t="s">
        <v>961</v>
      </c>
      <c r="T7" s="517" t="s">
        <v>962</v>
      </c>
      <c r="U7" s="517" t="s">
        <v>963</v>
      </c>
      <c r="V7" s="517" t="s">
        <v>964</v>
      </c>
      <c r="W7" s="519" t="s">
        <v>965</v>
      </c>
      <c r="X7" s="518" t="s">
        <v>957</v>
      </c>
      <c r="Y7" s="517" t="s">
        <v>958</v>
      </c>
      <c r="Z7" s="517" t="s">
        <v>959</v>
      </c>
      <c r="AA7" s="517" t="s">
        <v>960</v>
      </c>
      <c r="AB7" s="517" t="s">
        <v>961</v>
      </c>
      <c r="AC7" s="517" t="s">
        <v>962</v>
      </c>
      <c r="AD7" s="517" t="s">
        <v>963</v>
      </c>
      <c r="AE7" s="517" t="s">
        <v>964</v>
      </c>
      <c r="AF7" s="519" t="s">
        <v>965</v>
      </c>
      <c r="AG7" s="513"/>
    </row>
    <row r="8" spans="1:33">
      <c r="A8" s="511" t="s">
        <v>970</v>
      </c>
      <c r="D8" s="513"/>
      <c r="E8" s="513"/>
      <c r="F8" s="520"/>
      <c r="N8" s="521"/>
      <c r="O8" s="520"/>
      <c r="W8" s="521"/>
      <c r="X8" s="520"/>
      <c r="AF8" s="521"/>
      <c r="AG8" s="513"/>
    </row>
    <row r="9" spans="1:33">
      <c r="A9" s="522">
        <v>1</v>
      </c>
      <c r="B9" s="512" t="s">
        <v>899</v>
      </c>
      <c r="C9" s="511" t="s">
        <v>752</v>
      </c>
      <c r="D9" s="523">
        <f>'8b-ADIT Projection Proration'!D9</f>
        <v>2021</v>
      </c>
      <c r="E9" s="524">
        <f>365/365</f>
        <v>1</v>
      </c>
      <c r="F9" s="525"/>
      <c r="G9" s="308"/>
      <c r="H9" s="308">
        <f>'8c- ADIT BOY'!E54</f>
        <v>-127026.21469340209</v>
      </c>
      <c r="I9" s="308"/>
      <c r="J9" s="308"/>
      <c r="K9" s="308"/>
      <c r="L9" s="308"/>
      <c r="M9" s="308"/>
      <c r="N9" s="526">
        <v>0</v>
      </c>
      <c r="O9" s="525"/>
      <c r="P9" s="308"/>
      <c r="Q9" s="308">
        <f>'8c- ADIT BOY'!F54</f>
        <v>0</v>
      </c>
      <c r="R9" s="308"/>
      <c r="S9" s="308"/>
      <c r="T9" s="308"/>
      <c r="U9" s="308"/>
      <c r="V9" s="308"/>
      <c r="W9" s="526">
        <v>0</v>
      </c>
      <c r="X9" s="525"/>
      <c r="Y9" s="308"/>
      <c r="Z9" s="308">
        <f>'8c- ADIT BOY'!G54</f>
        <v>0</v>
      </c>
      <c r="AA9" s="308"/>
      <c r="AB9" s="308"/>
      <c r="AC9" s="308"/>
      <c r="AD9" s="308"/>
      <c r="AE9" s="308"/>
      <c r="AF9" s="526">
        <v>0</v>
      </c>
    </row>
    <row r="10" spans="1:33">
      <c r="A10" s="522">
        <f t="shared" ref="A10:A22" si="0">+A9+1</f>
        <v>2</v>
      </c>
      <c r="B10" s="512" t="s">
        <v>900</v>
      </c>
      <c r="C10" s="511" t="s">
        <v>677</v>
      </c>
      <c r="D10" s="523">
        <f>'8b-ADIT Projection Proration'!D10</f>
        <v>2022</v>
      </c>
      <c r="E10" s="524">
        <f>335/365</f>
        <v>0.9178082191780822</v>
      </c>
      <c r="F10" s="525">
        <f>'8b-ADIT Projection Proration'!G10</f>
        <v>-32685.84086107387</v>
      </c>
      <c r="G10" s="308">
        <f t="shared" ref="G10:G21" si="1">$E10*F10</f>
        <v>-29999.333393040401</v>
      </c>
      <c r="H10" s="308">
        <f t="shared" ref="H10:H21" si="2">+G10+H9</f>
        <v>-157025.54808644249</v>
      </c>
      <c r="I10" s="527">
        <v>0</v>
      </c>
      <c r="J10" s="308">
        <f t="shared" ref="J10:J21" si="3">I10-F10</f>
        <v>32685.84086107387</v>
      </c>
      <c r="K10" s="308">
        <f t="shared" ref="K10:K21" si="4">IF(J10&gt;=0,+J10,0)</f>
        <v>32685.84086107387</v>
      </c>
      <c r="L10" s="308">
        <f t="shared" ref="L10:L21" si="5">IF(K10&gt;0,0,IF(I10&lt;0,0,(-(J10)*($E10))))</f>
        <v>0</v>
      </c>
      <c r="M10" s="308">
        <f t="shared" ref="M10:M21" si="6">IF(K10&gt;0,0,IF(I10&gt;0,0,(-(J10)*($E10))))</f>
        <v>0</v>
      </c>
      <c r="N10" s="526">
        <f t="shared" ref="N10:N21" si="7">IF(I10&lt;0,N9+M10,N9+$G10+K10-L10)</f>
        <v>2686.5074680334692</v>
      </c>
      <c r="O10" s="525">
        <f>'8b-ADIT Projection Proration'!I10</f>
        <v>0</v>
      </c>
      <c r="P10" s="308">
        <f t="shared" ref="P10:P21" si="8">$E10*O10</f>
        <v>0</v>
      </c>
      <c r="Q10" s="308">
        <f t="shared" ref="Q10:Q21" si="9">+P10+Q9</f>
        <v>0</v>
      </c>
      <c r="R10" s="527">
        <v>0</v>
      </c>
      <c r="S10" s="308">
        <f t="shared" ref="S10:S21" si="10">R10-O10</f>
        <v>0</v>
      </c>
      <c r="T10" s="308">
        <f t="shared" ref="T10:T21" si="11">IF(S10&gt;=0,+S10,0)</f>
        <v>0</v>
      </c>
      <c r="U10" s="308">
        <f t="shared" ref="U10:U21" si="12">IF(T10&gt;0,0,IF(R10&lt;0,0,(-(S10)*($E10))))</f>
        <v>0</v>
      </c>
      <c r="V10" s="308">
        <f t="shared" ref="V10:V21" si="13">IF(T10&gt;0,0,IF(R10&gt;0,0,(-(S10)*($E10))))</f>
        <v>0</v>
      </c>
      <c r="W10" s="526">
        <f t="shared" ref="W10:W21" si="14">IF(R10&lt;0,W9+V10,W9+P10+T10-U10)</f>
        <v>0</v>
      </c>
      <c r="X10" s="525">
        <f>'8b-ADIT Projection Proration'!K10</f>
        <v>0</v>
      </c>
      <c r="Y10" s="308">
        <f t="shared" ref="Y10:Y21" si="15">$E10*X10</f>
        <v>0</v>
      </c>
      <c r="Z10" s="308">
        <f t="shared" ref="Z10:Z21" si="16">+Y10+Z9</f>
        <v>0</v>
      </c>
      <c r="AA10" s="527">
        <v>0</v>
      </c>
      <c r="AB10" s="308">
        <f t="shared" ref="AB10:AB21" si="17">AA10-X10</f>
        <v>0</v>
      </c>
      <c r="AC10" s="308">
        <f t="shared" ref="AC10:AC21" si="18">IF(AB10&gt;=0,+AB10,0)</f>
        <v>0</v>
      </c>
      <c r="AD10" s="308">
        <f t="shared" ref="AD10:AD21" si="19">IF(AC10&gt;0,0,IF(AA10&lt;0,0,(-(AB10)*($E10))))</f>
        <v>0</v>
      </c>
      <c r="AE10" s="308">
        <f t="shared" ref="AE10:AE21" si="20">IF(AC10&gt;0,0,IF(AA10&gt;0,0,(-(AB10)*($E10))))</f>
        <v>0</v>
      </c>
      <c r="AF10" s="526">
        <f t="shared" ref="AF10:AF21" si="21">IF(AA10&lt;0,AF9+AE10,AF9+Y10+AC10-AD10)</f>
        <v>0</v>
      </c>
    </row>
    <row r="11" spans="1:33">
      <c r="A11" s="522">
        <f t="shared" si="0"/>
        <v>3</v>
      </c>
      <c r="B11" s="512" t="s">
        <v>900</v>
      </c>
      <c r="C11" s="511" t="s">
        <v>678</v>
      </c>
      <c r="D11" s="523">
        <f>'8b-ADIT Projection Proration'!D11</f>
        <v>2022</v>
      </c>
      <c r="E11" s="524">
        <f>307/365</f>
        <v>0.84109589041095889</v>
      </c>
      <c r="F11" s="525">
        <f>'8b-ADIT Projection Proration'!G11</f>
        <v>-32685.84086107387</v>
      </c>
      <c r="G11" s="308">
        <f t="shared" si="1"/>
        <v>-27491.926422875829</v>
      </c>
      <c r="H11" s="308">
        <f t="shared" si="2"/>
        <v>-184517.47450931833</v>
      </c>
      <c r="I11" s="527">
        <v>0</v>
      </c>
      <c r="J11" s="308">
        <f t="shared" si="3"/>
        <v>32685.84086107387</v>
      </c>
      <c r="K11" s="308">
        <f t="shared" si="4"/>
        <v>32685.84086107387</v>
      </c>
      <c r="L11" s="308">
        <f t="shared" si="5"/>
        <v>0</v>
      </c>
      <c r="M11" s="308">
        <f t="shared" si="6"/>
        <v>0</v>
      </c>
      <c r="N11" s="526">
        <f t="shared" si="7"/>
        <v>7880.4219062315096</v>
      </c>
      <c r="O11" s="525">
        <f>'8b-ADIT Projection Proration'!I11</f>
        <v>0</v>
      </c>
      <c r="P11" s="308">
        <f t="shared" si="8"/>
        <v>0</v>
      </c>
      <c r="Q11" s="308">
        <f t="shared" si="9"/>
        <v>0</v>
      </c>
      <c r="R11" s="527">
        <v>0</v>
      </c>
      <c r="S11" s="308">
        <f t="shared" si="10"/>
        <v>0</v>
      </c>
      <c r="T11" s="308">
        <f t="shared" si="11"/>
        <v>0</v>
      </c>
      <c r="U11" s="308">
        <f t="shared" si="12"/>
        <v>0</v>
      </c>
      <c r="V11" s="308">
        <f t="shared" si="13"/>
        <v>0</v>
      </c>
      <c r="W11" s="526">
        <f t="shared" si="14"/>
        <v>0</v>
      </c>
      <c r="X11" s="525">
        <f>'8b-ADIT Projection Proration'!K11</f>
        <v>0</v>
      </c>
      <c r="Y11" s="308">
        <f t="shared" si="15"/>
        <v>0</v>
      </c>
      <c r="Z11" s="308">
        <f t="shared" si="16"/>
        <v>0</v>
      </c>
      <c r="AA11" s="527">
        <v>0</v>
      </c>
      <c r="AB11" s="308">
        <f t="shared" si="17"/>
        <v>0</v>
      </c>
      <c r="AC11" s="308">
        <f t="shared" si="18"/>
        <v>0</v>
      </c>
      <c r="AD11" s="308">
        <f t="shared" si="19"/>
        <v>0</v>
      </c>
      <c r="AE11" s="308">
        <f t="shared" si="20"/>
        <v>0</v>
      </c>
      <c r="AF11" s="526">
        <f t="shared" si="21"/>
        <v>0</v>
      </c>
    </row>
    <row r="12" spans="1:33">
      <c r="A12" s="522">
        <f t="shared" si="0"/>
        <v>4</v>
      </c>
      <c r="B12" s="512" t="s">
        <v>900</v>
      </c>
      <c r="C12" s="511" t="s">
        <v>749</v>
      </c>
      <c r="D12" s="523">
        <f>'8b-ADIT Projection Proration'!D12</f>
        <v>2022</v>
      </c>
      <c r="E12" s="524">
        <f>276/365</f>
        <v>0.75616438356164384</v>
      </c>
      <c r="F12" s="525">
        <f>'8b-ADIT Projection Proration'!G12</f>
        <v>-32685.84086107387</v>
      </c>
      <c r="G12" s="308">
        <f t="shared" si="1"/>
        <v>-24715.868705907913</v>
      </c>
      <c r="H12" s="308">
        <f t="shared" si="2"/>
        <v>-209233.34321522625</v>
      </c>
      <c r="I12" s="527">
        <v>0</v>
      </c>
      <c r="J12" s="308">
        <f t="shared" si="3"/>
        <v>32685.84086107387</v>
      </c>
      <c r="K12" s="308">
        <f t="shared" si="4"/>
        <v>32685.84086107387</v>
      </c>
      <c r="L12" s="308">
        <f t="shared" si="5"/>
        <v>0</v>
      </c>
      <c r="M12" s="308">
        <f t="shared" si="6"/>
        <v>0</v>
      </c>
      <c r="N12" s="526">
        <f t="shared" si="7"/>
        <v>15850.394061397466</v>
      </c>
      <c r="O12" s="525">
        <f>'8b-ADIT Projection Proration'!I12</f>
        <v>0</v>
      </c>
      <c r="P12" s="308">
        <f t="shared" si="8"/>
        <v>0</v>
      </c>
      <c r="Q12" s="308">
        <f t="shared" si="9"/>
        <v>0</v>
      </c>
      <c r="R12" s="527">
        <v>0</v>
      </c>
      <c r="S12" s="308">
        <f t="shared" si="10"/>
        <v>0</v>
      </c>
      <c r="T12" s="308">
        <f t="shared" si="11"/>
        <v>0</v>
      </c>
      <c r="U12" s="308">
        <f t="shared" si="12"/>
        <v>0</v>
      </c>
      <c r="V12" s="308">
        <f t="shared" si="13"/>
        <v>0</v>
      </c>
      <c r="W12" s="526">
        <f t="shared" si="14"/>
        <v>0</v>
      </c>
      <c r="X12" s="525">
        <f>'8b-ADIT Projection Proration'!K12</f>
        <v>0</v>
      </c>
      <c r="Y12" s="308">
        <f t="shared" si="15"/>
        <v>0</v>
      </c>
      <c r="Z12" s="308">
        <f t="shared" si="16"/>
        <v>0</v>
      </c>
      <c r="AA12" s="527">
        <v>0</v>
      </c>
      <c r="AB12" s="308">
        <f t="shared" si="17"/>
        <v>0</v>
      </c>
      <c r="AC12" s="308">
        <f t="shared" si="18"/>
        <v>0</v>
      </c>
      <c r="AD12" s="308">
        <f t="shared" si="19"/>
        <v>0</v>
      </c>
      <c r="AE12" s="308">
        <f t="shared" si="20"/>
        <v>0</v>
      </c>
      <c r="AF12" s="526">
        <f t="shared" si="21"/>
        <v>0</v>
      </c>
    </row>
    <row r="13" spans="1:33">
      <c r="A13" s="522">
        <f t="shared" si="0"/>
        <v>5</v>
      </c>
      <c r="B13" s="512" t="s">
        <v>900</v>
      </c>
      <c r="C13" s="511" t="s">
        <v>680</v>
      </c>
      <c r="D13" s="523">
        <f>'8b-ADIT Projection Proration'!D13</f>
        <v>2022</v>
      </c>
      <c r="E13" s="524">
        <f>246/365</f>
        <v>0.67397260273972603</v>
      </c>
      <c r="F13" s="525">
        <f>'8b-ADIT Projection Proration'!G13</f>
        <v>-32685.84086107387</v>
      </c>
      <c r="G13" s="308">
        <f t="shared" si="1"/>
        <v>-22029.361237874444</v>
      </c>
      <c r="H13" s="308">
        <f t="shared" si="2"/>
        <v>-231262.70445310068</v>
      </c>
      <c r="I13" s="527">
        <v>0</v>
      </c>
      <c r="J13" s="308">
        <f t="shared" si="3"/>
        <v>32685.84086107387</v>
      </c>
      <c r="K13" s="308">
        <f t="shared" si="4"/>
        <v>32685.84086107387</v>
      </c>
      <c r="L13" s="308">
        <f t="shared" si="5"/>
        <v>0</v>
      </c>
      <c r="M13" s="308">
        <f t="shared" si="6"/>
        <v>0</v>
      </c>
      <c r="N13" s="526">
        <f t="shared" si="7"/>
        <v>26506.873684596892</v>
      </c>
      <c r="O13" s="525">
        <f>'8b-ADIT Projection Proration'!I13</f>
        <v>0</v>
      </c>
      <c r="P13" s="308">
        <f t="shared" si="8"/>
        <v>0</v>
      </c>
      <c r="Q13" s="308">
        <f t="shared" si="9"/>
        <v>0</v>
      </c>
      <c r="R13" s="527">
        <v>0</v>
      </c>
      <c r="S13" s="308">
        <f t="shared" si="10"/>
        <v>0</v>
      </c>
      <c r="T13" s="308">
        <f t="shared" si="11"/>
        <v>0</v>
      </c>
      <c r="U13" s="308">
        <f t="shared" si="12"/>
        <v>0</v>
      </c>
      <c r="V13" s="308">
        <f t="shared" si="13"/>
        <v>0</v>
      </c>
      <c r="W13" s="526">
        <f t="shared" si="14"/>
        <v>0</v>
      </c>
      <c r="X13" s="525">
        <f>'8b-ADIT Projection Proration'!K13</f>
        <v>0</v>
      </c>
      <c r="Y13" s="308">
        <f t="shared" si="15"/>
        <v>0</v>
      </c>
      <c r="Z13" s="308">
        <f t="shared" si="16"/>
        <v>0</v>
      </c>
      <c r="AA13" s="527">
        <v>0</v>
      </c>
      <c r="AB13" s="308">
        <f t="shared" si="17"/>
        <v>0</v>
      </c>
      <c r="AC13" s="308">
        <f t="shared" si="18"/>
        <v>0</v>
      </c>
      <c r="AD13" s="308">
        <f t="shared" si="19"/>
        <v>0</v>
      </c>
      <c r="AE13" s="308">
        <f t="shared" si="20"/>
        <v>0</v>
      </c>
      <c r="AF13" s="526">
        <f t="shared" si="21"/>
        <v>0</v>
      </c>
    </row>
    <row r="14" spans="1:33">
      <c r="A14" s="522">
        <f t="shared" si="0"/>
        <v>6</v>
      </c>
      <c r="B14" s="512" t="s">
        <v>900</v>
      </c>
      <c r="C14" s="511" t="s">
        <v>681</v>
      </c>
      <c r="D14" s="523">
        <f>'8b-ADIT Projection Proration'!D14</f>
        <v>2022</v>
      </c>
      <c r="E14" s="524">
        <f>215/365</f>
        <v>0.58904109589041098</v>
      </c>
      <c r="F14" s="525">
        <f>'8b-ADIT Projection Proration'!G14</f>
        <v>-32685.84086107387</v>
      </c>
      <c r="G14" s="308">
        <f t="shared" si="1"/>
        <v>-19253.303520906527</v>
      </c>
      <c r="H14" s="308">
        <f t="shared" si="2"/>
        <v>-250516.00797400723</v>
      </c>
      <c r="I14" s="527">
        <v>0</v>
      </c>
      <c r="J14" s="308">
        <f t="shared" si="3"/>
        <v>32685.84086107387</v>
      </c>
      <c r="K14" s="308">
        <f t="shared" si="4"/>
        <v>32685.84086107387</v>
      </c>
      <c r="L14" s="308">
        <f t="shared" si="5"/>
        <v>0</v>
      </c>
      <c r="M14" s="308">
        <f t="shared" si="6"/>
        <v>0</v>
      </c>
      <c r="N14" s="526">
        <f t="shared" si="7"/>
        <v>39939.411024764238</v>
      </c>
      <c r="O14" s="525">
        <f>'8b-ADIT Projection Proration'!I14</f>
        <v>0</v>
      </c>
      <c r="P14" s="308">
        <f t="shared" si="8"/>
        <v>0</v>
      </c>
      <c r="Q14" s="308">
        <f t="shared" si="9"/>
        <v>0</v>
      </c>
      <c r="R14" s="527">
        <v>0</v>
      </c>
      <c r="S14" s="308">
        <f t="shared" si="10"/>
        <v>0</v>
      </c>
      <c r="T14" s="308">
        <f t="shared" si="11"/>
        <v>0</v>
      </c>
      <c r="U14" s="308">
        <f t="shared" si="12"/>
        <v>0</v>
      </c>
      <c r="V14" s="308">
        <f t="shared" si="13"/>
        <v>0</v>
      </c>
      <c r="W14" s="526">
        <f t="shared" si="14"/>
        <v>0</v>
      </c>
      <c r="X14" s="525">
        <f>'8b-ADIT Projection Proration'!K14</f>
        <v>0</v>
      </c>
      <c r="Y14" s="308">
        <f t="shared" si="15"/>
        <v>0</v>
      </c>
      <c r="Z14" s="308">
        <f t="shared" si="16"/>
        <v>0</v>
      </c>
      <c r="AA14" s="527">
        <v>0</v>
      </c>
      <c r="AB14" s="308">
        <f t="shared" si="17"/>
        <v>0</v>
      </c>
      <c r="AC14" s="308">
        <f t="shared" si="18"/>
        <v>0</v>
      </c>
      <c r="AD14" s="308">
        <f t="shared" si="19"/>
        <v>0</v>
      </c>
      <c r="AE14" s="308">
        <f t="shared" si="20"/>
        <v>0</v>
      </c>
      <c r="AF14" s="526">
        <f t="shared" si="21"/>
        <v>0</v>
      </c>
    </row>
    <row r="15" spans="1:33">
      <c r="A15" s="522">
        <f t="shared" si="0"/>
        <v>7</v>
      </c>
      <c r="B15" s="512" t="s">
        <v>900</v>
      </c>
      <c r="C15" s="511" t="s">
        <v>682</v>
      </c>
      <c r="D15" s="523">
        <f>'8b-ADIT Projection Proration'!D15</f>
        <v>2022</v>
      </c>
      <c r="E15" s="524">
        <f>185/365</f>
        <v>0.50684931506849318</v>
      </c>
      <c r="F15" s="525">
        <f>'8b-ADIT Projection Proration'!G15</f>
        <v>-32685.84086107387</v>
      </c>
      <c r="G15" s="308">
        <f t="shared" si="1"/>
        <v>-16566.796052873058</v>
      </c>
      <c r="H15" s="308">
        <f t="shared" si="2"/>
        <v>-267082.8040268803</v>
      </c>
      <c r="I15" s="527">
        <v>0</v>
      </c>
      <c r="J15" s="308">
        <f t="shared" si="3"/>
        <v>32685.84086107387</v>
      </c>
      <c r="K15" s="308">
        <f t="shared" si="4"/>
        <v>32685.84086107387</v>
      </c>
      <c r="L15" s="308">
        <f t="shared" si="5"/>
        <v>0</v>
      </c>
      <c r="M15" s="308">
        <f t="shared" si="6"/>
        <v>0</v>
      </c>
      <c r="N15" s="526">
        <f t="shared" si="7"/>
        <v>56058.455832965046</v>
      </c>
      <c r="O15" s="525">
        <f>'8b-ADIT Projection Proration'!I15</f>
        <v>0</v>
      </c>
      <c r="P15" s="308">
        <f t="shared" si="8"/>
        <v>0</v>
      </c>
      <c r="Q15" s="308">
        <f t="shared" si="9"/>
        <v>0</v>
      </c>
      <c r="R15" s="527">
        <v>0</v>
      </c>
      <c r="S15" s="308">
        <f t="shared" si="10"/>
        <v>0</v>
      </c>
      <c r="T15" s="308">
        <f t="shared" si="11"/>
        <v>0</v>
      </c>
      <c r="U15" s="308">
        <f t="shared" si="12"/>
        <v>0</v>
      </c>
      <c r="V15" s="308">
        <f t="shared" si="13"/>
        <v>0</v>
      </c>
      <c r="W15" s="526">
        <f t="shared" si="14"/>
        <v>0</v>
      </c>
      <c r="X15" s="525">
        <f>'8b-ADIT Projection Proration'!K15</f>
        <v>0</v>
      </c>
      <c r="Y15" s="308">
        <f t="shared" si="15"/>
        <v>0</v>
      </c>
      <c r="Z15" s="308">
        <f t="shared" si="16"/>
        <v>0</v>
      </c>
      <c r="AA15" s="527">
        <v>0</v>
      </c>
      <c r="AB15" s="308">
        <f t="shared" si="17"/>
        <v>0</v>
      </c>
      <c r="AC15" s="308">
        <f t="shared" si="18"/>
        <v>0</v>
      </c>
      <c r="AD15" s="308">
        <f t="shared" si="19"/>
        <v>0</v>
      </c>
      <c r="AE15" s="308">
        <f t="shared" si="20"/>
        <v>0</v>
      </c>
      <c r="AF15" s="526">
        <f t="shared" si="21"/>
        <v>0</v>
      </c>
    </row>
    <row r="16" spans="1:33">
      <c r="A16" s="522">
        <f t="shared" si="0"/>
        <v>8</v>
      </c>
      <c r="B16" s="512" t="s">
        <v>900</v>
      </c>
      <c r="C16" s="511" t="s">
        <v>683</v>
      </c>
      <c r="D16" s="523">
        <f>'8b-ADIT Projection Proration'!D16</f>
        <v>2022</v>
      </c>
      <c r="E16" s="524">
        <f>154/365</f>
        <v>0.42191780821917807</v>
      </c>
      <c r="F16" s="525">
        <f>'8b-ADIT Projection Proration'!G16</f>
        <v>-32685.84086107387</v>
      </c>
      <c r="G16" s="308">
        <f t="shared" si="1"/>
        <v>-13790.73833590514</v>
      </c>
      <c r="H16" s="308">
        <f t="shared" si="2"/>
        <v>-280873.54236278543</v>
      </c>
      <c r="I16" s="527">
        <v>0</v>
      </c>
      <c r="J16" s="308">
        <f t="shared" si="3"/>
        <v>32685.84086107387</v>
      </c>
      <c r="K16" s="308">
        <f t="shared" si="4"/>
        <v>32685.84086107387</v>
      </c>
      <c r="L16" s="308">
        <f t="shared" si="5"/>
        <v>0</v>
      </c>
      <c r="M16" s="308">
        <f t="shared" si="6"/>
        <v>0</v>
      </c>
      <c r="N16" s="526">
        <f t="shared" si="7"/>
        <v>74953.558358133771</v>
      </c>
      <c r="O16" s="525">
        <f>'8b-ADIT Projection Proration'!I16</f>
        <v>0</v>
      </c>
      <c r="P16" s="308">
        <f t="shared" si="8"/>
        <v>0</v>
      </c>
      <c r="Q16" s="308">
        <f t="shared" si="9"/>
        <v>0</v>
      </c>
      <c r="R16" s="527">
        <v>0</v>
      </c>
      <c r="S16" s="308">
        <f t="shared" si="10"/>
        <v>0</v>
      </c>
      <c r="T16" s="308">
        <f t="shared" si="11"/>
        <v>0</v>
      </c>
      <c r="U16" s="308">
        <f t="shared" si="12"/>
        <v>0</v>
      </c>
      <c r="V16" s="308">
        <f t="shared" si="13"/>
        <v>0</v>
      </c>
      <c r="W16" s="526">
        <f t="shared" si="14"/>
        <v>0</v>
      </c>
      <c r="X16" s="525">
        <f>'8b-ADIT Projection Proration'!K16</f>
        <v>0</v>
      </c>
      <c r="Y16" s="308">
        <f t="shared" si="15"/>
        <v>0</v>
      </c>
      <c r="Z16" s="308">
        <f t="shared" si="16"/>
        <v>0</v>
      </c>
      <c r="AA16" s="527">
        <v>0</v>
      </c>
      <c r="AB16" s="308">
        <f t="shared" si="17"/>
        <v>0</v>
      </c>
      <c r="AC16" s="308">
        <f t="shared" si="18"/>
        <v>0</v>
      </c>
      <c r="AD16" s="308">
        <f t="shared" si="19"/>
        <v>0</v>
      </c>
      <c r="AE16" s="308">
        <f t="shared" si="20"/>
        <v>0</v>
      </c>
      <c r="AF16" s="526">
        <f t="shared" si="21"/>
        <v>0</v>
      </c>
    </row>
    <row r="17" spans="1:33">
      <c r="A17" s="522">
        <f t="shared" si="0"/>
        <v>9</v>
      </c>
      <c r="B17" s="512" t="s">
        <v>900</v>
      </c>
      <c r="C17" s="511" t="s">
        <v>751</v>
      </c>
      <c r="D17" s="523">
        <f>'8b-ADIT Projection Proration'!D17</f>
        <v>2022</v>
      </c>
      <c r="E17" s="524">
        <f>123/365</f>
        <v>0.33698630136986302</v>
      </c>
      <c r="F17" s="525">
        <f>'8b-ADIT Projection Proration'!G17</f>
        <v>-32685.84086107387</v>
      </c>
      <c r="G17" s="308">
        <f t="shared" si="1"/>
        <v>-11014.680618937222</v>
      </c>
      <c r="H17" s="308">
        <f t="shared" si="2"/>
        <v>-291888.22298172268</v>
      </c>
      <c r="I17" s="527">
        <v>0</v>
      </c>
      <c r="J17" s="308">
        <f t="shared" si="3"/>
        <v>32685.84086107387</v>
      </c>
      <c r="K17" s="308">
        <f t="shared" si="4"/>
        <v>32685.84086107387</v>
      </c>
      <c r="L17" s="308">
        <f t="shared" si="5"/>
        <v>0</v>
      </c>
      <c r="M17" s="308">
        <f t="shared" si="6"/>
        <v>0</v>
      </c>
      <c r="N17" s="526">
        <f t="shared" si="7"/>
        <v>96624.718600270426</v>
      </c>
      <c r="O17" s="525">
        <f>'8b-ADIT Projection Proration'!I17</f>
        <v>0</v>
      </c>
      <c r="P17" s="308">
        <f t="shared" si="8"/>
        <v>0</v>
      </c>
      <c r="Q17" s="308">
        <f t="shared" si="9"/>
        <v>0</v>
      </c>
      <c r="R17" s="527">
        <v>0</v>
      </c>
      <c r="S17" s="308">
        <f t="shared" si="10"/>
        <v>0</v>
      </c>
      <c r="T17" s="308">
        <f t="shared" si="11"/>
        <v>0</v>
      </c>
      <c r="U17" s="308">
        <f t="shared" si="12"/>
        <v>0</v>
      </c>
      <c r="V17" s="308">
        <f t="shared" si="13"/>
        <v>0</v>
      </c>
      <c r="W17" s="526">
        <f t="shared" si="14"/>
        <v>0</v>
      </c>
      <c r="X17" s="525">
        <f>'8b-ADIT Projection Proration'!K17</f>
        <v>0</v>
      </c>
      <c r="Y17" s="308">
        <f t="shared" si="15"/>
        <v>0</v>
      </c>
      <c r="Z17" s="308">
        <f t="shared" si="16"/>
        <v>0</v>
      </c>
      <c r="AA17" s="527">
        <v>0</v>
      </c>
      <c r="AB17" s="308">
        <f t="shared" si="17"/>
        <v>0</v>
      </c>
      <c r="AC17" s="308">
        <f t="shared" si="18"/>
        <v>0</v>
      </c>
      <c r="AD17" s="308">
        <f t="shared" si="19"/>
        <v>0</v>
      </c>
      <c r="AE17" s="308">
        <f t="shared" si="20"/>
        <v>0</v>
      </c>
      <c r="AF17" s="526">
        <f t="shared" si="21"/>
        <v>0</v>
      </c>
    </row>
    <row r="18" spans="1:33">
      <c r="A18" s="522">
        <f t="shared" si="0"/>
        <v>10</v>
      </c>
      <c r="B18" s="512" t="s">
        <v>900</v>
      </c>
      <c r="C18" s="511" t="s">
        <v>685</v>
      </c>
      <c r="D18" s="523">
        <f>'8b-ADIT Projection Proration'!D18</f>
        <v>2022</v>
      </c>
      <c r="E18" s="524">
        <f>93/365</f>
        <v>0.25479452054794521</v>
      </c>
      <c r="F18" s="525">
        <f>'8b-ADIT Projection Proration'!G18</f>
        <v>-32685.84086107387</v>
      </c>
      <c r="G18" s="308">
        <f t="shared" si="1"/>
        <v>-8328.1731509037527</v>
      </c>
      <c r="H18" s="308">
        <f t="shared" si="2"/>
        <v>-300216.39613262645</v>
      </c>
      <c r="I18" s="527">
        <v>0</v>
      </c>
      <c r="J18" s="308">
        <f t="shared" si="3"/>
        <v>32685.84086107387</v>
      </c>
      <c r="K18" s="308">
        <f t="shared" si="4"/>
        <v>32685.84086107387</v>
      </c>
      <c r="L18" s="308">
        <f t="shared" si="5"/>
        <v>0</v>
      </c>
      <c r="M18" s="308">
        <f t="shared" si="6"/>
        <v>0</v>
      </c>
      <c r="N18" s="526">
        <f t="shared" si="7"/>
        <v>120982.38631044055</v>
      </c>
      <c r="O18" s="525">
        <f>'8b-ADIT Projection Proration'!I18</f>
        <v>0</v>
      </c>
      <c r="P18" s="308">
        <f t="shared" si="8"/>
        <v>0</v>
      </c>
      <c r="Q18" s="308">
        <f t="shared" si="9"/>
        <v>0</v>
      </c>
      <c r="R18" s="527">
        <v>0</v>
      </c>
      <c r="S18" s="308">
        <f t="shared" si="10"/>
        <v>0</v>
      </c>
      <c r="T18" s="308">
        <f t="shared" si="11"/>
        <v>0</v>
      </c>
      <c r="U18" s="308">
        <f t="shared" si="12"/>
        <v>0</v>
      </c>
      <c r="V18" s="308">
        <f t="shared" si="13"/>
        <v>0</v>
      </c>
      <c r="W18" s="526">
        <f t="shared" si="14"/>
        <v>0</v>
      </c>
      <c r="X18" s="525">
        <f>'8b-ADIT Projection Proration'!K18</f>
        <v>0</v>
      </c>
      <c r="Y18" s="308">
        <f t="shared" si="15"/>
        <v>0</v>
      </c>
      <c r="Z18" s="308">
        <f t="shared" si="16"/>
        <v>0</v>
      </c>
      <c r="AA18" s="527">
        <v>0</v>
      </c>
      <c r="AB18" s="308">
        <f t="shared" si="17"/>
        <v>0</v>
      </c>
      <c r="AC18" s="308">
        <f t="shared" si="18"/>
        <v>0</v>
      </c>
      <c r="AD18" s="308">
        <f t="shared" si="19"/>
        <v>0</v>
      </c>
      <c r="AE18" s="308">
        <f t="shared" si="20"/>
        <v>0</v>
      </c>
      <c r="AF18" s="526">
        <f t="shared" si="21"/>
        <v>0</v>
      </c>
    </row>
    <row r="19" spans="1:33">
      <c r="A19" s="522">
        <f t="shared" si="0"/>
        <v>11</v>
      </c>
      <c r="B19" s="512" t="s">
        <v>900</v>
      </c>
      <c r="C19" s="511" t="s">
        <v>686</v>
      </c>
      <c r="D19" s="523">
        <f>'8b-ADIT Projection Proration'!D19</f>
        <v>2022</v>
      </c>
      <c r="E19" s="524">
        <f>62/365</f>
        <v>0.16986301369863013</v>
      </c>
      <c r="F19" s="525">
        <f>'8b-ADIT Projection Proration'!G19</f>
        <v>-32685.84086107387</v>
      </c>
      <c r="G19" s="308">
        <f t="shared" si="1"/>
        <v>-5552.1154339358354</v>
      </c>
      <c r="H19" s="308">
        <f t="shared" si="2"/>
        <v>-305768.51156656229</v>
      </c>
      <c r="I19" s="527">
        <v>0</v>
      </c>
      <c r="J19" s="308">
        <f t="shared" si="3"/>
        <v>32685.84086107387</v>
      </c>
      <c r="K19" s="308">
        <f t="shared" si="4"/>
        <v>32685.84086107387</v>
      </c>
      <c r="L19" s="308">
        <f t="shared" si="5"/>
        <v>0</v>
      </c>
      <c r="M19" s="308">
        <f t="shared" si="6"/>
        <v>0</v>
      </c>
      <c r="N19" s="526">
        <f t="shared" si="7"/>
        <v>148116.11173757858</v>
      </c>
      <c r="O19" s="525">
        <f>'8b-ADIT Projection Proration'!I19</f>
        <v>0</v>
      </c>
      <c r="P19" s="308">
        <f t="shared" si="8"/>
        <v>0</v>
      </c>
      <c r="Q19" s="308">
        <f t="shared" si="9"/>
        <v>0</v>
      </c>
      <c r="R19" s="527">
        <v>0</v>
      </c>
      <c r="S19" s="308">
        <f t="shared" si="10"/>
        <v>0</v>
      </c>
      <c r="T19" s="308">
        <f t="shared" si="11"/>
        <v>0</v>
      </c>
      <c r="U19" s="308">
        <f t="shared" si="12"/>
        <v>0</v>
      </c>
      <c r="V19" s="308">
        <f t="shared" si="13"/>
        <v>0</v>
      </c>
      <c r="W19" s="526">
        <f t="shared" si="14"/>
        <v>0</v>
      </c>
      <c r="X19" s="525">
        <f>'8b-ADIT Projection Proration'!K19</f>
        <v>0</v>
      </c>
      <c r="Y19" s="308">
        <f t="shared" si="15"/>
        <v>0</v>
      </c>
      <c r="Z19" s="308">
        <f t="shared" si="16"/>
        <v>0</v>
      </c>
      <c r="AA19" s="527">
        <v>0</v>
      </c>
      <c r="AB19" s="308">
        <f t="shared" si="17"/>
        <v>0</v>
      </c>
      <c r="AC19" s="308">
        <f t="shared" si="18"/>
        <v>0</v>
      </c>
      <c r="AD19" s="308">
        <f t="shared" si="19"/>
        <v>0</v>
      </c>
      <c r="AE19" s="308">
        <f t="shared" si="20"/>
        <v>0</v>
      </c>
      <c r="AF19" s="526">
        <f t="shared" si="21"/>
        <v>0</v>
      </c>
    </row>
    <row r="20" spans="1:33">
      <c r="A20" s="522">
        <f t="shared" si="0"/>
        <v>12</v>
      </c>
      <c r="B20" s="512" t="s">
        <v>900</v>
      </c>
      <c r="C20" s="511" t="s">
        <v>687</v>
      </c>
      <c r="D20" s="523">
        <f>'8b-ADIT Projection Proration'!D20</f>
        <v>2022</v>
      </c>
      <c r="E20" s="524">
        <f>32/365</f>
        <v>8.7671232876712329E-2</v>
      </c>
      <c r="F20" s="525">
        <f>'8b-ADIT Projection Proration'!G20</f>
        <v>-32685.84086107387</v>
      </c>
      <c r="G20" s="308">
        <f t="shared" si="1"/>
        <v>-2865.6079659023667</v>
      </c>
      <c r="H20" s="308">
        <f t="shared" si="2"/>
        <v>-308634.11953246465</v>
      </c>
      <c r="I20" s="527">
        <v>0</v>
      </c>
      <c r="J20" s="308">
        <f t="shared" si="3"/>
        <v>32685.84086107387</v>
      </c>
      <c r="K20" s="308">
        <f t="shared" si="4"/>
        <v>32685.84086107387</v>
      </c>
      <c r="L20" s="308">
        <f t="shared" si="5"/>
        <v>0</v>
      </c>
      <c r="M20" s="308">
        <f t="shared" si="6"/>
        <v>0</v>
      </c>
      <c r="N20" s="526">
        <f t="shared" si="7"/>
        <v>177936.34463275009</v>
      </c>
      <c r="O20" s="525">
        <f>'8b-ADIT Projection Proration'!I20</f>
        <v>0</v>
      </c>
      <c r="P20" s="308">
        <f t="shared" si="8"/>
        <v>0</v>
      </c>
      <c r="Q20" s="308">
        <f t="shared" si="9"/>
        <v>0</v>
      </c>
      <c r="R20" s="527">
        <v>0</v>
      </c>
      <c r="S20" s="308">
        <f t="shared" si="10"/>
        <v>0</v>
      </c>
      <c r="T20" s="308">
        <f t="shared" si="11"/>
        <v>0</v>
      </c>
      <c r="U20" s="308">
        <f t="shared" si="12"/>
        <v>0</v>
      </c>
      <c r="V20" s="308">
        <f t="shared" si="13"/>
        <v>0</v>
      </c>
      <c r="W20" s="526">
        <f t="shared" si="14"/>
        <v>0</v>
      </c>
      <c r="X20" s="525">
        <f>'8b-ADIT Projection Proration'!K20</f>
        <v>0</v>
      </c>
      <c r="Y20" s="308">
        <f t="shared" si="15"/>
        <v>0</v>
      </c>
      <c r="Z20" s="308">
        <f t="shared" si="16"/>
        <v>0</v>
      </c>
      <c r="AA20" s="527">
        <v>0</v>
      </c>
      <c r="AB20" s="308">
        <f t="shared" si="17"/>
        <v>0</v>
      </c>
      <c r="AC20" s="308">
        <f t="shared" si="18"/>
        <v>0</v>
      </c>
      <c r="AD20" s="308">
        <f t="shared" si="19"/>
        <v>0</v>
      </c>
      <c r="AE20" s="308">
        <f t="shared" si="20"/>
        <v>0</v>
      </c>
      <c r="AF20" s="526">
        <f t="shared" si="21"/>
        <v>0</v>
      </c>
    </row>
    <row r="21" spans="1:33">
      <c r="A21" s="522">
        <f t="shared" si="0"/>
        <v>13</v>
      </c>
      <c r="B21" s="512" t="s">
        <v>900</v>
      </c>
      <c r="C21" s="511" t="s">
        <v>752</v>
      </c>
      <c r="D21" s="523">
        <f>'8b-ADIT Projection Proration'!D21</f>
        <v>2022</v>
      </c>
      <c r="E21" s="524">
        <f>1/365</f>
        <v>2.7397260273972603E-3</v>
      </c>
      <c r="F21" s="528">
        <f>'8b-ADIT Projection Proration'!G21</f>
        <v>-32685.84086107387</v>
      </c>
      <c r="G21" s="529">
        <f t="shared" si="1"/>
        <v>-89.550248934448959</v>
      </c>
      <c r="H21" s="529">
        <f t="shared" si="2"/>
        <v>-308723.66978139908</v>
      </c>
      <c r="I21" s="530">
        <v>0</v>
      </c>
      <c r="J21" s="529">
        <f t="shared" si="3"/>
        <v>32685.84086107387</v>
      </c>
      <c r="K21" s="529">
        <f t="shared" si="4"/>
        <v>32685.84086107387</v>
      </c>
      <c r="L21" s="529">
        <f t="shared" si="5"/>
        <v>0</v>
      </c>
      <c r="M21" s="529">
        <f t="shared" si="6"/>
        <v>0</v>
      </c>
      <c r="N21" s="531">
        <f t="shared" si="7"/>
        <v>210532.6352448895</v>
      </c>
      <c r="O21" s="528">
        <f>'8b-ADIT Projection Proration'!I21</f>
        <v>0</v>
      </c>
      <c r="P21" s="529">
        <f t="shared" si="8"/>
        <v>0</v>
      </c>
      <c r="Q21" s="529">
        <f t="shared" si="9"/>
        <v>0</v>
      </c>
      <c r="R21" s="530">
        <v>0</v>
      </c>
      <c r="S21" s="529">
        <f t="shared" si="10"/>
        <v>0</v>
      </c>
      <c r="T21" s="529">
        <f t="shared" si="11"/>
        <v>0</v>
      </c>
      <c r="U21" s="529">
        <f t="shared" si="12"/>
        <v>0</v>
      </c>
      <c r="V21" s="529">
        <f t="shared" si="13"/>
        <v>0</v>
      </c>
      <c r="W21" s="531">
        <f t="shared" si="14"/>
        <v>0</v>
      </c>
      <c r="X21" s="528">
        <f>'8b-ADIT Projection Proration'!K21</f>
        <v>0</v>
      </c>
      <c r="Y21" s="529">
        <f t="shared" si="15"/>
        <v>0</v>
      </c>
      <c r="Z21" s="529">
        <f t="shared" si="16"/>
        <v>0</v>
      </c>
      <c r="AA21" s="530">
        <v>0</v>
      </c>
      <c r="AB21" s="529">
        <f t="shared" si="17"/>
        <v>0</v>
      </c>
      <c r="AC21" s="529">
        <f t="shared" si="18"/>
        <v>0</v>
      </c>
      <c r="AD21" s="529">
        <f t="shared" si="19"/>
        <v>0</v>
      </c>
      <c r="AE21" s="529">
        <f t="shared" si="20"/>
        <v>0</v>
      </c>
      <c r="AF21" s="531">
        <f t="shared" si="21"/>
        <v>0</v>
      </c>
    </row>
    <row r="22" spans="1:33">
      <c r="A22" s="522">
        <f t="shared" si="0"/>
        <v>14</v>
      </c>
      <c r="B22" s="512" t="s">
        <v>901</v>
      </c>
      <c r="D22" s="308"/>
      <c r="F22" s="525">
        <f>SUM(F9:F21)</f>
        <v>-392230.09033288644</v>
      </c>
      <c r="G22" s="308">
        <f>SUM(G9:G21)</f>
        <v>-181697.4550879969</v>
      </c>
      <c r="H22" s="308"/>
      <c r="I22" s="308">
        <f>SUM(I9:I21)</f>
        <v>0</v>
      </c>
      <c r="J22" s="308">
        <f>SUM(J9:J21)</f>
        <v>392230.09033288644</v>
      </c>
      <c r="K22" s="308">
        <f>SUM(K9:K21)</f>
        <v>392230.09033288644</v>
      </c>
      <c r="L22" s="308">
        <f>SUM(L9:L21)</f>
        <v>0</v>
      </c>
      <c r="M22" s="308">
        <f>SUM(M9:M21)</f>
        <v>0</v>
      </c>
      <c r="N22" s="526"/>
      <c r="O22" s="525">
        <f>SUM(O9:O21)</f>
        <v>0</v>
      </c>
      <c r="P22" s="308">
        <f>SUM(P9:P21)</f>
        <v>0</v>
      </c>
      <c r="Q22" s="308"/>
      <c r="R22" s="308">
        <f>SUM(R9:R21)</f>
        <v>0</v>
      </c>
      <c r="S22" s="308">
        <f>SUM(S9:S21)</f>
        <v>0</v>
      </c>
      <c r="T22" s="308">
        <f>SUM(T9:T21)</f>
        <v>0</v>
      </c>
      <c r="U22" s="308">
        <f>SUM(U9:U21)</f>
        <v>0</v>
      </c>
      <c r="V22" s="308">
        <f>SUM(V9:V21)</f>
        <v>0</v>
      </c>
      <c r="W22" s="526"/>
      <c r="X22" s="525">
        <f>SUM(X9:X21)</f>
        <v>0</v>
      </c>
      <c r="Y22" s="308">
        <f>SUM(Y9:Y21)</f>
        <v>0</v>
      </c>
      <c r="Z22" s="308"/>
      <c r="AA22" s="308">
        <f>SUM(AA9:AA21)</f>
        <v>0</v>
      </c>
      <c r="AB22" s="308">
        <f>SUM(AB9:AB21)</f>
        <v>0</v>
      </c>
      <c r="AC22" s="308">
        <f>SUM(AC9:AC21)</f>
        <v>0</v>
      </c>
      <c r="AD22" s="308">
        <f>SUM(AD9:AD21)</f>
        <v>0</v>
      </c>
      <c r="AE22" s="308">
        <f>SUM(AE9:AE21)</f>
        <v>0</v>
      </c>
      <c r="AF22" s="526"/>
    </row>
    <row r="23" spans="1:33">
      <c r="A23" s="522"/>
      <c r="F23" s="525"/>
      <c r="G23" s="308"/>
      <c r="H23" s="308"/>
      <c r="I23" s="308"/>
      <c r="J23" s="308"/>
      <c r="K23" s="308"/>
      <c r="L23" s="308"/>
      <c r="M23" s="308"/>
      <c r="N23" s="526"/>
      <c r="O23" s="525"/>
      <c r="P23" s="308"/>
      <c r="Q23" s="308"/>
      <c r="R23" s="308"/>
      <c r="S23" s="308"/>
      <c r="T23" s="308"/>
      <c r="U23" s="308"/>
      <c r="V23" s="308"/>
      <c r="W23" s="526"/>
      <c r="X23" s="525"/>
      <c r="Y23" s="308"/>
      <c r="Z23" s="308"/>
      <c r="AA23" s="308"/>
      <c r="AB23" s="308"/>
      <c r="AC23" s="308"/>
      <c r="AD23" s="308"/>
      <c r="AE23" s="308"/>
      <c r="AF23" s="526"/>
    </row>
    <row r="24" spans="1:33">
      <c r="A24" s="511" t="s">
        <v>971</v>
      </c>
      <c r="D24" s="513"/>
      <c r="E24" s="513"/>
      <c r="F24" s="525"/>
      <c r="G24" s="308"/>
      <c r="H24" s="308"/>
      <c r="I24" s="308"/>
      <c r="J24" s="308"/>
      <c r="K24" s="308"/>
      <c r="L24" s="308"/>
      <c r="M24" s="308"/>
      <c r="N24" s="526"/>
      <c r="O24" s="525"/>
      <c r="P24" s="308"/>
      <c r="Q24" s="308"/>
      <c r="R24" s="308"/>
      <c r="S24" s="308"/>
      <c r="T24" s="308"/>
      <c r="U24" s="308"/>
      <c r="V24" s="308"/>
      <c r="W24" s="526"/>
      <c r="X24" s="525"/>
      <c r="Y24" s="308"/>
      <c r="Z24" s="308"/>
      <c r="AA24" s="308"/>
      <c r="AB24" s="308"/>
      <c r="AC24" s="308"/>
      <c r="AD24" s="308"/>
      <c r="AE24" s="308"/>
      <c r="AF24" s="526"/>
      <c r="AG24" s="513"/>
    </row>
    <row r="25" spans="1:33">
      <c r="A25" s="522">
        <f>A22+1</f>
        <v>15</v>
      </c>
      <c r="B25" s="512" t="s">
        <v>902</v>
      </c>
      <c r="C25" s="511" t="s">
        <v>752</v>
      </c>
      <c r="D25" s="523">
        <f>D9</f>
        <v>2021</v>
      </c>
      <c r="E25" s="524">
        <f>365/365</f>
        <v>1</v>
      </c>
      <c r="F25" s="525"/>
      <c r="G25" s="308"/>
      <c r="H25" s="308">
        <f>'8c- ADIT BOY'!E73</f>
        <v>0</v>
      </c>
      <c r="I25" s="308"/>
      <c r="J25" s="308"/>
      <c r="K25" s="308"/>
      <c r="L25" s="308"/>
      <c r="M25" s="308"/>
      <c r="N25" s="526"/>
      <c r="O25" s="525"/>
      <c r="P25" s="308"/>
      <c r="Q25" s="308">
        <f>'8c- ADIT BOY'!F73</f>
        <v>0</v>
      </c>
      <c r="R25" s="308"/>
      <c r="S25" s="308"/>
      <c r="T25" s="308"/>
      <c r="U25" s="308"/>
      <c r="V25" s="308"/>
      <c r="W25" s="526"/>
      <c r="X25" s="525"/>
      <c r="Y25" s="308"/>
      <c r="Z25" s="308">
        <f>'8c- ADIT BOY'!G73</f>
        <v>0</v>
      </c>
      <c r="AA25" s="308"/>
      <c r="AB25" s="308"/>
      <c r="AC25" s="308"/>
      <c r="AD25" s="308"/>
      <c r="AE25" s="308"/>
      <c r="AF25" s="526"/>
    </row>
    <row r="26" spans="1:33">
      <c r="A26" s="522">
        <f t="shared" ref="A26:A38" si="22">+A25+1</f>
        <v>16</v>
      </c>
      <c r="B26" s="512" t="s">
        <v>900</v>
      </c>
      <c r="C26" s="511" t="s">
        <v>677</v>
      </c>
      <c r="D26" s="523">
        <f t="shared" ref="D26:D37" si="23">D10</f>
        <v>2022</v>
      </c>
      <c r="E26" s="524">
        <f>335/365</f>
        <v>0.9178082191780822</v>
      </c>
      <c r="F26" s="525">
        <f>'8b-ADIT Projection Proration'!G26</f>
        <v>0</v>
      </c>
      <c r="G26" s="308">
        <f t="shared" ref="G26:G37" si="24">$E26*F26</f>
        <v>0</v>
      </c>
      <c r="H26" s="308">
        <f t="shared" ref="H26:H37" si="25">+G26+H25</f>
        <v>0</v>
      </c>
      <c r="I26" s="527">
        <v>0</v>
      </c>
      <c r="J26" s="308">
        <f t="shared" ref="J26:J37" si="26">I26-F26</f>
        <v>0</v>
      </c>
      <c r="K26" s="308">
        <f t="shared" ref="K26:K37" si="27">IF(J26&gt;=0,+J26,0)</f>
        <v>0</v>
      </c>
      <c r="L26" s="308">
        <f t="shared" ref="L26:L37" si="28">IF(K26&gt;0,0,IF(I26&lt;0,0,(-(J26)*($E26))))</f>
        <v>0</v>
      </c>
      <c r="M26" s="308">
        <f t="shared" ref="M26:M37" si="29">IF(K26&gt;0,0,IF(I26&gt;0,0,(-(J26)*($E26))))</f>
        <v>0</v>
      </c>
      <c r="N26" s="526">
        <f t="shared" ref="N26:N37" si="30">IF(I26&lt;0,N25+M26,N25+$G26+K26-L26)</f>
        <v>0</v>
      </c>
      <c r="O26" s="525">
        <f>'8b-ADIT Projection Proration'!I26</f>
        <v>0</v>
      </c>
      <c r="P26" s="308">
        <f t="shared" ref="P26:P37" si="31">$E26*O26</f>
        <v>0</v>
      </c>
      <c r="Q26" s="308">
        <f t="shared" ref="Q26:Q37" si="32">+P26+Q25</f>
        <v>0</v>
      </c>
      <c r="R26" s="527">
        <v>0</v>
      </c>
      <c r="S26" s="308">
        <f t="shared" ref="S26:S37" si="33">R26-O26</f>
        <v>0</v>
      </c>
      <c r="T26" s="308">
        <f t="shared" ref="T26:T37" si="34">IF(S26&gt;=0,+S26,0)</f>
        <v>0</v>
      </c>
      <c r="U26" s="308">
        <f t="shared" ref="U26:U37" si="35">IF(T26&gt;0,0,IF(R26&lt;0,0,(-(S26)*($E26))))</f>
        <v>0</v>
      </c>
      <c r="V26" s="308">
        <f t="shared" ref="V26:V37" si="36">IF(T26&gt;0,0,IF(R26&gt;0,0,(-(S26)*($E26))))</f>
        <v>0</v>
      </c>
      <c r="W26" s="526">
        <f t="shared" ref="W26:W37" si="37">IF(R26&lt;0,W25+V26,W25+P26+T26-U26)</f>
        <v>0</v>
      </c>
      <c r="X26" s="525">
        <f>'8b-ADIT Projection Proration'!K26</f>
        <v>0</v>
      </c>
      <c r="Y26" s="308">
        <f t="shared" ref="Y26:Y37" si="38">$E26*X26</f>
        <v>0</v>
      </c>
      <c r="Z26" s="308">
        <f t="shared" ref="Z26:Z37" si="39">+Y26+Z25</f>
        <v>0</v>
      </c>
      <c r="AA26" s="527">
        <v>0</v>
      </c>
      <c r="AB26" s="308">
        <f t="shared" ref="AB26:AB37" si="40">AA26-X26</f>
        <v>0</v>
      </c>
      <c r="AC26" s="308">
        <f t="shared" ref="AC26:AC37" si="41">IF(AB26&gt;=0,+AB26,0)</f>
        <v>0</v>
      </c>
      <c r="AD26" s="308">
        <f t="shared" ref="AD26:AD37" si="42">IF(AC26&gt;0,0,IF(AA26&lt;0,0,(-(AB26)*($E26))))</f>
        <v>0</v>
      </c>
      <c r="AE26" s="308">
        <f t="shared" ref="AE26:AE37" si="43">IF(AC26&gt;0,0,IF(AA26&gt;0,0,(-(AB26)*($E26))))</f>
        <v>0</v>
      </c>
      <c r="AF26" s="526">
        <f t="shared" ref="AF26:AF37" si="44">IF(AA26&lt;0,AF25+AE26,AF25+Y26+AC26-AD26)</f>
        <v>0</v>
      </c>
    </row>
    <row r="27" spans="1:33">
      <c r="A27" s="522">
        <f t="shared" si="22"/>
        <v>17</v>
      </c>
      <c r="B27" s="512" t="s">
        <v>900</v>
      </c>
      <c r="C27" s="511" t="s">
        <v>678</v>
      </c>
      <c r="D27" s="523">
        <f t="shared" si="23"/>
        <v>2022</v>
      </c>
      <c r="E27" s="524">
        <f>307/365</f>
        <v>0.84109589041095889</v>
      </c>
      <c r="F27" s="525">
        <f>'8b-ADIT Projection Proration'!G27</f>
        <v>0</v>
      </c>
      <c r="G27" s="308">
        <f t="shared" si="24"/>
        <v>0</v>
      </c>
      <c r="H27" s="308">
        <f t="shared" si="25"/>
        <v>0</v>
      </c>
      <c r="I27" s="527">
        <v>0</v>
      </c>
      <c r="J27" s="308">
        <f t="shared" si="26"/>
        <v>0</v>
      </c>
      <c r="K27" s="308">
        <f t="shared" si="27"/>
        <v>0</v>
      </c>
      <c r="L27" s="308">
        <f t="shared" si="28"/>
        <v>0</v>
      </c>
      <c r="M27" s="308">
        <f t="shared" si="29"/>
        <v>0</v>
      </c>
      <c r="N27" s="526">
        <f t="shared" si="30"/>
        <v>0</v>
      </c>
      <c r="O27" s="525">
        <f>'8b-ADIT Projection Proration'!I27</f>
        <v>0</v>
      </c>
      <c r="P27" s="308">
        <f t="shared" si="31"/>
        <v>0</v>
      </c>
      <c r="Q27" s="308">
        <f t="shared" si="32"/>
        <v>0</v>
      </c>
      <c r="R27" s="527">
        <v>0</v>
      </c>
      <c r="S27" s="308">
        <f t="shared" si="33"/>
        <v>0</v>
      </c>
      <c r="T27" s="308">
        <f t="shared" si="34"/>
        <v>0</v>
      </c>
      <c r="U27" s="308">
        <f t="shared" si="35"/>
        <v>0</v>
      </c>
      <c r="V27" s="308">
        <f t="shared" si="36"/>
        <v>0</v>
      </c>
      <c r="W27" s="526">
        <f t="shared" si="37"/>
        <v>0</v>
      </c>
      <c r="X27" s="525">
        <f>'8b-ADIT Projection Proration'!K27</f>
        <v>0</v>
      </c>
      <c r="Y27" s="308">
        <f t="shared" si="38"/>
        <v>0</v>
      </c>
      <c r="Z27" s="308">
        <f t="shared" si="39"/>
        <v>0</v>
      </c>
      <c r="AA27" s="527">
        <v>0</v>
      </c>
      <c r="AB27" s="308">
        <f t="shared" si="40"/>
        <v>0</v>
      </c>
      <c r="AC27" s="308">
        <f t="shared" si="41"/>
        <v>0</v>
      </c>
      <c r="AD27" s="308">
        <f t="shared" si="42"/>
        <v>0</v>
      </c>
      <c r="AE27" s="308">
        <f t="shared" si="43"/>
        <v>0</v>
      </c>
      <c r="AF27" s="526">
        <f t="shared" si="44"/>
        <v>0</v>
      </c>
    </row>
    <row r="28" spans="1:33">
      <c r="A28" s="522">
        <f t="shared" si="22"/>
        <v>18</v>
      </c>
      <c r="B28" s="512" t="s">
        <v>900</v>
      </c>
      <c r="C28" s="511" t="s">
        <v>749</v>
      </c>
      <c r="D28" s="523">
        <f t="shared" si="23"/>
        <v>2022</v>
      </c>
      <c r="E28" s="524">
        <f>276/365</f>
        <v>0.75616438356164384</v>
      </c>
      <c r="F28" s="525">
        <f>'8b-ADIT Projection Proration'!G28</f>
        <v>0</v>
      </c>
      <c r="G28" s="308">
        <f t="shared" si="24"/>
        <v>0</v>
      </c>
      <c r="H28" s="308">
        <f t="shared" si="25"/>
        <v>0</v>
      </c>
      <c r="I28" s="527">
        <v>0</v>
      </c>
      <c r="J28" s="308">
        <f t="shared" si="26"/>
        <v>0</v>
      </c>
      <c r="K28" s="308">
        <f t="shared" si="27"/>
        <v>0</v>
      </c>
      <c r="L28" s="308">
        <f t="shared" si="28"/>
        <v>0</v>
      </c>
      <c r="M28" s="308">
        <f t="shared" si="29"/>
        <v>0</v>
      </c>
      <c r="N28" s="526">
        <f t="shared" si="30"/>
        <v>0</v>
      </c>
      <c r="O28" s="525">
        <f>'8b-ADIT Projection Proration'!I28</f>
        <v>0</v>
      </c>
      <c r="P28" s="308">
        <f t="shared" si="31"/>
        <v>0</v>
      </c>
      <c r="Q28" s="308">
        <f t="shared" si="32"/>
        <v>0</v>
      </c>
      <c r="R28" s="527">
        <v>0</v>
      </c>
      <c r="S28" s="308">
        <f t="shared" si="33"/>
        <v>0</v>
      </c>
      <c r="T28" s="308">
        <f t="shared" si="34"/>
        <v>0</v>
      </c>
      <c r="U28" s="308">
        <f t="shared" si="35"/>
        <v>0</v>
      </c>
      <c r="V28" s="308">
        <f t="shared" si="36"/>
        <v>0</v>
      </c>
      <c r="W28" s="526">
        <f t="shared" si="37"/>
        <v>0</v>
      </c>
      <c r="X28" s="525">
        <f>'8b-ADIT Projection Proration'!K28</f>
        <v>0</v>
      </c>
      <c r="Y28" s="308">
        <f t="shared" si="38"/>
        <v>0</v>
      </c>
      <c r="Z28" s="308">
        <f t="shared" si="39"/>
        <v>0</v>
      </c>
      <c r="AA28" s="527">
        <v>0</v>
      </c>
      <c r="AB28" s="308">
        <f t="shared" si="40"/>
        <v>0</v>
      </c>
      <c r="AC28" s="308">
        <f t="shared" si="41"/>
        <v>0</v>
      </c>
      <c r="AD28" s="308">
        <f t="shared" si="42"/>
        <v>0</v>
      </c>
      <c r="AE28" s="308">
        <f t="shared" si="43"/>
        <v>0</v>
      </c>
      <c r="AF28" s="526">
        <f t="shared" si="44"/>
        <v>0</v>
      </c>
    </row>
    <row r="29" spans="1:33">
      <c r="A29" s="522">
        <f t="shared" si="22"/>
        <v>19</v>
      </c>
      <c r="B29" s="512" t="s">
        <v>900</v>
      </c>
      <c r="C29" s="511" t="s">
        <v>680</v>
      </c>
      <c r="D29" s="523">
        <f t="shared" si="23"/>
        <v>2022</v>
      </c>
      <c r="E29" s="524">
        <f>246/365</f>
        <v>0.67397260273972603</v>
      </c>
      <c r="F29" s="525">
        <f>'8b-ADIT Projection Proration'!G29</f>
        <v>0</v>
      </c>
      <c r="G29" s="308">
        <f t="shared" si="24"/>
        <v>0</v>
      </c>
      <c r="H29" s="308">
        <f t="shared" si="25"/>
        <v>0</v>
      </c>
      <c r="I29" s="527">
        <v>0</v>
      </c>
      <c r="J29" s="308">
        <f t="shared" si="26"/>
        <v>0</v>
      </c>
      <c r="K29" s="308">
        <f t="shared" si="27"/>
        <v>0</v>
      </c>
      <c r="L29" s="308">
        <f t="shared" si="28"/>
        <v>0</v>
      </c>
      <c r="M29" s="308">
        <f t="shared" si="29"/>
        <v>0</v>
      </c>
      <c r="N29" s="526">
        <f t="shared" si="30"/>
        <v>0</v>
      </c>
      <c r="O29" s="525">
        <f>'8b-ADIT Projection Proration'!I29</f>
        <v>0</v>
      </c>
      <c r="P29" s="308">
        <f t="shared" si="31"/>
        <v>0</v>
      </c>
      <c r="Q29" s="308">
        <f t="shared" si="32"/>
        <v>0</v>
      </c>
      <c r="R29" s="527">
        <v>0</v>
      </c>
      <c r="S29" s="308">
        <f t="shared" si="33"/>
        <v>0</v>
      </c>
      <c r="T29" s="308">
        <f t="shared" si="34"/>
        <v>0</v>
      </c>
      <c r="U29" s="308">
        <f t="shared" si="35"/>
        <v>0</v>
      </c>
      <c r="V29" s="308">
        <f t="shared" si="36"/>
        <v>0</v>
      </c>
      <c r="W29" s="526">
        <f t="shared" si="37"/>
        <v>0</v>
      </c>
      <c r="X29" s="525">
        <f>'8b-ADIT Projection Proration'!K29</f>
        <v>0</v>
      </c>
      <c r="Y29" s="308">
        <f t="shared" si="38"/>
        <v>0</v>
      </c>
      <c r="Z29" s="308">
        <f t="shared" si="39"/>
        <v>0</v>
      </c>
      <c r="AA29" s="527">
        <v>0</v>
      </c>
      <c r="AB29" s="308">
        <f t="shared" si="40"/>
        <v>0</v>
      </c>
      <c r="AC29" s="308">
        <f t="shared" si="41"/>
        <v>0</v>
      </c>
      <c r="AD29" s="308">
        <f t="shared" si="42"/>
        <v>0</v>
      </c>
      <c r="AE29" s="308">
        <f t="shared" si="43"/>
        <v>0</v>
      </c>
      <c r="AF29" s="526">
        <f t="shared" si="44"/>
        <v>0</v>
      </c>
    </row>
    <row r="30" spans="1:33">
      <c r="A30" s="522">
        <f t="shared" si="22"/>
        <v>20</v>
      </c>
      <c r="B30" s="512" t="s">
        <v>900</v>
      </c>
      <c r="C30" s="511" t="s">
        <v>681</v>
      </c>
      <c r="D30" s="523">
        <f t="shared" si="23"/>
        <v>2022</v>
      </c>
      <c r="E30" s="524">
        <f>215/365</f>
        <v>0.58904109589041098</v>
      </c>
      <c r="F30" s="525">
        <f>'8b-ADIT Projection Proration'!G30</f>
        <v>0</v>
      </c>
      <c r="G30" s="308">
        <f t="shared" si="24"/>
        <v>0</v>
      </c>
      <c r="H30" s="308">
        <f t="shared" si="25"/>
        <v>0</v>
      </c>
      <c r="I30" s="527">
        <v>0</v>
      </c>
      <c r="J30" s="308">
        <f t="shared" si="26"/>
        <v>0</v>
      </c>
      <c r="K30" s="308">
        <f t="shared" si="27"/>
        <v>0</v>
      </c>
      <c r="L30" s="308">
        <f t="shared" si="28"/>
        <v>0</v>
      </c>
      <c r="M30" s="308">
        <f t="shared" si="29"/>
        <v>0</v>
      </c>
      <c r="N30" s="526">
        <f t="shared" si="30"/>
        <v>0</v>
      </c>
      <c r="O30" s="525">
        <f>'8b-ADIT Projection Proration'!I30</f>
        <v>0</v>
      </c>
      <c r="P30" s="308">
        <f t="shared" si="31"/>
        <v>0</v>
      </c>
      <c r="Q30" s="308">
        <f t="shared" si="32"/>
        <v>0</v>
      </c>
      <c r="R30" s="527">
        <v>0</v>
      </c>
      <c r="S30" s="308">
        <f t="shared" si="33"/>
        <v>0</v>
      </c>
      <c r="T30" s="308">
        <f t="shared" si="34"/>
        <v>0</v>
      </c>
      <c r="U30" s="308">
        <f t="shared" si="35"/>
        <v>0</v>
      </c>
      <c r="V30" s="308">
        <f t="shared" si="36"/>
        <v>0</v>
      </c>
      <c r="W30" s="526">
        <f t="shared" si="37"/>
        <v>0</v>
      </c>
      <c r="X30" s="525">
        <f>'8b-ADIT Projection Proration'!K30</f>
        <v>0</v>
      </c>
      <c r="Y30" s="308">
        <f t="shared" si="38"/>
        <v>0</v>
      </c>
      <c r="Z30" s="308">
        <f t="shared" si="39"/>
        <v>0</v>
      </c>
      <c r="AA30" s="527">
        <v>0</v>
      </c>
      <c r="AB30" s="308">
        <f t="shared" si="40"/>
        <v>0</v>
      </c>
      <c r="AC30" s="308">
        <f t="shared" si="41"/>
        <v>0</v>
      </c>
      <c r="AD30" s="308">
        <f t="shared" si="42"/>
        <v>0</v>
      </c>
      <c r="AE30" s="308">
        <f t="shared" si="43"/>
        <v>0</v>
      </c>
      <c r="AF30" s="526">
        <f t="shared" si="44"/>
        <v>0</v>
      </c>
    </row>
    <row r="31" spans="1:33">
      <c r="A31" s="522">
        <f t="shared" si="22"/>
        <v>21</v>
      </c>
      <c r="B31" s="512" t="s">
        <v>900</v>
      </c>
      <c r="C31" s="511" t="s">
        <v>682</v>
      </c>
      <c r="D31" s="523">
        <f t="shared" si="23"/>
        <v>2022</v>
      </c>
      <c r="E31" s="524">
        <f>185/365</f>
        <v>0.50684931506849318</v>
      </c>
      <c r="F31" s="525">
        <f>'8b-ADIT Projection Proration'!G31</f>
        <v>0</v>
      </c>
      <c r="G31" s="308">
        <f t="shared" si="24"/>
        <v>0</v>
      </c>
      <c r="H31" s="308">
        <f t="shared" si="25"/>
        <v>0</v>
      </c>
      <c r="I31" s="527">
        <v>0</v>
      </c>
      <c r="J31" s="308">
        <f t="shared" si="26"/>
        <v>0</v>
      </c>
      <c r="K31" s="308">
        <f t="shared" si="27"/>
        <v>0</v>
      </c>
      <c r="L31" s="308">
        <f t="shared" si="28"/>
        <v>0</v>
      </c>
      <c r="M31" s="308">
        <f t="shared" si="29"/>
        <v>0</v>
      </c>
      <c r="N31" s="526">
        <f t="shared" si="30"/>
        <v>0</v>
      </c>
      <c r="O31" s="525">
        <f>'8b-ADIT Projection Proration'!I31</f>
        <v>0</v>
      </c>
      <c r="P31" s="308">
        <f t="shared" si="31"/>
        <v>0</v>
      </c>
      <c r="Q31" s="308">
        <f t="shared" si="32"/>
        <v>0</v>
      </c>
      <c r="R31" s="527">
        <v>0</v>
      </c>
      <c r="S31" s="308">
        <f t="shared" si="33"/>
        <v>0</v>
      </c>
      <c r="T31" s="308">
        <f t="shared" si="34"/>
        <v>0</v>
      </c>
      <c r="U31" s="308">
        <f t="shared" si="35"/>
        <v>0</v>
      </c>
      <c r="V31" s="308">
        <f t="shared" si="36"/>
        <v>0</v>
      </c>
      <c r="W31" s="526">
        <f t="shared" si="37"/>
        <v>0</v>
      </c>
      <c r="X31" s="525">
        <f>'8b-ADIT Projection Proration'!K31</f>
        <v>0</v>
      </c>
      <c r="Y31" s="308">
        <f t="shared" si="38"/>
        <v>0</v>
      </c>
      <c r="Z31" s="308">
        <f t="shared" si="39"/>
        <v>0</v>
      </c>
      <c r="AA31" s="527">
        <v>0</v>
      </c>
      <c r="AB31" s="308">
        <f t="shared" si="40"/>
        <v>0</v>
      </c>
      <c r="AC31" s="308">
        <f t="shared" si="41"/>
        <v>0</v>
      </c>
      <c r="AD31" s="308">
        <f t="shared" si="42"/>
        <v>0</v>
      </c>
      <c r="AE31" s="308">
        <f t="shared" si="43"/>
        <v>0</v>
      </c>
      <c r="AF31" s="526">
        <f t="shared" si="44"/>
        <v>0</v>
      </c>
    </row>
    <row r="32" spans="1:33">
      <c r="A32" s="522">
        <f t="shared" si="22"/>
        <v>22</v>
      </c>
      <c r="B32" s="512" t="s">
        <v>900</v>
      </c>
      <c r="C32" s="511" t="s">
        <v>683</v>
      </c>
      <c r="D32" s="523">
        <f t="shared" si="23"/>
        <v>2022</v>
      </c>
      <c r="E32" s="524">
        <f>154/365</f>
        <v>0.42191780821917807</v>
      </c>
      <c r="F32" s="525">
        <f>'8b-ADIT Projection Proration'!G32</f>
        <v>0</v>
      </c>
      <c r="G32" s="308">
        <f t="shared" si="24"/>
        <v>0</v>
      </c>
      <c r="H32" s="308">
        <f t="shared" si="25"/>
        <v>0</v>
      </c>
      <c r="I32" s="527">
        <v>0</v>
      </c>
      <c r="J32" s="308">
        <f t="shared" si="26"/>
        <v>0</v>
      </c>
      <c r="K32" s="308">
        <f t="shared" si="27"/>
        <v>0</v>
      </c>
      <c r="L32" s="308">
        <f t="shared" si="28"/>
        <v>0</v>
      </c>
      <c r="M32" s="308">
        <f t="shared" si="29"/>
        <v>0</v>
      </c>
      <c r="N32" s="526">
        <f t="shared" si="30"/>
        <v>0</v>
      </c>
      <c r="O32" s="525">
        <f>'8b-ADIT Projection Proration'!I32</f>
        <v>0</v>
      </c>
      <c r="P32" s="308">
        <f t="shared" si="31"/>
        <v>0</v>
      </c>
      <c r="Q32" s="308">
        <f t="shared" si="32"/>
        <v>0</v>
      </c>
      <c r="R32" s="527">
        <v>0</v>
      </c>
      <c r="S32" s="308">
        <f t="shared" si="33"/>
        <v>0</v>
      </c>
      <c r="T32" s="308">
        <f t="shared" si="34"/>
        <v>0</v>
      </c>
      <c r="U32" s="308">
        <f t="shared" si="35"/>
        <v>0</v>
      </c>
      <c r="V32" s="308">
        <f t="shared" si="36"/>
        <v>0</v>
      </c>
      <c r="W32" s="526">
        <f t="shared" si="37"/>
        <v>0</v>
      </c>
      <c r="X32" s="525">
        <f>'8b-ADIT Projection Proration'!K32</f>
        <v>0</v>
      </c>
      <c r="Y32" s="308">
        <f t="shared" si="38"/>
        <v>0</v>
      </c>
      <c r="Z32" s="308">
        <f t="shared" si="39"/>
        <v>0</v>
      </c>
      <c r="AA32" s="527">
        <v>0</v>
      </c>
      <c r="AB32" s="308">
        <f t="shared" si="40"/>
        <v>0</v>
      </c>
      <c r="AC32" s="308">
        <f t="shared" si="41"/>
        <v>0</v>
      </c>
      <c r="AD32" s="308">
        <f t="shared" si="42"/>
        <v>0</v>
      </c>
      <c r="AE32" s="308">
        <f t="shared" si="43"/>
        <v>0</v>
      </c>
      <c r="AF32" s="526">
        <f t="shared" si="44"/>
        <v>0</v>
      </c>
    </row>
    <row r="33" spans="1:33">
      <c r="A33" s="522">
        <f t="shared" si="22"/>
        <v>23</v>
      </c>
      <c r="B33" s="512" t="s">
        <v>900</v>
      </c>
      <c r="C33" s="511" t="s">
        <v>751</v>
      </c>
      <c r="D33" s="523">
        <f t="shared" si="23"/>
        <v>2022</v>
      </c>
      <c r="E33" s="524">
        <f>123/365</f>
        <v>0.33698630136986302</v>
      </c>
      <c r="F33" s="525">
        <f>'8b-ADIT Projection Proration'!G33</f>
        <v>0</v>
      </c>
      <c r="G33" s="308">
        <f t="shared" si="24"/>
        <v>0</v>
      </c>
      <c r="H33" s="308">
        <f t="shared" si="25"/>
        <v>0</v>
      </c>
      <c r="I33" s="527">
        <v>0</v>
      </c>
      <c r="J33" s="308">
        <f t="shared" si="26"/>
        <v>0</v>
      </c>
      <c r="K33" s="308">
        <f t="shared" si="27"/>
        <v>0</v>
      </c>
      <c r="L33" s="308">
        <f t="shared" si="28"/>
        <v>0</v>
      </c>
      <c r="M33" s="308">
        <f t="shared" si="29"/>
        <v>0</v>
      </c>
      <c r="N33" s="526">
        <f t="shared" si="30"/>
        <v>0</v>
      </c>
      <c r="O33" s="525">
        <f>'8b-ADIT Projection Proration'!I33</f>
        <v>0</v>
      </c>
      <c r="P33" s="308">
        <f t="shared" si="31"/>
        <v>0</v>
      </c>
      <c r="Q33" s="308">
        <f t="shared" si="32"/>
        <v>0</v>
      </c>
      <c r="R33" s="527">
        <v>0</v>
      </c>
      <c r="S33" s="308">
        <f t="shared" si="33"/>
        <v>0</v>
      </c>
      <c r="T33" s="308">
        <f t="shared" si="34"/>
        <v>0</v>
      </c>
      <c r="U33" s="308">
        <f t="shared" si="35"/>
        <v>0</v>
      </c>
      <c r="V33" s="308">
        <f t="shared" si="36"/>
        <v>0</v>
      </c>
      <c r="W33" s="526">
        <f t="shared" si="37"/>
        <v>0</v>
      </c>
      <c r="X33" s="525">
        <f>'8b-ADIT Projection Proration'!K33</f>
        <v>0</v>
      </c>
      <c r="Y33" s="308">
        <f t="shared" si="38"/>
        <v>0</v>
      </c>
      <c r="Z33" s="308">
        <f t="shared" si="39"/>
        <v>0</v>
      </c>
      <c r="AA33" s="527">
        <v>0</v>
      </c>
      <c r="AB33" s="308">
        <f t="shared" si="40"/>
        <v>0</v>
      </c>
      <c r="AC33" s="308">
        <f t="shared" si="41"/>
        <v>0</v>
      </c>
      <c r="AD33" s="308">
        <f t="shared" si="42"/>
        <v>0</v>
      </c>
      <c r="AE33" s="308">
        <f t="shared" si="43"/>
        <v>0</v>
      </c>
      <c r="AF33" s="526">
        <f t="shared" si="44"/>
        <v>0</v>
      </c>
    </row>
    <row r="34" spans="1:33">
      <c r="A34" s="522">
        <f t="shared" si="22"/>
        <v>24</v>
      </c>
      <c r="B34" s="512" t="s">
        <v>900</v>
      </c>
      <c r="C34" s="511" t="s">
        <v>685</v>
      </c>
      <c r="D34" s="523">
        <f t="shared" si="23"/>
        <v>2022</v>
      </c>
      <c r="E34" s="524">
        <f>93/365</f>
        <v>0.25479452054794521</v>
      </c>
      <c r="F34" s="525">
        <f>'8b-ADIT Projection Proration'!G34</f>
        <v>0</v>
      </c>
      <c r="G34" s="308">
        <f t="shared" si="24"/>
        <v>0</v>
      </c>
      <c r="H34" s="308">
        <f t="shared" si="25"/>
        <v>0</v>
      </c>
      <c r="I34" s="527">
        <v>0</v>
      </c>
      <c r="J34" s="308">
        <f t="shared" si="26"/>
        <v>0</v>
      </c>
      <c r="K34" s="308">
        <f t="shared" si="27"/>
        <v>0</v>
      </c>
      <c r="L34" s="308">
        <f t="shared" si="28"/>
        <v>0</v>
      </c>
      <c r="M34" s="308">
        <f t="shared" si="29"/>
        <v>0</v>
      </c>
      <c r="N34" s="526">
        <f t="shared" si="30"/>
        <v>0</v>
      </c>
      <c r="O34" s="525">
        <f>'8b-ADIT Projection Proration'!I34</f>
        <v>0</v>
      </c>
      <c r="P34" s="308">
        <f t="shared" si="31"/>
        <v>0</v>
      </c>
      <c r="Q34" s="308">
        <f t="shared" si="32"/>
        <v>0</v>
      </c>
      <c r="R34" s="527">
        <v>0</v>
      </c>
      <c r="S34" s="308">
        <f t="shared" si="33"/>
        <v>0</v>
      </c>
      <c r="T34" s="308">
        <f t="shared" si="34"/>
        <v>0</v>
      </c>
      <c r="U34" s="308">
        <f t="shared" si="35"/>
        <v>0</v>
      </c>
      <c r="V34" s="308">
        <f t="shared" si="36"/>
        <v>0</v>
      </c>
      <c r="W34" s="526">
        <f t="shared" si="37"/>
        <v>0</v>
      </c>
      <c r="X34" s="525">
        <f>'8b-ADIT Projection Proration'!K34</f>
        <v>0</v>
      </c>
      <c r="Y34" s="308">
        <f t="shared" si="38"/>
        <v>0</v>
      </c>
      <c r="Z34" s="308">
        <f t="shared" si="39"/>
        <v>0</v>
      </c>
      <c r="AA34" s="527">
        <v>0</v>
      </c>
      <c r="AB34" s="308">
        <f t="shared" si="40"/>
        <v>0</v>
      </c>
      <c r="AC34" s="308">
        <f t="shared" si="41"/>
        <v>0</v>
      </c>
      <c r="AD34" s="308">
        <f t="shared" si="42"/>
        <v>0</v>
      </c>
      <c r="AE34" s="308">
        <f t="shared" si="43"/>
        <v>0</v>
      </c>
      <c r="AF34" s="526">
        <f t="shared" si="44"/>
        <v>0</v>
      </c>
    </row>
    <row r="35" spans="1:33">
      <c r="A35" s="522">
        <f t="shared" si="22"/>
        <v>25</v>
      </c>
      <c r="B35" s="512" t="s">
        <v>900</v>
      </c>
      <c r="C35" s="511" t="s">
        <v>686</v>
      </c>
      <c r="D35" s="523">
        <f t="shared" si="23"/>
        <v>2022</v>
      </c>
      <c r="E35" s="524">
        <f>62/365</f>
        <v>0.16986301369863013</v>
      </c>
      <c r="F35" s="525">
        <f>'8b-ADIT Projection Proration'!G35</f>
        <v>0</v>
      </c>
      <c r="G35" s="308">
        <f t="shared" si="24"/>
        <v>0</v>
      </c>
      <c r="H35" s="308">
        <f t="shared" si="25"/>
        <v>0</v>
      </c>
      <c r="I35" s="527">
        <v>0</v>
      </c>
      <c r="J35" s="308">
        <f t="shared" si="26"/>
        <v>0</v>
      </c>
      <c r="K35" s="308">
        <f t="shared" si="27"/>
        <v>0</v>
      </c>
      <c r="L35" s="308">
        <f t="shared" si="28"/>
        <v>0</v>
      </c>
      <c r="M35" s="308">
        <f t="shared" si="29"/>
        <v>0</v>
      </c>
      <c r="N35" s="526">
        <f t="shared" si="30"/>
        <v>0</v>
      </c>
      <c r="O35" s="525">
        <f>'8b-ADIT Projection Proration'!I35</f>
        <v>0</v>
      </c>
      <c r="P35" s="308">
        <f t="shared" si="31"/>
        <v>0</v>
      </c>
      <c r="Q35" s="308">
        <f t="shared" si="32"/>
        <v>0</v>
      </c>
      <c r="R35" s="527">
        <v>0</v>
      </c>
      <c r="S35" s="308">
        <f t="shared" si="33"/>
        <v>0</v>
      </c>
      <c r="T35" s="308">
        <f t="shared" si="34"/>
        <v>0</v>
      </c>
      <c r="U35" s="308">
        <f t="shared" si="35"/>
        <v>0</v>
      </c>
      <c r="V35" s="308">
        <f t="shared" si="36"/>
        <v>0</v>
      </c>
      <c r="W35" s="526">
        <f t="shared" si="37"/>
        <v>0</v>
      </c>
      <c r="X35" s="525">
        <f>'8b-ADIT Projection Proration'!K35</f>
        <v>0</v>
      </c>
      <c r="Y35" s="308">
        <f t="shared" si="38"/>
        <v>0</v>
      </c>
      <c r="Z35" s="308">
        <f t="shared" si="39"/>
        <v>0</v>
      </c>
      <c r="AA35" s="527">
        <v>0</v>
      </c>
      <c r="AB35" s="308">
        <f t="shared" si="40"/>
        <v>0</v>
      </c>
      <c r="AC35" s="308">
        <f t="shared" si="41"/>
        <v>0</v>
      </c>
      <c r="AD35" s="308">
        <f t="shared" si="42"/>
        <v>0</v>
      </c>
      <c r="AE35" s="308">
        <f t="shared" si="43"/>
        <v>0</v>
      </c>
      <c r="AF35" s="526">
        <f t="shared" si="44"/>
        <v>0</v>
      </c>
    </row>
    <row r="36" spans="1:33">
      <c r="A36" s="522">
        <f t="shared" si="22"/>
        <v>26</v>
      </c>
      <c r="B36" s="512" t="s">
        <v>900</v>
      </c>
      <c r="C36" s="511" t="s">
        <v>687</v>
      </c>
      <c r="D36" s="523">
        <f t="shared" si="23"/>
        <v>2022</v>
      </c>
      <c r="E36" s="524">
        <f>32/365</f>
        <v>8.7671232876712329E-2</v>
      </c>
      <c r="F36" s="525">
        <f>'8b-ADIT Projection Proration'!G36</f>
        <v>0</v>
      </c>
      <c r="G36" s="308">
        <f t="shared" si="24"/>
        <v>0</v>
      </c>
      <c r="H36" s="308">
        <f t="shared" si="25"/>
        <v>0</v>
      </c>
      <c r="I36" s="527">
        <v>0</v>
      </c>
      <c r="J36" s="308">
        <f t="shared" si="26"/>
        <v>0</v>
      </c>
      <c r="K36" s="308">
        <f t="shared" si="27"/>
        <v>0</v>
      </c>
      <c r="L36" s="308">
        <f t="shared" si="28"/>
        <v>0</v>
      </c>
      <c r="M36" s="308">
        <f t="shared" si="29"/>
        <v>0</v>
      </c>
      <c r="N36" s="526">
        <f t="shared" si="30"/>
        <v>0</v>
      </c>
      <c r="O36" s="525">
        <f>'8b-ADIT Projection Proration'!I36</f>
        <v>0</v>
      </c>
      <c r="P36" s="308">
        <f t="shared" si="31"/>
        <v>0</v>
      </c>
      <c r="Q36" s="308">
        <f t="shared" si="32"/>
        <v>0</v>
      </c>
      <c r="R36" s="527">
        <v>0</v>
      </c>
      <c r="S36" s="308">
        <f t="shared" si="33"/>
        <v>0</v>
      </c>
      <c r="T36" s="308">
        <f t="shared" si="34"/>
        <v>0</v>
      </c>
      <c r="U36" s="308">
        <f t="shared" si="35"/>
        <v>0</v>
      </c>
      <c r="V36" s="308">
        <f t="shared" si="36"/>
        <v>0</v>
      </c>
      <c r="W36" s="526">
        <f t="shared" si="37"/>
        <v>0</v>
      </c>
      <c r="X36" s="525">
        <f>'8b-ADIT Projection Proration'!K36</f>
        <v>0</v>
      </c>
      <c r="Y36" s="308">
        <f t="shared" si="38"/>
        <v>0</v>
      </c>
      <c r="Z36" s="308">
        <f t="shared" si="39"/>
        <v>0</v>
      </c>
      <c r="AA36" s="527">
        <v>0</v>
      </c>
      <c r="AB36" s="308">
        <f t="shared" si="40"/>
        <v>0</v>
      </c>
      <c r="AC36" s="308">
        <f t="shared" si="41"/>
        <v>0</v>
      </c>
      <c r="AD36" s="308">
        <f t="shared" si="42"/>
        <v>0</v>
      </c>
      <c r="AE36" s="308">
        <f t="shared" si="43"/>
        <v>0</v>
      </c>
      <c r="AF36" s="526">
        <f t="shared" si="44"/>
        <v>0</v>
      </c>
    </row>
    <row r="37" spans="1:33">
      <c r="A37" s="522">
        <f t="shared" si="22"/>
        <v>27</v>
      </c>
      <c r="B37" s="512" t="s">
        <v>900</v>
      </c>
      <c r="C37" s="511" t="s">
        <v>752</v>
      </c>
      <c r="D37" s="523">
        <f t="shared" si="23"/>
        <v>2022</v>
      </c>
      <c r="E37" s="524">
        <f>1/365</f>
        <v>2.7397260273972603E-3</v>
      </c>
      <c r="F37" s="528">
        <f>'8b-ADIT Projection Proration'!G37</f>
        <v>0</v>
      </c>
      <c r="G37" s="529">
        <f t="shared" si="24"/>
        <v>0</v>
      </c>
      <c r="H37" s="529">
        <f t="shared" si="25"/>
        <v>0</v>
      </c>
      <c r="I37" s="530">
        <v>0</v>
      </c>
      <c r="J37" s="529">
        <f t="shared" si="26"/>
        <v>0</v>
      </c>
      <c r="K37" s="529">
        <f t="shared" si="27"/>
        <v>0</v>
      </c>
      <c r="L37" s="529">
        <f t="shared" si="28"/>
        <v>0</v>
      </c>
      <c r="M37" s="529">
        <f t="shared" si="29"/>
        <v>0</v>
      </c>
      <c r="N37" s="531">
        <f t="shared" si="30"/>
        <v>0</v>
      </c>
      <c r="O37" s="528">
        <f>'8b-ADIT Projection Proration'!I37</f>
        <v>0</v>
      </c>
      <c r="P37" s="529">
        <f t="shared" si="31"/>
        <v>0</v>
      </c>
      <c r="Q37" s="529">
        <f t="shared" si="32"/>
        <v>0</v>
      </c>
      <c r="R37" s="530">
        <v>0</v>
      </c>
      <c r="S37" s="529">
        <f t="shared" si="33"/>
        <v>0</v>
      </c>
      <c r="T37" s="529">
        <f t="shared" si="34"/>
        <v>0</v>
      </c>
      <c r="U37" s="529">
        <f t="shared" si="35"/>
        <v>0</v>
      </c>
      <c r="V37" s="529">
        <f t="shared" si="36"/>
        <v>0</v>
      </c>
      <c r="W37" s="531">
        <f t="shared" si="37"/>
        <v>0</v>
      </c>
      <c r="X37" s="528">
        <f>'8b-ADIT Projection Proration'!K37</f>
        <v>0</v>
      </c>
      <c r="Y37" s="529">
        <f t="shared" si="38"/>
        <v>0</v>
      </c>
      <c r="Z37" s="529">
        <f t="shared" si="39"/>
        <v>0</v>
      </c>
      <c r="AA37" s="530">
        <v>0</v>
      </c>
      <c r="AB37" s="529">
        <f t="shared" si="40"/>
        <v>0</v>
      </c>
      <c r="AC37" s="529">
        <f t="shared" si="41"/>
        <v>0</v>
      </c>
      <c r="AD37" s="529">
        <f t="shared" si="42"/>
        <v>0</v>
      </c>
      <c r="AE37" s="529">
        <f t="shared" si="43"/>
        <v>0</v>
      </c>
      <c r="AF37" s="531">
        <f t="shared" si="44"/>
        <v>0</v>
      </c>
    </row>
    <row r="38" spans="1:33">
      <c r="A38" s="522">
        <f t="shared" si="22"/>
        <v>28</v>
      </c>
      <c r="B38" s="512" t="s">
        <v>903</v>
      </c>
      <c r="F38" s="525">
        <f>SUM(F25:F37)</f>
        <v>0</v>
      </c>
      <c r="G38" s="532">
        <f>SUM(G25:G37)</f>
        <v>0</v>
      </c>
      <c r="H38" s="308"/>
      <c r="I38" s="308">
        <f>SUM(I25:I37)</f>
        <v>0</v>
      </c>
      <c r="J38" s="308">
        <f>SUM(J25:J37)</f>
        <v>0</v>
      </c>
      <c r="K38" s="308">
        <f>SUM(K25:K37)</f>
        <v>0</v>
      </c>
      <c r="L38" s="308">
        <f>SUM(L25:L37)</f>
        <v>0</v>
      </c>
      <c r="M38" s="308">
        <f>SUM(M25:M37)</f>
        <v>0</v>
      </c>
      <c r="N38" s="526"/>
      <c r="O38" s="525">
        <f>SUM(O25:O37)</f>
        <v>0</v>
      </c>
      <c r="P38" s="532">
        <f>SUM(P25:P37)</f>
        <v>0</v>
      </c>
      <c r="Q38" s="308"/>
      <c r="R38" s="308">
        <f>SUM(R25:R37)</f>
        <v>0</v>
      </c>
      <c r="S38" s="308">
        <f>SUM(S25:S37)</f>
        <v>0</v>
      </c>
      <c r="T38" s="308">
        <f>SUM(T25:T37)</f>
        <v>0</v>
      </c>
      <c r="U38" s="308">
        <f>SUM(U25:U37)</f>
        <v>0</v>
      </c>
      <c r="V38" s="308">
        <f>SUM(V25:V37)</f>
        <v>0</v>
      </c>
      <c r="W38" s="526"/>
      <c r="X38" s="525">
        <f>SUM(X25:X37)</f>
        <v>0</v>
      </c>
      <c r="Y38" s="532">
        <f>SUM(Y25:Y37)</f>
        <v>0</v>
      </c>
      <c r="Z38" s="308"/>
      <c r="AA38" s="308">
        <f>SUM(AA25:AA37)</f>
        <v>0</v>
      </c>
      <c r="AB38" s="308">
        <f>SUM(AB25:AB37)</f>
        <v>0</v>
      </c>
      <c r="AC38" s="308">
        <f>SUM(AC25:AC37)</f>
        <v>0</v>
      </c>
      <c r="AD38" s="308">
        <f>SUM(AD25:AD37)</f>
        <v>0</v>
      </c>
      <c r="AE38" s="308">
        <f>SUM(AE25:AE37)</f>
        <v>0</v>
      </c>
      <c r="AF38" s="526"/>
    </row>
    <row r="39" spans="1:33">
      <c r="A39" s="522"/>
      <c r="F39" s="525"/>
      <c r="G39" s="308"/>
      <c r="H39" s="308"/>
      <c r="I39" s="308"/>
      <c r="J39" s="308"/>
      <c r="K39" s="308"/>
      <c r="L39" s="308"/>
      <c r="M39" s="308"/>
      <c r="N39" s="526"/>
      <c r="O39" s="525"/>
      <c r="P39" s="308"/>
      <c r="Q39" s="308"/>
      <c r="R39" s="308"/>
      <c r="S39" s="308"/>
      <c r="T39" s="308"/>
      <c r="U39" s="308"/>
      <c r="V39" s="308"/>
      <c r="W39" s="526"/>
      <c r="X39" s="525"/>
      <c r="Y39" s="308"/>
      <c r="Z39" s="308"/>
      <c r="AA39" s="308"/>
      <c r="AB39" s="308"/>
      <c r="AC39" s="308"/>
      <c r="AD39" s="308"/>
      <c r="AE39" s="308"/>
      <c r="AF39" s="526"/>
    </row>
    <row r="40" spans="1:33">
      <c r="A40" s="511" t="s">
        <v>972</v>
      </c>
      <c r="D40" s="513"/>
      <c r="E40" s="513"/>
      <c r="F40" s="525"/>
      <c r="G40" s="308"/>
      <c r="H40" s="308"/>
      <c r="I40" s="308"/>
      <c r="J40" s="308"/>
      <c r="K40" s="308"/>
      <c r="L40" s="308"/>
      <c r="M40" s="308"/>
      <c r="N40" s="526"/>
      <c r="O40" s="525"/>
      <c r="P40" s="308"/>
      <c r="Q40" s="308"/>
      <c r="R40" s="308"/>
      <c r="S40" s="308"/>
      <c r="T40" s="308"/>
      <c r="U40" s="308"/>
      <c r="V40" s="308"/>
      <c r="W40" s="526"/>
      <c r="X40" s="525"/>
      <c r="Y40" s="308"/>
      <c r="Z40" s="308"/>
      <c r="AA40" s="308"/>
      <c r="AB40" s="308"/>
      <c r="AC40" s="308"/>
      <c r="AD40" s="308"/>
      <c r="AE40" s="308"/>
      <c r="AF40" s="526"/>
      <c r="AG40" s="513"/>
    </row>
    <row r="41" spans="1:33">
      <c r="A41" s="522">
        <f>A38+1</f>
        <v>29</v>
      </c>
      <c r="B41" s="512" t="s">
        <v>904</v>
      </c>
      <c r="C41" s="511" t="s">
        <v>752</v>
      </c>
      <c r="D41" s="523">
        <f>D25</f>
        <v>2021</v>
      </c>
      <c r="E41" s="524">
        <f>365/365</f>
        <v>1</v>
      </c>
      <c r="F41" s="525"/>
      <c r="G41" s="308"/>
      <c r="H41" s="308">
        <f>'8c- ADIT BOY'!E25</f>
        <v>0</v>
      </c>
      <c r="I41" s="308"/>
      <c r="J41" s="308"/>
      <c r="K41" s="308"/>
      <c r="L41" s="308"/>
      <c r="M41" s="308"/>
      <c r="N41" s="526"/>
      <c r="O41" s="525"/>
      <c r="P41" s="308"/>
      <c r="Q41" s="308">
        <f>'8c- ADIT BOY'!F25</f>
        <v>0</v>
      </c>
      <c r="R41" s="308"/>
      <c r="S41" s="308"/>
      <c r="T41" s="308"/>
      <c r="U41" s="308"/>
      <c r="V41" s="308"/>
      <c r="W41" s="526"/>
      <c r="X41" s="525"/>
      <c r="Y41" s="308"/>
      <c r="Z41" s="308">
        <f>'8c- ADIT BOY'!G25</f>
        <v>0</v>
      </c>
      <c r="AA41" s="308"/>
      <c r="AB41" s="308"/>
      <c r="AC41" s="308"/>
      <c r="AD41" s="308"/>
      <c r="AE41" s="308"/>
      <c r="AF41" s="526"/>
    </row>
    <row r="42" spans="1:33">
      <c r="A42" s="522">
        <f t="shared" ref="A42:A54" si="45">+A41+1</f>
        <v>30</v>
      </c>
      <c r="B42" s="512" t="s">
        <v>900</v>
      </c>
      <c r="C42" s="511" t="s">
        <v>677</v>
      </c>
      <c r="D42" s="523">
        <f t="shared" ref="D42:D53" si="46">D26</f>
        <v>2022</v>
      </c>
      <c r="E42" s="524">
        <f>335/365</f>
        <v>0.9178082191780822</v>
      </c>
      <c r="F42" s="525">
        <f>'8b-ADIT Projection Proration'!G42</f>
        <v>0</v>
      </c>
      <c r="G42" s="308">
        <f t="shared" ref="G42:G53" si="47">$E42*F42</f>
        <v>0</v>
      </c>
      <c r="H42" s="308">
        <f t="shared" ref="H42:H53" si="48">+G42+H41</f>
        <v>0</v>
      </c>
      <c r="I42" s="527">
        <v>0</v>
      </c>
      <c r="J42" s="308">
        <f t="shared" ref="J42:J53" si="49">I42-F42</f>
        <v>0</v>
      </c>
      <c r="K42" s="308">
        <f t="shared" ref="K42:K53" si="50">IF(J42&gt;=0,+J42,0)</f>
        <v>0</v>
      </c>
      <c r="L42" s="308">
        <f t="shared" ref="L42:L53" si="51">IF(K42&gt;0,0,IF(I42&lt;0,0,(-(J42)*($E42))))</f>
        <v>0</v>
      </c>
      <c r="M42" s="308">
        <f t="shared" ref="M42:M53" si="52">IF(K42&gt;0,0,IF(I42&gt;0,0,(-(J42)*($E42))))</f>
        <v>0</v>
      </c>
      <c r="N42" s="526">
        <f t="shared" ref="N42:N53" si="53">IF(I42&lt;0,N41+M42,N41+$G42+K42-L42)</f>
        <v>0</v>
      </c>
      <c r="O42" s="525">
        <f>'8b-ADIT Projection Proration'!I42</f>
        <v>0</v>
      </c>
      <c r="P42" s="308">
        <f t="shared" ref="P42:P53" si="54">$E42*O42</f>
        <v>0</v>
      </c>
      <c r="Q42" s="308">
        <f t="shared" ref="Q42:Q53" si="55">+P42+Q41</f>
        <v>0</v>
      </c>
      <c r="R42" s="527">
        <v>0</v>
      </c>
      <c r="S42" s="308">
        <f t="shared" ref="S42:S53" si="56">R42-O42</f>
        <v>0</v>
      </c>
      <c r="T42" s="308">
        <f t="shared" ref="T42:T53" si="57">IF(S42&gt;=0,+S42,0)</f>
        <v>0</v>
      </c>
      <c r="U42" s="308">
        <f t="shared" ref="U42:U53" si="58">IF(T42&gt;0,0,IF(R42&lt;0,0,(-(S42)*($E42))))</f>
        <v>0</v>
      </c>
      <c r="V42" s="308">
        <f t="shared" ref="V42:V53" si="59">IF(T42&gt;0,0,IF(R42&gt;0,0,(-(S42)*($E42))))</f>
        <v>0</v>
      </c>
      <c r="W42" s="526">
        <f t="shared" ref="W42:W53" si="60">IF(R42&lt;0,W41+V42,W41+P42+T42-U42)</f>
        <v>0</v>
      </c>
      <c r="X42" s="525">
        <f>'8b-ADIT Projection Proration'!K42</f>
        <v>0</v>
      </c>
      <c r="Y42" s="308">
        <f t="shared" ref="Y42:Y53" si="61">$E42*X42</f>
        <v>0</v>
      </c>
      <c r="Z42" s="308">
        <f t="shared" ref="Z42:Z53" si="62">+Y42+Z41</f>
        <v>0</v>
      </c>
      <c r="AA42" s="527">
        <v>0</v>
      </c>
      <c r="AB42" s="308">
        <f t="shared" ref="AB42:AB53" si="63">AA42-X42</f>
        <v>0</v>
      </c>
      <c r="AC42" s="308">
        <f t="shared" ref="AC42:AC53" si="64">IF(AB42&gt;=0,+AB42,0)</f>
        <v>0</v>
      </c>
      <c r="AD42" s="308">
        <f t="shared" ref="AD42:AD53" si="65">IF(AC42&gt;0,0,IF(AA42&lt;0,0,(-(AB42)*($E42))))</f>
        <v>0</v>
      </c>
      <c r="AE42" s="308">
        <f t="shared" ref="AE42:AE53" si="66">IF(AC42&gt;0,0,IF(AA42&gt;0,0,(-(AB42)*($E42))))</f>
        <v>0</v>
      </c>
      <c r="AF42" s="526">
        <f t="shared" ref="AF42:AF53" si="67">IF(AA42&lt;0,AF41+AE42,AF41+Y42+AC42-AD42)</f>
        <v>0</v>
      </c>
    </row>
    <row r="43" spans="1:33">
      <c r="A43" s="522">
        <f t="shared" si="45"/>
        <v>31</v>
      </c>
      <c r="B43" s="512" t="s">
        <v>900</v>
      </c>
      <c r="C43" s="511" t="s">
        <v>678</v>
      </c>
      <c r="D43" s="523">
        <f t="shared" si="46"/>
        <v>2022</v>
      </c>
      <c r="E43" s="524">
        <f>307/365</f>
        <v>0.84109589041095889</v>
      </c>
      <c r="F43" s="525">
        <f>'8b-ADIT Projection Proration'!G43</f>
        <v>0</v>
      </c>
      <c r="G43" s="308">
        <f t="shared" si="47"/>
        <v>0</v>
      </c>
      <c r="H43" s="308">
        <f t="shared" si="48"/>
        <v>0</v>
      </c>
      <c r="I43" s="527">
        <v>0</v>
      </c>
      <c r="J43" s="308">
        <f t="shared" si="49"/>
        <v>0</v>
      </c>
      <c r="K43" s="308">
        <f t="shared" si="50"/>
        <v>0</v>
      </c>
      <c r="L43" s="308">
        <f t="shared" si="51"/>
        <v>0</v>
      </c>
      <c r="M43" s="308">
        <f t="shared" si="52"/>
        <v>0</v>
      </c>
      <c r="N43" s="526">
        <f t="shared" si="53"/>
        <v>0</v>
      </c>
      <c r="O43" s="525">
        <f>'8b-ADIT Projection Proration'!I43</f>
        <v>0</v>
      </c>
      <c r="P43" s="308">
        <f t="shared" si="54"/>
        <v>0</v>
      </c>
      <c r="Q43" s="308">
        <f t="shared" si="55"/>
        <v>0</v>
      </c>
      <c r="R43" s="527">
        <v>0</v>
      </c>
      <c r="S43" s="308">
        <f t="shared" si="56"/>
        <v>0</v>
      </c>
      <c r="T43" s="308">
        <f t="shared" si="57"/>
        <v>0</v>
      </c>
      <c r="U43" s="308">
        <f t="shared" si="58"/>
        <v>0</v>
      </c>
      <c r="V43" s="308">
        <f t="shared" si="59"/>
        <v>0</v>
      </c>
      <c r="W43" s="526">
        <f t="shared" si="60"/>
        <v>0</v>
      </c>
      <c r="X43" s="525">
        <f>'8b-ADIT Projection Proration'!K43</f>
        <v>0</v>
      </c>
      <c r="Y43" s="308">
        <f t="shared" si="61"/>
        <v>0</v>
      </c>
      <c r="Z43" s="308">
        <f t="shared" si="62"/>
        <v>0</v>
      </c>
      <c r="AA43" s="527">
        <v>0</v>
      </c>
      <c r="AB43" s="308">
        <f t="shared" si="63"/>
        <v>0</v>
      </c>
      <c r="AC43" s="308">
        <f t="shared" si="64"/>
        <v>0</v>
      </c>
      <c r="AD43" s="308">
        <f t="shared" si="65"/>
        <v>0</v>
      </c>
      <c r="AE43" s="308">
        <f t="shared" si="66"/>
        <v>0</v>
      </c>
      <c r="AF43" s="526">
        <f t="shared" si="67"/>
        <v>0</v>
      </c>
    </row>
    <row r="44" spans="1:33">
      <c r="A44" s="522">
        <f t="shared" si="45"/>
        <v>32</v>
      </c>
      <c r="B44" s="512" t="s">
        <v>900</v>
      </c>
      <c r="C44" s="511" t="s">
        <v>749</v>
      </c>
      <c r="D44" s="523">
        <f t="shared" si="46"/>
        <v>2022</v>
      </c>
      <c r="E44" s="524">
        <f>276/365</f>
        <v>0.75616438356164384</v>
      </c>
      <c r="F44" s="525">
        <f>'8b-ADIT Projection Proration'!G44</f>
        <v>0</v>
      </c>
      <c r="G44" s="308">
        <f t="shared" si="47"/>
        <v>0</v>
      </c>
      <c r="H44" s="308">
        <f t="shared" si="48"/>
        <v>0</v>
      </c>
      <c r="I44" s="527">
        <v>0</v>
      </c>
      <c r="J44" s="308">
        <f t="shared" si="49"/>
        <v>0</v>
      </c>
      <c r="K44" s="308">
        <f t="shared" si="50"/>
        <v>0</v>
      </c>
      <c r="L44" s="308">
        <f t="shared" si="51"/>
        <v>0</v>
      </c>
      <c r="M44" s="308">
        <f t="shared" si="52"/>
        <v>0</v>
      </c>
      <c r="N44" s="526">
        <f t="shared" si="53"/>
        <v>0</v>
      </c>
      <c r="O44" s="525">
        <f>'8b-ADIT Projection Proration'!I44</f>
        <v>0</v>
      </c>
      <c r="P44" s="308">
        <f t="shared" si="54"/>
        <v>0</v>
      </c>
      <c r="Q44" s="308">
        <f t="shared" si="55"/>
        <v>0</v>
      </c>
      <c r="R44" s="527">
        <v>0</v>
      </c>
      <c r="S44" s="308">
        <f t="shared" si="56"/>
        <v>0</v>
      </c>
      <c r="T44" s="308">
        <f t="shared" si="57"/>
        <v>0</v>
      </c>
      <c r="U44" s="308">
        <f t="shared" si="58"/>
        <v>0</v>
      </c>
      <c r="V44" s="308">
        <f t="shared" si="59"/>
        <v>0</v>
      </c>
      <c r="W44" s="526">
        <f t="shared" si="60"/>
        <v>0</v>
      </c>
      <c r="X44" s="525">
        <f>'8b-ADIT Projection Proration'!K44</f>
        <v>0</v>
      </c>
      <c r="Y44" s="308">
        <f t="shared" si="61"/>
        <v>0</v>
      </c>
      <c r="Z44" s="308">
        <f t="shared" si="62"/>
        <v>0</v>
      </c>
      <c r="AA44" s="527">
        <v>0</v>
      </c>
      <c r="AB44" s="308">
        <f t="shared" si="63"/>
        <v>0</v>
      </c>
      <c r="AC44" s="308">
        <f t="shared" si="64"/>
        <v>0</v>
      </c>
      <c r="AD44" s="308">
        <f t="shared" si="65"/>
        <v>0</v>
      </c>
      <c r="AE44" s="308">
        <f t="shared" si="66"/>
        <v>0</v>
      </c>
      <c r="AF44" s="526">
        <f t="shared" si="67"/>
        <v>0</v>
      </c>
    </row>
    <row r="45" spans="1:33">
      <c r="A45" s="522">
        <f t="shared" si="45"/>
        <v>33</v>
      </c>
      <c r="B45" s="512" t="s">
        <v>900</v>
      </c>
      <c r="C45" s="511" t="s">
        <v>680</v>
      </c>
      <c r="D45" s="523">
        <f t="shared" si="46"/>
        <v>2022</v>
      </c>
      <c r="E45" s="524">
        <f>246/365</f>
        <v>0.67397260273972603</v>
      </c>
      <c r="F45" s="525">
        <f>'8b-ADIT Projection Proration'!G45</f>
        <v>0</v>
      </c>
      <c r="G45" s="308">
        <f t="shared" si="47"/>
        <v>0</v>
      </c>
      <c r="H45" s="308">
        <f t="shared" si="48"/>
        <v>0</v>
      </c>
      <c r="I45" s="527">
        <v>0</v>
      </c>
      <c r="J45" s="308">
        <f t="shared" si="49"/>
        <v>0</v>
      </c>
      <c r="K45" s="308">
        <f t="shared" si="50"/>
        <v>0</v>
      </c>
      <c r="L45" s="308">
        <f t="shared" si="51"/>
        <v>0</v>
      </c>
      <c r="M45" s="308">
        <f t="shared" si="52"/>
        <v>0</v>
      </c>
      <c r="N45" s="526">
        <f t="shared" si="53"/>
        <v>0</v>
      </c>
      <c r="O45" s="525">
        <f>'8b-ADIT Projection Proration'!I45</f>
        <v>0</v>
      </c>
      <c r="P45" s="308">
        <f t="shared" si="54"/>
        <v>0</v>
      </c>
      <c r="Q45" s="308">
        <f t="shared" si="55"/>
        <v>0</v>
      </c>
      <c r="R45" s="527">
        <v>0</v>
      </c>
      <c r="S45" s="308">
        <f t="shared" si="56"/>
        <v>0</v>
      </c>
      <c r="T45" s="308">
        <f t="shared" si="57"/>
        <v>0</v>
      </c>
      <c r="U45" s="308">
        <f t="shared" si="58"/>
        <v>0</v>
      </c>
      <c r="V45" s="308">
        <f t="shared" si="59"/>
        <v>0</v>
      </c>
      <c r="W45" s="526">
        <f t="shared" si="60"/>
        <v>0</v>
      </c>
      <c r="X45" s="525">
        <f>'8b-ADIT Projection Proration'!K45</f>
        <v>0</v>
      </c>
      <c r="Y45" s="308">
        <f t="shared" si="61"/>
        <v>0</v>
      </c>
      <c r="Z45" s="308">
        <f t="shared" si="62"/>
        <v>0</v>
      </c>
      <c r="AA45" s="527">
        <v>0</v>
      </c>
      <c r="AB45" s="308">
        <f t="shared" si="63"/>
        <v>0</v>
      </c>
      <c r="AC45" s="308">
        <f t="shared" si="64"/>
        <v>0</v>
      </c>
      <c r="AD45" s="308">
        <f t="shared" si="65"/>
        <v>0</v>
      </c>
      <c r="AE45" s="308">
        <f t="shared" si="66"/>
        <v>0</v>
      </c>
      <c r="AF45" s="526">
        <f t="shared" si="67"/>
        <v>0</v>
      </c>
    </row>
    <row r="46" spans="1:33">
      <c r="A46" s="522">
        <f t="shared" si="45"/>
        <v>34</v>
      </c>
      <c r="B46" s="512" t="s">
        <v>900</v>
      </c>
      <c r="C46" s="511" t="s">
        <v>681</v>
      </c>
      <c r="D46" s="523">
        <f t="shared" si="46"/>
        <v>2022</v>
      </c>
      <c r="E46" s="524">
        <f>215/365</f>
        <v>0.58904109589041098</v>
      </c>
      <c r="F46" s="525">
        <f>'8b-ADIT Projection Proration'!G46</f>
        <v>0</v>
      </c>
      <c r="G46" s="308">
        <f t="shared" si="47"/>
        <v>0</v>
      </c>
      <c r="H46" s="308">
        <f t="shared" si="48"/>
        <v>0</v>
      </c>
      <c r="I46" s="527">
        <v>0</v>
      </c>
      <c r="J46" s="308">
        <f t="shared" si="49"/>
        <v>0</v>
      </c>
      <c r="K46" s="308">
        <f t="shared" si="50"/>
        <v>0</v>
      </c>
      <c r="L46" s="308">
        <f t="shared" si="51"/>
        <v>0</v>
      </c>
      <c r="M46" s="308">
        <f t="shared" si="52"/>
        <v>0</v>
      </c>
      <c r="N46" s="526">
        <f t="shared" si="53"/>
        <v>0</v>
      </c>
      <c r="O46" s="525">
        <f>'8b-ADIT Projection Proration'!I46</f>
        <v>0</v>
      </c>
      <c r="P46" s="308">
        <f t="shared" si="54"/>
        <v>0</v>
      </c>
      <c r="Q46" s="308">
        <f t="shared" si="55"/>
        <v>0</v>
      </c>
      <c r="R46" s="527">
        <v>0</v>
      </c>
      <c r="S46" s="308">
        <f t="shared" si="56"/>
        <v>0</v>
      </c>
      <c r="T46" s="308">
        <f t="shared" si="57"/>
        <v>0</v>
      </c>
      <c r="U46" s="308">
        <f t="shared" si="58"/>
        <v>0</v>
      </c>
      <c r="V46" s="308">
        <f t="shared" si="59"/>
        <v>0</v>
      </c>
      <c r="W46" s="526">
        <f t="shared" si="60"/>
        <v>0</v>
      </c>
      <c r="X46" s="525">
        <f>'8b-ADIT Projection Proration'!K46</f>
        <v>0</v>
      </c>
      <c r="Y46" s="308">
        <f t="shared" si="61"/>
        <v>0</v>
      </c>
      <c r="Z46" s="308">
        <f t="shared" si="62"/>
        <v>0</v>
      </c>
      <c r="AA46" s="527">
        <v>0</v>
      </c>
      <c r="AB46" s="308">
        <f t="shared" si="63"/>
        <v>0</v>
      </c>
      <c r="AC46" s="308">
        <f t="shared" si="64"/>
        <v>0</v>
      </c>
      <c r="AD46" s="308">
        <f t="shared" si="65"/>
        <v>0</v>
      </c>
      <c r="AE46" s="308">
        <f t="shared" si="66"/>
        <v>0</v>
      </c>
      <c r="AF46" s="526">
        <f t="shared" si="67"/>
        <v>0</v>
      </c>
    </row>
    <row r="47" spans="1:33">
      <c r="A47" s="522">
        <f t="shared" si="45"/>
        <v>35</v>
      </c>
      <c r="B47" s="512" t="s">
        <v>900</v>
      </c>
      <c r="C47" s="511" t="s">
        <v>682</v>
      </c>
      <c r="D47" s="523">
        <f t="shared" si="46"/>
        <v>2022</v>
      </c>
      <c r="E47" s="524">
        <f>185/365</f>
        <v>0.50684931506849318</v>
      </c>
      <c r="F47" s="525">
        <f>'8b-ADIT Projection Proration'!G47</f>
        <v>0</v>
      </c>
      <c r="G47" s="308">
        <f t="shared" si="47"/>
        <v>0</v>
      </c>
      <c r="H47" s="308">
        <f t="shared" si="48"/>
        <v>0</v>
      </c>
      <c r="I47" s="527">
        <v>0</v>
      </c>
      <c r="J47" s="308">
        <f t="shared" si="49"/>
        <v>0</v>
      </c>
      <c r="K47" s="308">
        <f t="shared" si="50"/>
        <v>0</v>
      </c>
      <c r="L47" s="308">
        <f t="shared" si="51"/>
        <v>0</v>
      </c>
      <c r="M47" s="308">
        <f t="shared" si="52"/>
        <v>0</v>
      </c>
      <c r="N47" s="526">
        <f t="shared" si="53"/>
        <v>0</v>
      </c>
      <c r="O47" s="525">
        <f>'8b-ADIT Projection Proration'!I47</f>
        <v>0</v>
      </c>
      <c r="P47" s="308">
        <f t="shared" si="54"/>
        <v>0</v>
      </c>
      <c r="Q47" s="308">
        <f t="shared" si="55"/>
        <v>0</v>
      </c>
      <c r="R47" s="527">
        <v>0</v>
      </c>
      <c r="S47" s="308">
        <f t="shared" si="56"/>
        <v>0</v>
      </c>
      <c r="T47" s="308">
        <f t="shared" si="57"/>
        <v>0</v>
      </c>
      <c r="U47" s="308">
        <f t="shared" si="58"/>
        <v>0</v>
      </c>
      <c r="V47" s="308">
        <f t="shared" si="59"/>
        <v>0</v>
      </c>
      <c r="W47" s="526">
        <f t="shared" si="60"/>
        <v>0</v>
      </c>
      <c r="X47" s="525">
        <f>'8b-ADIT Projection Proration'!K47</f>
        <v>0</v>
      </c>
      <c r="Y47" s="308">
        <f t="shared" si="61"/>
        <v>0</v>
      </c>
      <c r="Z47" s="308">
        <f t="shared" si="62"/>
        <v>0</v>
      </c>
      <c r="AA47" s="527">
        <v>0</v>
      </c>
      <c r="AB47" s="308">
        <f t="shared" si="63"/>
        <v>0</v>
      </c>
      <c r="AC47" s="308">
        <f t="shared" si="64"/>
        <v>0</v>
      </c>
      <c r="AD47" s="308">
        <f t="shared" si="65"/>
        <v>0</v>
      </c>
      <c r="AE47" s="308">
        <f t="shared" si="66"/>
        <v>0</v>
      </c>
      <c r="AF47" s="526">
        <f t="shared" si="67"/>
        <v>0</v>
      </c>
    </row>
    <row r="48" spans="1:33">
      <c r="A48" s="522">
        <f t="shared" si="45"/>
        <v>36</v>
      </c>
      <c r="B48" s="512" t="s">
        <v>900</v>
      </c>
      <c r="C48" s="511" t="s">
        <v>683</v>
      </c>
      <c r="D48" s="523">
        <f t="shared" si="46"/>
        <v>2022</v>
      </c>
      <c r="E48" s="524">
        <f>154/365</f>
        <v>0.42191780821917807</v>
      </c>
      <c r="F48" s="525">
        <f>'8b-ADIT Projection Proration'!G48</f>
        <v>0</v>
      </c>
      <c r="G48" s="308">
        <f t="shared" si="47"/>
        <v>0</v>
      </c>
      <c r="H48" s="308">
        <f t="shared" si="48"/>
        <v>0</v>
      </c>
      <c r="I48" s="527">
        <v>0</v>
      </c>
      <c r="J48" s="308">
        <f t="shared" si="49"/>
        <v>0</v>
      </c>
      <c r="K48" s="308">
        <f t="shared" si="50"/>
        <v>0</v>
      </c>
      <c r="L48" s="308">
        <f t="shared" si="51"/>
        <v>0</v>
      </c>
      <c r="M48" s="308">
        <f t="shared" si="52"/>
        <v>0</v>
      </c>
      <c r="N48" s="526">
        <f t="shared" si="53"/>
        <v>0</v>
      </c>
      <c r="O48" s="525">
        <f>'8b-ADIT Projection Proration'!I48</f>
        <v>0</v>
      </c>
      <c r="P48" s="308">
        <f t="shared" si="54"/>
        <v>0</v>
      </c>
      <c r="Q48" s="308">
        <f t="shared" si="55"/>
        <v>0</v>
      </c>
      <c r="R48" s="527">
        <v>0</v>
      </c>
      <c r="S48" s="308">
        <f t="shared" si="56"/>
        <v>0</v>
      </c>
      <c r="T48" s="308">
        <f t="shared" si="57"/>
        <v>0</v>
      </c>
      <c r="U48" s="308">
        <f t="shared" si="58"/>
        <v>0</v>
      </c>
      <c r="V48" s="308">
        <f t="shared" si="59"/>
        <v>0</v>
      </c>
      <c r="W48" s="526">
        <f t="shared" si="60"/>
        <v>0</v>
      </c>
      <c r="X48" s="525">
        <f>'8b-ADIT Projection Proration'!K48</f>
        <v>0</v>
      </c>
      <c r="Y48" s="308">
        <f t="shared" si="61"/>
        <v>0</v>
      </c>
      <c r="Z48" s="308">
        <f t="shared" si="62"/>
        <v>0</v>
      </c>
      <c r="AA48" s="527">
        <v>0</v>
      </c>
      <c r="AB48" s="308">
        <f t="shared" si="63"/>
        <v>0</v>
      </c>
      <c r="AC48" s="308">
        <f t="shared" si="64"/>
        <v>0</v>
      </c>
      <c r="AD48" s="308">
        <f t="shared" si="65"/>
        <v>0</v>
      </c>
      <c r="AE48" s="308">
        <f t="shared" si="66"/>
        <v>0</v>
      </c>
      <c r="AF48" s="526">
        <f t="shared" si="67"/>
        <v>0</v>
      </c>
    </row>
    <row r="49" spans="1:32">
      <c r="A49" s="522">
        <f t="shared" si="45"/>
        <v>37</v>
      </c>
      <c r="B49" s="512" t="s">
        <v>900</v>
      </c>
      <c r="C49" s="511" t="s">
        <v>751</v>
      </c>
      <c r="D49" s="523">
        <f t="shared" si="46"/>
        <v>2022</v>
      </c>
      <c r="E49" s="524">
        <f>123/365</f>
        <v>0.33698630136986302</v>
      </c>
      <c r="F49" s="525">
        <f>'8b-ADIT Projection Proration'!G49</f>
        <v>0</v>
      </c>
      <c r="G49" s="308">
        <f t="shared" si="47"/>
        <v>0</v>
      </c>
      <c r="H49" s="308">
        <f t="shared" si="48"/>
        <v>0</v>
      </c>
      <c r="I49" s="527">
        <v>0</v>
      </c>
      <c r="J49" s="308">
        <f t="shared" si="49"/>
        <v>0</v>
      </c>
      <c r="K49" s="308">
        <f t="shared" si="50"/>
        <v>0</v>
      </c>
      <c r="L49" s="308">
        <f t="shared" si="51"/>
        <v>0</v>
      </c>
      <c r="M49" s="308">
        <f t="shared" si="52"/>
        <v>0</v>
      </c>
      <c r="N49" s="526">
        <f t="shared" si="53"/>
        <v>0</v>
      </c>
      <c r="O49" s="525">
        <f>'8b-ADIT Projection Proration'!I49</f>
        <v>0</v>
      </c>
      <c r="P49" s="308">
        <f t="shared" si="54"/>
        <v>0</v>
      </c>
      <c r="Q49" s="308">
        <f t="shared" si="55"/>
        <v>0</v>
      </c>
      <c r="R49" s="527">
        <v>0</v>
      </c>
      <c r="S49" s="308">
        <f t="shared" si="56"/>
        <v>0</v>
      </c>
      <c r="T49" s="308">
        <f t="shared" si="57"/>
        <v>0</v>
      </c>
      <c r="U49" s="308">
        <f t="shared" si="58"/>
        <v>0</v>
      </c>
      <c r="V49" s="308">
        <f t="shared" si="59"/>
        <v>0</v>
      </c>
      <c r="W49" s="526">
        <f t="shared" si="60"/>
        <v>0</v>
      </c>
      <c r="X49" s="525">
        <f>'8b-ADIT Projection Proration'!K49</f>
        <v>0</v>
      </c>
      <c r="Y49" s="308">
        <f t="shared" si="61"/>
        <v>0</v>
      </c>
      <c r="Z49" s="308">
        <f t="shared" si="62"/>
        <v>0</v>
      </c>
      <c r="AA49" s="527">
        <v>0</v>
      </c>
      <c r="AB49" s="308">
        <f t="shared" si="63"/>
        <v>0</v>
      </c>
      <c r="AC49" s="308">
        <f t="shared" si="64"/>
        <v>0</v>
      </c>
      <c r="AD49" s="308">
        <f t="shared" si="65"/>
        <v>0</v>
      </c>
      <c r="AE49" s="308">
        <f t="shared" si="66"/>
        <v>0</v>
      </c>
      <c r="AF49" s="526">
        <f t="shared" si="67"/>
        <v>0</v>
      </c>
    </row>
    <row r="50" spans="1:32">
      <c r="A50" s="522">
        <f t="shared" si="45"/>
        <v>38</v>
      </c>
      <c r="B50" s="512" t="s">
        <v>900</v>
      </c>
      <c r="C50" s="511" t="s">
        <v>685</v>
      </c>
      <c r="D50" s="523">
        <f t="shared" si="46"/>
        <v>2022</v>
      </c>
      <c r="E50" s="524">
        <f>93/365</f>
        <v>0.25479452054794521</v>
      </c>
      <c r="F50" s="525">
        <f>'8b-ADIT Projection Proration'!G50</f>
        <v>0</v>
      </c>
      <c r="G50" s="308">
        <f t="shared" si="47"/>
        <v>0</v>
      </c>
      <c r="H50" s="308">
        <f t="shared" si="48"/>
        <v>0</v>
      </c>
      <c r="I50" s="527">
        <v>0</v>
      </c>
      <c r="J50" s="308">
        <f t="shared" si="49"/>
        <v>0</v>
      </c>
      <c r="K50" s="308">
        <f t="shared" si="50"/>
        <v>0</v>
      </c>
      <c r="L50" s="308">
        <f t="shared" si="51"/>
        <v>0</v>
      </c>
      <c r="M50" s="308">
        <f t="shared" si="52"/>
        <v>0</v>
      </c>
      <c r="N50" s="526">
        <f t="shared" si="53"/>
        <v>0</v>
      </c>
      <c r="O50" s="525">
        <f>'8b-ADIT Projection Proration'!I50</f>
        <v>0</v>
      </c>
      <c r="P50" s="308">
        <f t="shared" si="54"/>
        <v>0</v>
      </c>
      <c r="Q50" s="308">
        <f t="shared" si="55"/>
        <v>0</v>
      </c>
      <c r="R50" s="527">
        <v>0</v>
      </c>
      <c r="S50" s="308">
        <f t="shared" si="56"/>
        <v>0</v>
      </c>
      <c r="T50" s="308">
        <f t="shared" si="57"/>
        <v>0</v>
      </c>
      <c r="U50" s="308">
        <f t="shared" si="58"/>
        <v>0</v>
      </c>
      <c r="V50" s="308">
        <f t="shared" si="59"/>
        <v>0</v>
      </c>
      <c r="W50" s="526">
        <f t="shared" si="60"/>
        <v>0</v>
      </c>
      <c r="X50" s="525">
        <f>'8b-ADIT Projection Proration'!K50</f>
        <v>0</v>
      </c>
      <c r="Y50" s="308">
        <f t="shared" si="61"/>
        <v>0</v>
      </c>
      <c r="Z50" s="308">
        <f t="shared" si="62"/>
        <v>0</v>
      </c>
      <c r="AA50" s="527">
        <v>0</v>
      </c>
      <c r="AB50" s="308">
        <f t="shared" si="63"/>
        <v>0</v>
      </c>
      <c r="AC50" s="308">
        <f t="shared" si="64"/>
        <v>0</v>
      </c>
      <c r="AD50" s="308">
        <f t="shared" si="65"/>
        <v>0</v>
      </c>
      <c r="AE50" s="308">
        <f t="shared" si="66"/>
        <v>0</v>
      </c>
      <c r="AF50" s="526">
        <f t="shared" si="67"/>
        <v>0</v>
      </c>
    </row>
    <row r="51" spans="1:32">
      <c r="A51" s="522">
        <f t="shared" si="45"/>
        <v>39</v>
      </c>
      <c r="B51" s="512" t="s">
        <v>900</v>
      </c>
      <c r="C51" s="511" t="s">
        <v>686</v>
      </c>
      <c r="D51" s="523">
        <f t="shared" si="46"/>
        <v>2022</v>
      </c>
      <c r="E51" s="524">
        <f>62/365</f>
        <v>0.16986301369863013</v>
      </c>
      <c r="F51" s="525">
        <f>'8b-ADIT Projection Proration'!G51</f>
        <v>0</v>
      </c>
      <c r="G51" s="308">
        <f t="shared" si="47"/>
        <v>0</v>
      </c>
      <c r="H51" s="308">
        <f t="shared" si="48"/>
        <v>0</v>
      </c>
      <c r="I51" s="527">
        <v>0</v>
      </c>
      <c r="J51" s="308">
        <f t="shared" si="49"/>
        <v>0</v>
      </c>
      <c r="K51" s="308">
        <f t="shared" si="50"/>
        <v>0</v>
      </c>
      <c r="L51" s="308">
        <f t="shared" si="51"/>
        <v>0</v>
      </c>
      <c r="M51" s="308">
        <f t="shared" si="52"/>
        <v>0</v>
      </c>
      <c r="N51" s="526">
        <f t="shared" si="53"/>
        <v>0</v>
      </c>
      <c r="O51" s="525">
        <f>'8b-ADIT Projection Proration'!I51</f>
        <v>0</v>
      </c>
      <c r="P51" s="308">
        <f t="shared" si="54"/>
        <v>0</v>
      </c>
      <c r="Q51" s="308">
        <f t="shared" si="55"/>
        <v>0</v>
      </c>
      <c r="R51" s="527">
        <v>0</v>
      </c>
      <c r="S51" s="308">
        <f t="shared" si="56"/>
        <v>0</v>
      </c>
      <c r="T51" s="308">
        <f t="shared" si="57"/>
        <v>0</v>
      </c>
      <c r="U51" s="308">
        <f t="shared" si="58"/>
        <v>0</v>
      </c>
      <c r="V51" s="308">
        <f t="shared" si="59"/>
        <v>0</v>
      </c>
      <c r="W51" s="526">
        <f t="shared" si="60"/>
        <v>0</v>
      </c>
      <c r="X51" s="525">
        <f>'8b-ADIT Projection Proration'!K51</f>
        <v>0</v>
      </c>
      <c r="Y51" s="308">
        <f t="shared" si="61"/>
        <v>0</v>
      </c>
      <c r="Z51" s="308">
        <f t="shared" si="62"/>
        <v>0</v>
      </c>
      <c r="AA51" s="527">
        <v>0</v>
      </c>
      <c r="AB51" s="308">
        <f t="shared" si="63"/>
        <v>0</v>
      </c>
      <c r="AC51" s="308">
        <f t="shared" si="64"/>
        <v>0</v>
      </c>
      <c r="AD51" s="308">
        <f t="shared" si="65"/>
        <v>0</v>
      </c>
      <c r="AE51" s="308">
        <f t="shared" si="66"/>
        <v>0</v>
      </c>
      <c r="AF51" s="526">
        <f t="shared" si="67"/>
        <v>0</v>
      </c>
    </row>
    <row r="52" spans="1:32">
      <c r="A52" s="522">
        <f t="shared" si="45"/>
        <v>40</v>
      </c>
      <c r="B52" s="512" t="s">
        <v>900</v>
      </c>
      <c r="C52" s="511" t="s">
        <v>687</v>
      </c>
      <c r="D52" s="523">
        <f t="shared" si="46"/>
        <v>2022</v>
      </c>
      <c r="E52" s="524">
        <f>32/365</f>
        <v>8.7671232876712329E-2</v>
      </c>
      <c r="F52" s="525">
        <f>'8b-ADIT Projection Proration'!G52</f>
        <v>0</v>
      </c>
      <c r="G52" s="308">
        <f t="shared" si="47"/>
        <v>0</v>
      </c>
      <c r="H52" s="308">
        <f t="shared" si="48"/>
        <v>0</v>
      </c>
      <c r="I52" s="527">
        <v>0</v>
      </c>
      <c r="J52" s="308">
        <f t="shared" si="49"/>
        <v>0</v>
      </c>
      <c r="K52" s="308">
        <f t="shared" si="50"/>
        <v>0</v>
      </c>
      <c r="L52" s="308">
        <f t="shared" si="51"/>
        <v>0</v>
      </c>
      <c r="M52" s="308">
        <f t="shared" si="52"/>
        <v>0</v>
      </c>
      <c r="N52" s="526">
        <f t="shared" si="53"/>
        <v>0</v>
      </c>
      <c r="O52" s="525">
        <f>'8b-ADIT Projection Proration'!I52</f>
        <v>0</v>
      </c>
      <c r="P52" s="308">
        <f t="shared" si="54"/>
        <v>0</v>
      </c>
      <c r="Q52" s="308">
        <f t="shared" si="55"/>
        <v>0</v>
      </c>
      <c r="R52" s="527">
        <v>0</v>
      </c>
      <c r="S52" s="308">
        <f t="shared" si="56"/>
        <v>0</v>
      </c>
      <c r="T52" s="308">
        <f t="shared" si="57"/>
        <v>0</v>
      </c>
      <c r="U52" s="308">
        <f t="shared" si="58"/>
        <v>0</v>
      </c>
      <c r="V52" s="308">
        <f t="shared" si="59"/>
        <v>0</v>
      </c>
      <c r="W52" s="526">
        <f t="shared" si="60"/>
        <v>0</v>
      </c>
      <c r="X52" s="525">
        <f>'8b-ADIT Projection Proration'!K52</f>
        <v>0</v>
      </c>
      <c r="Y52" s="308">
        <f t="shared" si="61"/>
        <v>0</v>
      </c>
      <c r="Z52" s="308">
        <f t="shared" si="62"/>
        <v>0</v>
      </c>
      <c r="AA52" s="527">
        <v>0</v>
      </c>
      <c r="AB52" s="308">
        <f t="shared" si="63"/>
        <v>0</v>
      </c>
      <c r="AC52" s="308">
        <f t="shared" si="64"/>
        <v>0</v>
      </c>
      <c r="AD52" s="308">
        <f t="shared" si="65"/>
        <v>0</v>
      </c>
      <c r="AE52" s="308">
        <f t="shared" si="66"/>
        <v>0</v>
      </c>
      <c r="AF52" s="526">
        <f t="shared" si="67"/>
        <v>0</v>
      </c>
    </row>
    <row r="53" spans="1:32">
      <c r="A53" s="522">
        <f t="shared" si="45"/>
        <v>41</v>
      </c>
      <c r="B53" s="512" t="s">
        <v>900</v>
      </c>
      <c r="C53" s="511" t="s">
        <v>752</v>
      </c>
      <c r="D53" s="523">
        <f t="shared" si="46"/>
        <v>2022</v>
      </c>
      <c r="E53" s="524">
        <f>1/365</f>
        <v>2.7397260273972603E-3</v>
      </c>
      <c r="F53" s="528">
        <f>'8b-ADIT Projection Proration'!G53</f>
        <v>0</v>
      </c>
      <c r="G53" s="529">
        <f t="shared" si="47"/>
        <v>0</v>
      </c>
      <c r="H53" s="529">
        <f t="shared" si="48"/>
        <v>0</v>
      </c>
      <c r="I53" s="530">
        <v>0</v>
      </c>
      <c r="J53" s="529">
        <f t="shared" si="49"/>
        <v>0</v>
      </c>
      <c r="K53" s="529">
        <f t="shared" si="50"/>
        <v>0</v>
      </c>
      <c r="L53" s="529">
        <f t="shared" si="51"/>
        <v>0</v>
      </c>
      <c r="M53" s="529">
        <f t="shared" si="52"/>
        <v>0</v>
      </c>
      <c r="N53" s="531">
        <f t="shared" si="53"/>
        <v>0</v>
      </c>
      <c r="O53" s="528">
        <f>'8b-ADIT Projection Proration'!I53</f>
        <v>0</v>
      </c>
      <c r="P53" s="529">
        <f t="shared" si="54"/>
        <v>0</v>
      </c>
      <c r="Q53" s="529">
        <f t="shared" si="55"/>
        <v>0</v>
      </c>
      <c r="R53" s="530">
        <v>0</v>
      </c>
      <c r="S53" s="529">
        <f t="shared" si="56"/>
        <v>0</v>
      </c>
      <c r="T53" s="529">
        <f t="shared" si="57"/>
        <v>0</v>
      </c>
      <c r="U53" s="529">
        <f t="shared" si="58"/>
        <v>0</v>
      </c>
      <c r="V53" s="529">
        <f t="shared" si="59"/>
        <v>0</v>
      </c>
      <c r="W53" s="531">
        <f t="shared" si="60"/>
        <v>0</v>
      </c>
      <c r="X53" s="528">
        <f>'8b-ADIT Projection Proration'!K53</f>
        <v>0</v>
      </c>
      <c r="Y53" s="529">
        <f t="shared" si="61"/>
        <v>0</v>
      </c>
      <c r="Z53" s="529">
        <f t="shared" si="62"/>
        <v>0</v>
      </c>
      <c r="AA53" s="530">
        <v>0</v>
      </c>
      <c r="AB53" s="529">
        <f t="shared" si="63"/>
        <v>0</v>
      </c>
      <c r="AC53" s="529">
        <f t="shared" si="64"/>
        <v>0</v>
      </c>
      <c r="AD53" s="529">
        <f t="shared" si="65"/>
        <v>0</v>
      </c>
      <c r="AE53" s="529">
        <f t="shared" si="66"/>
        <v>0</v>
      </c>
      <c r="AF53" s="531">
        <f t="shared" si="67"/>
        <v>0</v>
      </c>
    </row>
    <row r="54" spans="1:32" ht="13.5" thickBot="1">
      <c r="A54" s="522">
        <f t="shared" si="45"/>
        <v>42</v>
      </c>
      <c r="B54" s="512" t="s">
        <v>905</v>
      </c>
      <c r="F54" s="533">
        <f>SUM(F41:F53)</f>
        <v>0</v>
      </c>
      <c r="G54" s="534">
        <f>SUM(G41:G53)</f>
        <v>0</v>
      </c>
      <c r="H54" s="534"/>
      <c r="I54" s="534">
        <f>SUM(I41:I53)</f>
        <v>0</v>
      </c>
      <c r="J54" s="534">
        <f>SUM(J41:J53)</f>
        <v>0</v>
      </c>
      <c r="K54" s="534">
        <f>SUM(K41:K53)</f>
        <v>0</v>
      </c>
      <c r="L54" s="534">
        <f>SUM(L41:L53)</f>
        <v>0</v>
      </c>
      <c r="M54" s="534">
        <f>SUM(M41:M53)</f>
        <v>0</v>
      </c>
      <c r="N54" s="535"/>
      <c r="O54" s="533">
        <f>SUM(O41:O53)</f>
        <v>0</v>
      </c>
      <c r="P54" s="534">
        <f>SUM(P41:P53)</f>
        <v>0</v>
      </c>
      <c r="Q54" s="534"/>
      <c r="R54" s="534">
        <f>SUM(R41:R53)</f>
        <v>0</v>
      </c>
      <c r="S54" s="534">
        <f>SUM(S41:S53)</f>
        <v>0</v>
      </c>
      <c r="T54" s="534">
        <f>SUM(T41:T53)</f>
        <v>0</v>
      </c>
      <c r="U54" s="534">
        <f>SUM(U41:U53)</f>
        <v>0</v>
      </c>
      <c r="V54" s="534">
        <f>SUM(V41:V53)</f>
        <v>0</v>
      </c>
      <c r="W54" s="535"/>
      <c r="X54" s="533">
        <f>SUM(X41:X53)</f>
        <v>0</v>
      </c>
      <c r="Y54" s="534">
        <f>SUM(Y41:Y53)</f>
        <v>0</v>
      </c>
      <c r="Z54" s="534"/>
      <c r="AA54" s="534">
        <f>SUM(AA41:AA53)</f>
        <v>0</v>
      </c>
      <c r="AB54" s="534">
        <f>SUM(AB41:AB53)</f>
        <v>0</v>
      </c>
      <c r="AC54" s="534">
        <f>SUM(AC41:AC53)</f>
        <v>0</v>
      </c>
      <c r="AD54" s="534">
        <f>SUM(AD41:AD53)</f>
        <v>0</v>
      </c>
      <c r="AE54" s="534">
        <f>SUM(AE41:AE53)</f>
        <v>0</v>
      </c>
      <c r="AF54" s="535"/>
    </row>
    <row r="55" spans="1:32">
      <c r="B55" s="511"/>
      <c r="F55" s="308"/>
      <c r="G55" s="308"/>
      <c r="H55" s="308"/>
      <c r="I55" s="308"/>
      <c r="J55" s="308"/>
      <c r="K55" s="308"/>
      <c r="L55" s="308"/>
      <c r="M55" s="308"/>
      <c r="N55" s="308"/>
      <c r="O55" s="308"/>
      <c r="P55" s="308"/>
      <c r="Q55" s="308"/>
      <c r="R55" s="308"/>
      <c r="S55" s="308"/>
      <c r="T55" s="308"/>
      <c r="U55" s="308"/>
      <c r="V55" s="308"/>
      <c r="W55" s="308"/>
      <c r="X55" s="308"/>
      <c r="Y55" s="308"/>
    </row>
    <row r="56" spans="1:32">
      <c r="B56" s="511"/>
    </row>
    <row r="57" spans="1:32">
      <c r="A57" s="540" t="s">
        <v>906</v>
      </c>
      <c r="B57" s="511" t="s">
        <v>907</v>
      </c>
    </row>
    <row r="58" spans="1:32">
      <c r="A58" s="540" t="s">
        <v>908</v>
      </c>
      <c r="B58" s="511" t="s">
        <v>978</v>
      </c>
      <c r="D58" s="536"/>
      <c r="E58" s="536"/>
      <c r="F58" s="536"/>
      <c r="G58" s="536"/>
      <c r="H58" s="536"/>
      <c r="I58" s="536"/>
      <c r="J58" s="536"/>
      <c r="K58" s="536"/>
      <c r="L58" s="536"/>
      <c r="M58" s="536"/>
      <c r="N58" s="536"/>
    </row>
    <row r="59" spans="1:32">
      <c r="A59" s="541" t="s">
        <v>340</v>
      </c>
      <c r="B59" s="511" t="s">
        <v>909</v>
      </c>
      <c r="D59" s="536"/>
      <c r="E59" s="536"/>
      <c r="F59" s="536"/>
      <c r="G59" s="536"/>
      <c r="H59" s="536"/>
      <c r="I59" s="536"/>
      <c r="J59" s="536"/>
      <c r="K59" s="536"/>
      <c r="L59" s="536"/>
      <c r="M59" s="536"/>
      <c r="N59" s="536"/>
    </row>
    <row r="60" spans="1:32">
      <c r="A60" s="541" t="s">
        <v>341</v>
      </c>
      <c r="B60" s="511" t="s">
        <v>910</v>
      </c>
      <c r="D60" s="536"/>
      <c r="E60" s="536"/>
      <c r="F60" s="536"/>
      <c r="G60" s="536"/>
      <c r="H60" s="536"/>
      <c r="I60" s="536"/>
      <c r="J60" s="536"/>
      <c r="K60" s="536"/>
      <c r="L60" s="536"/>
      <c r="M60" s="536"/>
      <c r="N60" s="536"/>
    </row>
    <row r="61" spans="1:32">
      <c r="A61" s="541" t="s">
        <v>342</v>
      </c>
      <c r="B61" s="512" t="s">
        <v>1042</v>
      </c>
      <c r="D61" s="513"/>
      <c r="E61" s="513"/>
    </row>
    <row r="62" spans="1:32">
      <c r="D62" s="308"/>
      <c r="E62" s="308"/>
    </row>
    <row r="63" spans="1:32">
      <c r="D63" s="308"/>
      <c r="E63" s="308"/>
    </row>
    <row r="64" spans="1:32">
      <c r="D64" s="308"/>
      <c r="E64" s="308"/>
    </row>
    <row r="65" spans="2:24">
      <c r="D65" s="308"/>
      <c r="E65" s="308"/>
    </row>
    <row r="66" spans="2:24">
      <c r="D66" s="308"/>
      <c r="E66" s="308"/>
      <c r="O66" s="308"/>
      <c r="P66" s="308"/>
      <c r="Q66" s="308"/>
      <c r="R66" s="308"/>
      <c r="S66" s="308"/>
      <c r="T66" s="308"/>
      <c r="U66" s="308"/>
      <c r="V66" s="308"/>
      <c r="W66" s="308"/>
      <c r="X66" s="308"/>
    </row>
    <row r="67" spans="2:24">
      <c r="D67" s="308"/>
      <c r="E67" s="308"/>
    </row>
    <row r="68" spans="2:24">
      <c r="D68" s="308"/>
      <c r="E68" s="308"/>
    </row>
    <row r="69" spans="2:24">
      <c r="D69" s="308"/>
      <c r="E69" s="308"/>
    </row>
    <row r="70" spans="2:24">
      <c r="D70" s="308"/>
      <c r="E70" s="308"/>
    </row>
    <row r="71" spans="2:24">
      <c r="D71" s="308"/>
      <c r="E71" s="308"/>
    </row>
    <row r="72" spans="2:24">
      <c r="B72" s="511"/>
      <c r="D72" s="308"/>
      <c r="E72" s="308"/>
    </row>
    <row r="73" spans="2:24">
      <c r="D73" s="308"/>
      <c r="E73" s="308"/>
    </row>
    <row r="74" spans="2:24">
      <c r="B74" s="511"/>
      <c r="D74" s="308"/>
      <c r="E74" s="308"/>
    </row>
  </sheetData>
  <mergeCells count="13">
    <mergeCell ref="A1:I1"/>
    <mergeCell ref="J1:N1"/>
    <mergeCell ref="O1:U1"/>
    <mergeCell ref="X1:AD1"/>
    <mergeCell ref="O2:W2"/>
    <mergeCell ref="X2:AF2"/>
    <mergeCell ref="X5:AF5"/>
    <mergeCell ref="A2:N2"/>
    <mergeCell ref="A3:N3"/>
    <mergeCell ref="F5:N5"/>
    <mergeCell ref="O5:W5"/>
    <mergeCell ref="O3:W3"/>
    <mergeCell ref="X3:AF3"/>
  </mergeCells>
  <printOptions horizontalCentered="1"/>
  <pageMargins left="0.25" right="0.25" top="0.5" bottom="0.5" header="0.3" footer="0.3"/>
  <pageSetup scale="65" fitToWidth="2" fitToHeight="0" orientation="landscape" cellComments="asDisplayed" r:id="rId1"/>
  <headerFooter alignWithMargins="0"/>
  <colBreaks count="2" manualBreakCount="2">
    <brk id="14" max="60" man="1"/>
    <brk id="23" max="60"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6179C-F1BA-4BD1-A698-0C701AE3DD52}">
  <sheetPr>
    <pageSetUpPr fitToPage="1"/>
  </sheetPr>
  <dimension ref="A1:AP71"/>
  <sheetViews>
    <sheetView view="pageBreakPreview" zoomScaleNormal="100" zoomScaleSheetLayoutView="100" workbookViewId="0">
      <selection activeCell="A5" sqref="A5"/>
    </sheetView>
  </sheetViews>
  <sheetFormatPr defaultColWidth="7.44140625" defaultRowHeight="12.75"/>
  <cols>
    <col min="1" max="1" width="3.88671875" style="710" customWidth="1"/>
    <col min="2" max="2" width="38.109375" style="710" customWidth="1"/>
    <col min="3" max="3" width="1.88671875" style="710" customWidth="1"/>
    <col min="4" max="4" width="8.109375" style="711" customWidth="1"/>
    <col min="5" max="5" width="4.109375" style="710" customWidth="1"/>
    <col min="6" max="6" width="10.88671875" style="710" customWidth="1"/>
    <col min="7" max="7" width="2.109375" style="710" customWidth="1"/>
    <col min="8" max="8" width="10.88671875" style="710" customWidth="1"/>
    <col min="9" max="9" width="1.5546875" style="710" customWidth="1"/>
    <col min="10" max="10" width="10.88671875" style="710" customWidth="1"/>
    <col min="11" max="11" width="2.44140625" style="710" customWidth="1"/>
    <col min="12" max="13" width="8.5546875" style="711" bestFit="1" customWidth="1"/>
    <col min="14" max="14" width="2.44140625" style="711" customWidth="1"/>
    <col min="15" max="15" width="8.109375" style="711" customWidth="1"/>
    <col min="16" max="16" width="2.44140625" style="710" customWidth="1"/>
    <col min="17" max="17" width="10.88671875" style="710" customWidth="1"/>
    <col min="18" max="18" width="1.88671875" style="710" customWidth="1"/>
    <col min="19" max="19" width="10.88671875" style="710" customWidth="1"/>
    <col min="20" max="20" width="1.109375" style="710" customWidth="1"/>
    <col min="21" max="21" width="10.88671875" style="710" customWidth="1"/>
    <col min="22" max="22" width="2.109375" style="710" customWidth="1"/>
    <col min="23" max="23" width="10.88671875" style="710" customWidth="1"/>
    <col min="24" max="24" width="2.109375" style="710" customWidth="1"/>
    <col min="25" max="25" width="10.88671875" style="710" customWidth="1"/>
    <col min="26" max="26" width="2.109375" style="710" customWidth="1"/>
    <col min="27" max="27" width="10.88671875" style="710" customWidth="1"/>
    <col min="28" max="28" width="2.109375" style="710" customWidth="1"/>
    <col min="29" max="29" width="10.88671875" style="710" customWidth="1"/>
    <col min="30" max="30" width="2.109375" style="710" customWidth="1"/>
    <col min="31" max="31" width="10.88671875" style="710" customWidth="1"/>
    <col min="32" max="32" width="2.109375" style="710" customWidth="1"/>
    <col min="33" max="33" width="10.88671875" style="710" customWidth="1"/>
    <col min="34" max="34" width="2.109375" style="710" customWidth="1"/>
    <col min="35" max="35" width="10.88671875" style="710" customWidth="1"/>
    <col min="36" max="36" width="2.109375" style="710" customWidth="1"/>
    <col min="37" max="37" width="10.88671875" style="710" customWidth="1"/>
    <col min="38" max="38" width="2.109375" style="710" customWidth="1"/>
    <col min="39" max="39" width="10.88671875" style="710" customWidth="1"/>
    <col min="40" max="40" width="2.109375" style="710" customWidth="1"/>
    <col min="41" max="41" width="12.88671875" style="710" customWidth="1"/>
    <col min="42" max="42" width="2.109375" style="710" customWidth="1"/>
    <col min="43" max="49" width="10.88671875" style="710" customWidth="1"/>
    <col min="50" max="16384" width="7.44140625" style="710"/>
  </cols>
  <sheetData>
    <row r="1" spans="1:41" s="606" customFormat="1">
      <c r="A1" s="604" t="s">
        <v>1043</v>
      </c>
      <c r="B1" s="605"/>
      <c r="C1" s="604"/>
      <c r="D1" s="604"/>
      <c r="E1" s="604"/>
      <c r="F1" s="604"/>
      <c r="G1" s="604"/>
      <c r="H1" s="604"/>
      <c r="I1" s="604"/>
      <c r="J1" s="604"/>
      <c r="K1" s="604"/>
      <c r="L1" s="604"/>
      <c r="M1" s="604"/>
      <c r="N1" s="604"/>
      <c r="O1" s="604"/>
      <c r="P1" s="604"/>
      <c r="Q1" s="604"/>
      <c r="R1" s="604"/>
      <c r="S1" s="604"/>
      <c r="T1" s="604"/>
      <c r="U1" s="604"/>
      <c r="V1" s="604"/>
      <c r="W1" s="604"/>
      <c r="X1" s="604"/>
      <c r="Y1" s="604"/>
      <c r="Z1" s="604"/>
      <c r="AA1" s="604"/>
      <c r="AB1" s="604"/>
      <c r="AC1" s="604"/>
      <c r="AD1" s="604"/>
      <c r="AE1" s="604"/>
      <c r="AF1" s="604"/>
      <c r="AG1" s="604"/>
      <c r="AH1" s="604"/>
      <c r="AI1" s="604"/>
      <c r="AJ1" s="604"/>
      <c r="AK1" s="604"/>
      <c r="AL1" s="604"/>
      <c r="AM1" s="604"/>
      <c r="AN1" s="604"/>
      <c r="AO1" s="604"/>
    </row>
    <row r="2" spans="1:41" s="606" customFormat="1">
      <c r="A2" s="604" t="s">
        <v>1044</v>
      </c>
      <c r="B2" s="604"/>
      <c r="C2" s="604"/>
      <c r="D2" s="604"/>
      <c r="E2" s="604"/>
      <c r="F2" s="604"/>
      <c r="G2" s="604"/>
      <c r="H2" s="604"/>
      <c r="I2" s="604"/>
      <c r="J2" s="604"/>
      <c r="K2" s="604"/>
      <c r="L2" s="604"/>
      <c r="M2" s="604"/>
      <c r="N2" s="604"/>
      <c r="O2" s="604"/>
      <c r="P2" s="604"/>
      <c r="Q2" s="604"/>
      <c r="R2" s="604"/>
      <c r="S2" s="604"/>
      <c r="T2" s="604"/>
      <c r="U2" s="604"/>
      <c r="V2" s="604"/>
      <c r="W2" s="604"/>
      <c r="X2" s="604"/>
      <c r="Y2" s="604"/>
      <c r="Z2" s="604"/>
      <c r="AA2" s="604"/>
      <c r="AB2" s="604"/>
      <c r="AC2" s="604"/>
      <c r="AD2" s="604"/>
      <c r="AE2" s="604"/>
      <c r="AF2" s="604"/>
      <c r="AG2" s="604"/>
      <c r="AH2" s="604"/>
      <c r="AI2" s="604"/>
      <c r="AJ2" s="604"/>
      <c r="AK2" s="604"/>
      <c r="AL2" s="604"/>
      <c r="AM2" s="604"/>
      <c r="AN2" s="604"/>
      <c r="AO2" s="604"/>
    </row>
    <row r="3" spans="1:41" s="606" customFormat="1">
      <c r="A3" s="604" t="s">
        <v>5</v>
      </c>
      <c r="B3" s="607"/>
      <c r="C3" s="607"/>
      <c r="D3" s="607"/>
      <c r="E3" s="607"/>
      <c r="F3" s="607"/>
      <c r="G3" s="607"/>
      <c r="H3" s="607"/>
      <c r="I3" s="607"/>
      <c r="J3" s="607"/>
      <c r="K3" s="607"/>
      <c r="L3" s="607"/>
      <c r="M3" s="607"/>
      <c r="N3" s="607"/>
      <c r="O3" s="607"/>
      <c r="P3" s="607"/>
      <c r="Q3" s="607"/>
      <c r="R3" s="607"/>
      <c r="S3" s="607"/>
      <c r="T3" s="607"/>
      <c r="U3" s="607"/>
      <c r="V3" s="607"/>
      <c r="W3" s="607"/>
      <c r="X3" s="607"/>
      <c r="Y3" s="607"/>
      <c r="Z3" s="607"/>
      <c r="AA3" s="607"/>
      <c r="AB3" s="607"/>
      <c r="AC3" s="607"/>
      <c r="AD3" s="607"/>
      <c r="AE3" s="607"/>
      <c r="AF3" s="607"/>
      <c r="AG3" s="607"/>
      <c r="AH3" s="607"/>
      <c r="AI3" s="607"/>
      <c r="AJ3" s="607"/>
      <c r="AK3" s="607"/>
      <c r="AL3" s="607"/>
      <c r="AM3" s="607"/>
      <c r="AN3" s="607"/>
      <c r="AO3" s="607"/>
    </row>
    <row r="4" spans="1:41" s="606" customFormat="1">
      <c r="A4" s="607" t="s">
        <v>1159</v>
      </c>
      <c r="B4" s="607"/>
      <c r="C4" s="607"/>
      <c r="D4" s="607"/>
      <c r="E4" s="607"/>
      <c r="F4" s="607"/>
      <c r="G4" s="607"/>
      <c r="H4" s="607"/>
      <c r="I4" s="607"/>
      <c r="J4" s="607"/>
      <c r="K4" s="607"/>
      <c r="L4" s="607"/>
      <c r="M4" s="607"/>
      <c r="N4" s="607"/>
      <c r="O4" s="607"/>
      <c r="P4" s="607"/>
      <c r="Q4" s="608"/>
      <c r="R4" s="608"/>
      <c r="S4" s="608"/>
      <c r="T4" s="608"/>
      <c r="U4" s="608"/>
      <c r="V4" s="608"/>
      <c r="W4" s="607"/>
      <c r="X4" s="607"/>
      <c r="Y4" s="607"/>
      <c r="Z4" s="607"/>
      <c r="AA4" s="607"/>
      <c r="AB4" s="607"/>
      <c r="AC4" s="607"/>
      <c r="AD4" s="607"/>
      <c r="AE4" s="607"/>
      <c r="AF4" s="607"/>
      <c r="AG4" s="607"/>
      <c r="AH4" s="607"/>
      <c r="AI4" s="607"/>
      <c r="AJ4" s="607"/>
      <c r="AK4" s="607"/>
      <c r="AL4" s="607"/>
      <c r="AM4" s="607"/>
      <c r="AN4" s="607"/>
      <c r="AO4" s="607"/>
    </row>
    <row r="5" spans="1:41" s="606" customFormat="1">
      <c r="A5" s="609"/>
      <c r="B5" s="610"/>
      <c r="C5" s="610"/>
      <c r="D5" s="611"/>
      <c r="E5" s="610"/>
      <c r="F5" s="610"/>
      <c r="G5" s="610"/>
      <c r="H5" s="610"/>
      <c r="I5" s="610"/>
      <c r="J5" s="610"/>
      <c r="K5" s="610"/>
      <c r="L5" s="611"/>
      <c r="M5" s="611"/>
      <c r="N5" s="611"/>
      <c r="O5" s="611"/>
      <c r="P5" s="610"/>
      <c r="Q5" s="610"/>
      <c r="R5" s="610"/>
      <c r="S5" s="610"/>
      <c r="T5" s="610"/>
      <c r="U5" s="610"/>
      <c r="V5" s="610"/>
      <c r="W5" s="610"/>
      <c r="X5" s="610"/>
      <c r="Y5" s="610"/>
      <c r="Z5" s="610"/>
      <c r="AA5" s="610"/>
      <c r="AB5" s="610"/>
      <c r="AC5" s="610"/>
      <c r="AD5" s="610"/>
      <c r="AE5" s="610"/>
      <c r="AF5" s="610"/>
      <c r="AG5" s="610"/>
      <c r="AH5" s="610"/>
      <c r="AI5" s="610"/>
      <c r="AJ5" s="610"/>
      <c r="AK5" s="610"/>
      <c r="AL5" s="610"/>
      <c r="AM5" s="610"/>
      <c r="AN5" s="610"/>
      <c r="AO5" s="610"/>
    </row>
    <row r="6" spans="1:41" s="606" customFormat="1">
      <c r="B6" s="610"/>
      <c r="C6" s="610"/>
      <c r="D6" s="611"/>
      <c r="E6" s="610"/>
      <c r="F6" s="610"/>
      <c r="G6" s="610"/>
      <c r="H6" s="610"/>
      <c r="I6" s="610"/>
      <c r="J6" s="610"/>
      <c r="K6" s="610"/>
      <c r="L6" s="611"/>
      <c r="M6" s="611"/>
      <c r="N6" s="611"/>
      <c r="O6" s="611"/>
      <c r="P6" s="610"/>
      <c r="Q6" s="610"/>
      <c r="R6" s="610"/>
      <c r="S6" s="610"/>
      <c r="T6" s="610"/>
      <c r="U6" s="610"/>
      <c r="V6" s="610"/>
      <c r="W6" s="610"/>
      <c r="X6" s="610"/>
      <c r="Y6" s="610"/>
      <c r="Z6" s="610"/>
      <c r="AA6" s="610"/>
      <c r="AB6" s="610"/>
      <c r="AC6" s="610"/>
      <c r="AD6" s="610"/>
      <c r="AE6" s="610"/>
      <c r="AF6" s="610"/>
      <c r="AG6" s="610"/>
      <c r="AH6" s="610"/>
      <c r="AI6" s="610"/>
      <c r="AJ6" s="610"/>
      <c r="AK6" s="610"/>
      <c r="AL6" s="610"/>
      <c r="AM6" s="610"/>
      <c r="AN6" s="610"/>
      <c r="AO6" s="610"/>
    </row>
    <row r="7" spans="1:41" s="606" customFormat="1" ht="48.6" customHeight="1">
      <c r="A7" s="612"/>
      <c r="B7" s="612"/>
      <c r="C7" s="613"/>
      <c r="D7" s="614" t="s">
        <v>1045</v>
      </c>
      <c r="E7" s="614" t="s">
        <v>1046</v>
      </c>
      <c r="F7" s="614" t="s">
        <v>1047</v>
      </c>
      <c r="G7" s="615"/>
      <c r="H7" s="614" t="s">
        <v>1048</v>
      </c>
      <c r="I7" s="614"/>
      <c r="J7" s="614" t="s">
        <v>1049</v>
      </c>
      <c r="K7" s="611"/>
      <c r="L7" s="615" t="s">
        <v>1050</v>
      </c>
      <c r="M7" s="616" t="s">
        <v>1051</v>
      </c>
      <c r="N7" s="611"/>
      <c r="O7" s="616" t="s">
        <v>1052</v>
      </c>
      <c r="P7" s="615"/>
      <c r="Q7" s="617" t="s">
        <v>1053</v>
      </c>
      <c r="R7" s="615"/>
      <c r="S7" s="617" t="s">
        <v>1054</v>
      </c>
      <c r="T7" s="611"/>
      <c r="U7" s="611" t="s">
        <v>1055</v>
      </c>
      <c r="V7" s="610"/>
      <c r="W7" s="611" t="s">
        <v>1056</v>
      </c>
      <c r="X7" s="611"/>
      <c r="Y7" s="611" t="s">
        <v>1057</v>
      </c>
      <c r="Z7" s="611"/>
      <c r="AA7" s="611" t="s">
        <v>1058</v>
      </c>
      <c r="AB7" s="611"/>
      <c r="AC7" s="618" t="s">
        <v>1059</v>
      </c>
      <c r="AD7" s="611"/>
      <c r="AE7" s="618" t="s">
        <v>1060</v>
      </c>
      <c r="AF7" s="611"/>
      <c r="AG7" s="611" t="s">
        <v>1061</v>
      </c>
      <c r="AH7" s="611"/>
      <c r="AI7" s="618" t="s">
        <v>1062</v>
      </c>
      <c r="AJ7" s="611"/>
      <c r="AK7" s="618" t="s">
        <v>1063</v>
      </c>
      <c r="AL7" s="618"/>
      <c r="AM7" s="618" t="s">
        <v>1064</v>
      </c>
      <c r="AN7" s="618"/>
      <c r="AO7" s="616" t="s">
        <v>1065</v>
      </c>
    </row>
    <row r="8" spans="1:41" s="606" customFormat="1">
      <c r="A8" s="610"/>
      <c r="B8" s="610"/>
      <c r="C8" s="610"/>
      <c r="D8" s="611"/>
      <c r="E8" s="610"/>
      <c r="F8" s="610"/>
      <c r="G8" s="610"/>
      <c r="H8" s="610"/>
      <c r="I8" s="610"/>
      <c r="J8" s="610"/>
      <c r="K8" s="610"/>
      <c r="L8" s="611"/>
      <c r="M8" s="611"/>
      <c r="N8" s="610"/>
      <c r="O8" s="611"/>
      <c r="P8" s="610"/>
      <c r="Q8" s="610"/>
      <c r="R8" s="610"/>
      <c r="S8" s="610"/>
      <c r="T8" s="610"/>
      <c r="U8" s="610"/>
      <c r="V8" s="610"/>
      <c r="W8" s="610"/>
      <c r="X8" s="610"/>
      <c r="Y8" s="610"/>
      <c r="Z8" s="610"/>
      <c r="AA8" s="610"/>
      <c r="AB8" s="610"/>
      <c r="AC8" s="610"/>
      <c r="AD8" s="610"/>
      <c r="AE8" s="610"/>
      <c r="AF8" s="610"/>
      <c r="AG8" s="610"/>
      <c r="AH8" s="610"/>
      <c r="AI8" s="610"/>
      <c r="AJ8" s="610"/>
      <c r="AK8" s="610"/>
      <c r="AL8" s="610"/>
      <c r="AM8" s="610"/>
      <c r="AN8" s="610"/>
      <c r="AO8" s="610"/>
    </row>
    <row r="9" spans="1:41" s="606" customFormat="1" ht="31.9" customHeight="1">
      <c r="A9" s="610"/>
      <c r="B9" s="610"/>
      <c r="C9" s="610"/>
      <c r="D9" s="870" t="s">
        <v>1066</v>
      </c>
      <c r="E9" s="871"/>
      <c r="F9" s="871"/>
      <c r="G9" s="871"/>
      <c r="H9" s="871"/>
      <c r="I9" s="871"/>
      <c r="J9" s="872"/>
      <c r="K9" s="619"/>
      <c r="L9" s="870" t="s">
        <v>1067</v>
      </c>
      <c r="M9" s="872"/>
      <c r="N9" s="619"/>
      <c r="O9" s="873" t="s">
        <v>1068</v>
      </c>
      <c r="P9" s="874"/>
      <c r="Q9" s="874"/>
      <c r="R9" s="874"/>
      <c r="S9" s="874"/>
      <c r="T9" s="874"/>
      <c r="U9" s="875"/>
      <c r="V9" s="610"/>
      <c r="W9" s="873" t="s">
        <v>1069</v>
      </c>
      <c r="X9" s="874"/>
      <c r="Y9" s="874"/>
      <c r="Z9" s="874"/>
      <c r="AA9" s="874"/>
      <c r="AB9" s="874"/>
      <c r="AC9" s="874"/>
      <c r="AD9" s="874"/>
      <c r="AE9" s="874"/>
      <c r="AF9" s="874"/>
      <c r="AG9" s="874"/>
      <c r="AH9" s="874"/>
      <c r="AI9" s="874"/>
      <c r="AJ9" s="874"/>
      <c r="AK9" s="874"/>
      <c r="AL9" s="874"/>
      <c r="AM9" s="875"/>
      <c r="AN9" s="620"/>
      <c r="AO9" s="621"/>
    </row>
    <row r="10" spans="1:41" s="606" customFormat="1" ht="39.6" customHeight="1">
      <c r="A10" s="610"/>
      <c r="B10" s="610"/>
      <c r="C10" s="610"/>
      <c r="D10" s="622"/>
      <c r="E10" s="623"/>
      <c r="F10" s="876" t="s">
        <v>1070</v>
      </c>
      <c r="G10" s="877"/>
      <c r="H10" s="878"/>
      <c r="I10" s="623"/>
      <c r="J10" s="624"/>
      <c r="K10" s="619"/>
      <c r="L10" s="622"/>
      <c r="M10" s="625"/>
      <c r="N10" s="619"/>
      <c r="O10" s="622"/>
      <c r="P10" s="623"/>
      <c r="Q10" s="879" t="s">
        <v>1071</v>
      </c>
      <c r="R10" s="880"/>
      <c r="S10" s="881"/>
      <c r="T10" s="623"/>
      <c r="U10" s="626"/>
      <c r="V10" s="610"/>
      <c r="W10" s="882" t="s">
        <v>1072</v>
      </c>
      <c r="X10" s="883"/>
      <c r="Y10" s="883"/>
      <c r="Z10" s="883"/>
      <c r="AA10" s="884"/>
      <c r="AB10" s="610"/>
      <c r="AC10" s="882" t="s">
        <v>1068</v>
      </c>
      <c r="AD10" s="883"/>
      <c r="AE10" s="883"/>
      <c r="AF10" s="883"/>
      <c r="AG10" s="884"/>
      <c r="AH10" s="610"/>
      <c r="AI10" s="885" t="s">
        <v>1073</v>
      </c>
      <c r="AJ10" s="886"/>
      <c r="AK10" s="886"/>
      <c r="AL10" s="886"/>
      <c r="AM10" s="887"/>
      <c r="AN10" s="627"/>
      <c r="AO10" s="628"/>
    </row>
    <row r="11" spans="1:41" s="606" customFormat="1" ht="50.65" customHeight="1">
      <c r="A11" s="629" t="s">
        <v>492</v>
      </c>
      <c r="B11" s="630" t="s">
        <v>1023</v>
      </c>
      <c r="C11" s="631"/>
      <c r="D11" s="632" t="s">
        <v>1074</v>
      </c>
      <c r="E11" s="633"/>
      <c r="F11" s="632" t="s">
        <v>1075</v>
      </c>
      <c r="G11" s="634"/>
      <c r="H11" s="635" t="s">
        <v>1076</v>
      </c>
      <c r="I11" s="636"/>
      <c r="J11" s="637" t="s">
        <v>21</v>
      </c>
      <c r="K11" s="619"/>
      <c r="L11" s="632" t="s">
        <v>1077</v>
      </c>
      <c r="M11" s="635" t="s">
        <v>1078</v>
      </c>
      <c r="N11" s="619"/>
      <c r="O11" s="632" t="s">
        <v>1079</v>
      </c>
      <c r="P11" s="634"/>
      <c r="Q11" s="632" t="s">
        <v>1080</v>
      </c>
      <c r="R11" s="634"/>
      <c r="S11" s="638" t="s">
        <v>1081</v>
      </c>
      <c r="T11" s="634"/>
      <c r="U11" s="639" t="s">
        <v>1082</v>
      </c>
      <c r="V11" s="619"/>
      <c r="W11" s="640" t="s">
        <v>1083</v>
      </c>
      <c r="X11" s="636"/>
      <c r="Y11" s="638" t="s">
        <v>1081</v>
      </c>
      <c r="Z11" s="619"/>
      <c r="AA11" s="637" t="s">
        <v>21</v>
      </c>
      <c r="AB11" s="619"/>
      <c r="AC11" s="640" t="s">
        <v>1083</v>
      </c>
      <c r="AD11" s="636"/>
      <c r="AE11" s="638" t="s">
        <v>1081</v>
      </c>
      <c r="AF11" s="623"/>
      <c r="AG11" s="641" t="s">
        <v>21</v>
      </c>
      <c r="AH11" s="623"/>
      <c r="AI11" s="640" t="s">
        <v>1083</v>
      </c>
      <c r="AJ11" s="636"/>
      <c r="AK11" s="638" t="s">
        <v>1081</v>
      </c>
      <c r="AL11" s="638"/>
      <c r="AM11" s="637" t="s">
        <v>21</v>
      </c>
      <c r="AN11" s="638"/>
      <c r="AO11" s="642" t="s">
        <v>1084</v>
      </c>
    </row>
    <row r="12" spans="1:41" s="606" customFormat="1" ht="15">
      <c r="A12" s="623"/>
      <c r="B12" s="643" t="s">
        <v>1085</v>
      </c>
      <c r="C12" s="644"/>
      <c r="D12" s="611"/>
      <c r="E12" s="645"/>
      <c r="F12" s="619"/>
      <c r="G12" s="619"/>
      <c r="H12" s="619"/>
      <c r="I12" s="619"/>
      <c r="J12" s="619"/>
      <c r="K12" s="619"/>
      <c r="L12" s="619"/>
      <c r="M12" s="619"/>
      <c r="N12" s="619"/>
      <c r="O12" s="619"/>
      <c r="P12" s="619"/>
      <c r="Q12" s="610"/>
      <c r="R12" s="610"/>
      <c r="S12" s="610"/>
      <c r="T12" s="610"/>
      <c r="U12" s="610"/>
      <c r="V12" s="610"/>
      <c r="W12" s="610"/>
      <c r="X12" s="610"/>
      <c r="Y12" s="610"/>
      <c r="Z12" s="610"/>
      <c r="AA12" s="610"/>
      <c r="AB12" s="610"/>
      <c r="AC12" s="610"/>
      <c r="AD12" s="610"/>
      <c r="AE12" s="610"/>
      <c r="AF12" s="610"/>
      <c r="AG12" s="610"/>
      <c r="AH12" s="610"/>
      <c r="AI12" s="610"/>
      <c r="AJ12" s="610"/>
      <c r="AK12" s="610"/>
      <c r="AL12" s="610"/>
      <c r="AM12" s="610"/>
      <c r="AN12" s="610"/>
      <c r="AO12" s="610"/>
    </row>
    <row r="13" spans="1:41" s="606" customFormat="1">
      <c r="A13" s="646" t="s">
        <v>151</v>
      </c>
      <c r="B13" s="647" t="str">
        <f>'8h - ADIT Remeasurement'!B12</f>
        <v>(2018 Illustrative Remeasurement) Net Operating Loss</v>
      </c>
      <c r="C13" s="648"/>
      <c r="D13" s="649">
        <v>182.3</v>
      </c>
      <c r="E13" s="650"/>
      <c r="F13" s="651">
        <f>'8h - ADIT Remeasurement'!J12</f>
        <v>0</v>
      </c>
      <c r="G13" s="652"/>
      <c r="H13" s="651">
        <f>'8h - ADIT Remeasurement'!K12</f>
        <v>0</v>
      </c>
      <c r="I13" s="652"/>
      <c r="J13" s="652">
        <f>F13+H13</f>
        <v>0</v>
      </c>
      <c r="K13" s="653"/>
      <c r="L13" s="654"/>
      <c r="M13" s="655"/>
      <c r="N13" s="656"/>
      <c r="O13" s="657"/>
      <c r="P13" s="653"/>
      <c r="Q13" s="651">
        <f>IFERROR(F13/L13,0)</f>
        <v>0</v>
      </c>
      <c r="R13" s="651"/>
      <c r="S13" s="651">
        <f>IFERROR(H13/M13,0)</f>
        <v>0</v>
      </c>
      <c r="T13" s="652"/>
      <c r="U13" s="652">
        <f>Q13+S13</f>
        <v>0</v>
      </c>
      <c r="V13" s="652"/>
      <c r="W13" s="658">
        <v>0</v>
      </c>
      <c r="X13" s="614" t="s">
        <v>656</v>
      </c>
      <c r="Y13" s="658">
        <v>0</v>
      </c>
      <c r="Z13" s="614" t="s">
        <v>656</v>
      </c>
      <c r="AA13" s="652">
        <f>W13+Y13</f>
        <v>0</v>
      </c>
      <c r="AB13" s="652"/>
      <c r="AC13" s="652">
        <f>-Q13</f>
        <v>0</v>
      </c>
      <c r="AD13" s="652"/>
      <c r="AE13" s="652">
        <f>-S13</f>
        <v>0</v>
      </c>
      <c r="AF13" s="652"/>
      <c r="AG13" s="652">
        <f>AC13+AE13</f>
        <v>0</v>
      </c>
      <c r="AH13" s="652"/>
      <c r="AI13" s="652">
        <f>W13+AC13</f>
        <v>0</v>
      </c>
      <c r="AJ13" s="614" t="s">
        <v>659</v>
      </c>
      <c r="AK13" s="652">
        <f>Y13+AE13</f>
        <v>0</v>
      </c>
      <c r="AL13" s="614" t="s">
        <v>659</v>
      </c>
      <c r="AM13" s="652">
        <f>AI13+AK13</f>
        <v>0</v>
      </c>
      <c r="AN13" s="652"/>
      <c r="AO13" s="659" t="s">
        <v>1087</v>
      </c>
    </row>
    <row r="14" spans="1:41" s="606" customFormat="1">
      <c r="A14" s="646" t="s">
        <v>1088</v>
      </c>
      <c r="B14" s="658"/>
      <c r="C14" s="652"/>
      <c r="D14" s="660"/>
      <c r="E14" s="661" t="s">
        <v>1089</v>
      </c>
      <c r="F14" s="662"/>
      <c r="G14" s="652"/>
      <c r="H14" s="662"/>
      <c r="I14" s="652"/>
      <c r="J14" s="662"/>
      <c r="K14" s="652"/>
      <c r="L14" s="663"/>
      <c r="M14" s="663"/>
      <c r="N14" s="614"/>
      <c r="O14" s="654"/>
      <c r="P14" s="652"/>
      <c r="Q14" s="662">
        <f>IFERROR(F14/L14,0)</f>
        <v>0</v>
      </c>
      <c r="R14" s="652"/>
      <c r="S14" s="662">
        <f>IFERROR(H14/M14,0)</f>
        <v>0</v>
      </c>
      <c r="T14" s="652"/>
      <c r="U14" s="662"/>
      <c r="V14" s="652"/>
      <c r="W14" s="662"/>
      <c r="X14" s="614" t="s">
        <v>656</v>
      </c>
      <c r="Y14" s="662"/>
      <c r="Z14" s="614" t="s">
        <v>656</v>
      </c>
      <c r="AA14" s="662"/>
      <c r="AB14" s="652"/>
      <c r="AC14" s="662"/>
      <c r="AD14" s="652"/>
      <c r="AE14" s="662"/>
      <c r="AF14" s="652"/>
      <c r="AG14" s="662"/>
      <c r="AH14" s="652"/>
      <c r="AI14" s="662"/>
      <c r="AJ14" s="614" t="s">
        <v>659</v>
      </c>
      <c r="AK14" s="662"/>
      <c r="AL14" s="614" t="s">
        <v>659</v>
      </c>
      <c r="AM14" s="662"/>
      <c r="AN14" s="652"/>
      <c r="AO14" s="658"/>
    </row>
    <row r="15" spans="1:41" s="606" customFormat="1">
      <c r="A15" s="646">
        <v>1</v>
      </c>
      <c r="B15" s="664" t="s">
        <v>1090</v>
      </c>
      <c r="C15" s="665"/>
      <c r="D15" s="666"/>
      <c r="E15" s="667" t="s">
        <v>331</v>
      </c>
      <c r="F15" s="653">
        <f>SUM(F13:F14)</f>
        <v>0</v>
      </c>
      <c r="G15" s="653"/>
      <c r="H15" s="653">
        <f>SUM(H13:H14)</f>
        <v>0</v>
      </c>
      <c r="I15" s="653"/>
      <c r="J15" s="653">
        <f>SUM(J13:J14)</f>
        <v>0</v>
      </c>
      <c r="K15" s="653"/>
      <c r="L15" s="656"/>
      <c r="M15" s="656"/>
      <c r="N15" s="653"/>
      <c r="O15" s="668"/>
      <c r="P15" s="653"/>
      <c r="Q15" s="653">
        <f>SUM(Q13:Q14)</f>
        <v>0</v>
      </c>
      <c r="R15" s="653"/>
      <c r="S15" s="653">
        <f>SUM(S13:S14)</f>
        <v>0</v>
      </c>
      <c r="T15" s="653"/>
      <c r="U15" s="653">
        <f>SUM(U13:U14)</f>
        <v>0</v>
      </c>
      <c r="V15" s="653"/>
      <c r="W15" s="653">
        <f>SUM(W13:W14)</f>
        <v>0</v>
      </c>
      <c r="X15" s="653"/>
      <c r="Y15" s="653">
        <f>SUM(Y13:Y14)</f>
        <v>0</v>
      </c>
      <c r="Z15" s="653"/>
      <c r="AA15" s="653">
        <f>SUM(AA13:AA14)</f>
        <v>0</v>
      </c>
      <c r="AB15" s="653"/>
      <c r="AC15" s="653">
        <f>SUM(AC13:AC14)</f>
        <v>0</v>
      </c>
      <c r="AD15" s="653"/>
      <c r="AE15" s="653">
        <f>SUM(AE13:AE14)</f>
        <v>0</v>
      </c>
      <c r="AF15" s="653"/>
      <c r="AG15" s="653">
        <f>SUM(AG13:AG14)</f>
        <v>0</v>
      </c>
      <c r="AH15" s="653"/>
      <c r="AI15" s="653">
        <f>SUM(AI13:AI14)</f>
        <v>0</v>
      </c>
      <c r="AJ15" s="653"/>
      <c r="AK15" s="653">
        <f>SUM(AK13:AK14)</f>
        <v>0</v>
      </c>
      <c r="AL15" s="653"/>
      <c r="AM15" s="653">
        <f>SUM(AM13:AM14)</f>
        <v>0</v>
      </c>
      <c r="AN15" s="653"/>
      <c r="AO15" s="610"/>
    </row>
    <row r="16" spans="1:41" s="606" customFormat="1">
      <c r="A16" s="646"/>
      <c r="B16" s="664"/>
      <c r="C16" s="664"/>
      <c r="D16" s="666"/>
      <c r="E16" s="669"/>
      <c r="F16" s="653"/>
      <c r="G16" s="653"/>
      <c r="H16" s="653"/>
      <c r="I16" s="653"/>
      <c r="J16" s="653"/>
      <c r="K16" s="653"/>
      <c r="L16" s="656"/>
      <c r="M16" s="656"/>
      <c r="N16" s="653"/>
      <c r="O16" s="656"/>
      <c r="P16" s="653"/>
      <c r="Q16" s="670"/>
      <c r="R16" s="610"/>
      <c r="S16" s="670"/>
      <c r="T16" s="610"/>
      <c r="U16" s="610"/>
      <c r="V16" s="610"/>
      <c r="W16" s="610"/>
      <c r="X16" s="610"/>
      <c r="Y16" s="610"/>
      <c r="Z16" s="610"/>
      <c r="AA16" s="610"/>
      <c r="AB16" s="610"/>
      <c r="AC16" s="610"/>
      <c r="AD16" s="610"/>
      <c r="AE16" s="610"/>
      <c r="AF16" s="610"/>
      <c r="AG16" s="610"/>
      <c r="AH16" s="610"/>
      <c r="AI16" s="610"/>
      <c r="AJ16" s="610"/>
      <c r="AK16" s="610"/>
      <c r="AL16" s="610"/>
      <c r="AM16" s="610"/>
      <c r="AN16" s="610"/>
      <c r="AO16" s="610"/>
    </row>
    <row r="17" spans="1:42" s="606" customFormat="1">
      <c r="A17" s="646"/>
      <c r="B17" s="671" t="s">
        <v>1091</v>
      </c>
      <c r="C17" s="664"/>
      <c r="D17" s="666"/>
      <c r="E17" s="669"/>
      <c r="F17" s="653"/>
      <c r="G17" s="653"/>
      <c r="H17" s="653"/>
      <c r="I17" s="653"/>
      <c r="J17" s="653"/>
      <c r="K17" s="653"/>
      <c r="L17" s="656"/>
      <c r="M17" s="656"/>
      <c r="N17" s="653"/>
      <c r="O17" s="656"/>
      <c r="P17" s="653"/>
      <c r="Q17" s="670"/>
      <c r="R17" s="610"/>
      <c r="S17" s="670"/>
      <c r="T17" s="610"/>
      <c r="U17" s="610"/>
      <c r="V17" s="610"/>
      <c r="W17" s="610"/>
      <c r="X17" s="610"/>
      <c r="Y17" s="610"/>
      <c r="Z17" s="610"/>
      <c r="AA17" s="610"/>
      <c r="AB17" s="610"/>
      <c r="AC17" s="610"/>
      <c r="AD17" s="610"/>
      <c r="AE17" s="610"/>
      <c r="AF17" s="610"/>
      <c r="AG17" s="610"/>
      <c r="AH17" s="610"/>
      <c r="AI17" s="610"/>
      <c r="AJ17" s="610"/>
      <c r="AK17" s="610"/>
      <c r="AL17" s="610"/>
      <c r="AM17" s="610"/>
      <c r="AN17" s="610"/>
      <c r="AO17" s="610"/>
    </row>
    <row r="18" spans="1:42" s="606" customFormat="1" ht="15">
      <c r="A18" s="646" t="s">
        <v>618</v>
      </c>
      <c r="B18" s="647" t="str">
        <f>'8h - ADIT Remeasurement'!B17</f>
        <v>(2018 Illustrative Remeasurement) Electric</v>
      </c>
      <c r="C18" s="648"/>
      <c r="D18" s="649">
        <v>254</v>
      </c>
      <c r="E18" s="650"/>
      <c r="F18" s="651">
        <f>'8h - ADIT Remeasurement'!J17</f>
        <v>0</v>
      </c>
      <c r="G18" s="652"/>
      <c r="H18" s="651">
        <f>'8h - ADIT Remeasurement'!K17</f>
        <v>0</v>
      </c>
      <c r="I18" s="652"/>
      <c r="J18" s="652">
        <f>F18+H18</f>
        <v>0</v>
      </c>
      <c r="K18" s="653"/>
      <c r="L18" s="654"/>
      <c r="M18" s="672"/>
      <c r="N18" s="656"/>
      <c r="O18" s="657"/>
      <c r="P18" s="653"/>
      <c r="Q18" s="651">
        <f t="shared" ref="Q18:Q19" si="0">IFERROR(F18/L18,0)</f>
        <v>0</v>
      </c>
      <c r="R18" s="651"/>
      <c r="S18" s="651">
        <f t="shared" ref="S18:S19" si="1">IFERROR(H18/M18,0)</f>
        <v>0</v>
      </c>
      <c r="T18" s="652"/>
      <c r="U18" s="652">
        <f>Q18+S18</f>
        <v>0</v>
      </c>
      <c r="V18" s="652"/>
      <c r="W18" s="658"/>
      <c r="X18" s="614" t="s">
        <v>657</v>
      </c>
      <c r="Y18" s="658">
        <v>0</v>
      </c>
      <c r="Z18" s="614" t="s">
        <v>657</v>
      </c>
      <c r="AA18" s="652">
        <f>W18+Y18</f>
        <v>0</v>
      </c>
      <c r="AB18" s="652"/>
      <c r="AC18" s="652">
        <f>-Q18</f>
        <v>0</v>
      </c>
      <c r="AD18" s="652"/>
      <c r="AE18" s="652">
        <f>-S18</f>
        <v>0</v>
      </c>
      <c r="AF18" s="652"/>
      <c r="AG18" s="652">
        <f>AC18+AE18</f>
        <v>0</v>
      </c>
      <c r="AH18" s="652"/>
      <c r="AI18" s="652">
        <f>W18+AC18</f>
        <v>0</v>
      </c>
      <c r="AJ18" s="614" t="s">
        <v>660</v>
      </c>
      <c r="AK18" s="652">
        <f>Y18+AE18</f>
        <v>0</v>
      </c>
      <c r="AL18" s="614" t="s">
        <v>660</v>
      </c>
      <c r="AM18" s="652">
        <f>AI18+AK18</f>
        <v>0</v>
      </c>
      <c r="AN18" s="652"/>
      <c r="AO18" s="659" t="s">
        <v>1087</v>
      </c>
    </row>
    <row r="19" spans="1:42" s="606" customFormat="1">
      <c r="A19" s="646" t="s">
        <v>1093</v>
      </c>
      <c r="B19" s="673"/>
      <c r="C19" s="664"/>
      <c r="D19" s="661"/>
      <c r="E19" s="661" t="s">
        <v>1089</v>
      </c>
      <c r="F19" s="674"/>
      <c r="G19" s="653"/>
      <c r="H19" s="674"/>
      <c r="I19" s="653"/>
      <c r="J19" s="674"/>
      <c r="K19" s="653"/>
      <c r="L19" s="654"/>
      <c r="M19" s="654"/>
      <c r="N19" s="653"/>
      <c r="O19" s="654"/>
      <c r="P19" s="653"/>
      <c r="Q19" s="675">
        <f t="shared" si="0"/>
        <v>0</v>
      </c>
      <c r="R19" s="610"/>
      <c r="S19" s="675">
        <f t="shared" si="1"/>
        <v>0</v>
      </c>
      <c r="T19" s="610"/>
      <c r="U19" s="676"/>
      <c r="V19" s="610"/>
      <c r="W19" s="676"/>
      <c r="X19" s="614" t="s">
        <v>657</v>
      </c>
      <c r="Y19" s="676"/>
      <c r="Z19" s="614" t="s">
        <v>657</v>
      </c>
      <c r="AA19" s="676"/>
      <c r="AB19" s="610"/>
      <c r="AC19" s="676"/>
      <c r="AD19" s="610"/>
      <c r="AE19" s="676"/>
      <c r="AF19" s="610"/>
      <c r="AG19" s="676"/>
      <c r="AH19" s="610"/>
      <c r="AI19" s="676"/>
      <c r="AJ19" s="614" t="s">
        <v>660</v>
      </c>
      <c r="AK19" s="676"/>
      <c r="AL19" s="614" t="s">
        <v>660</v>
      </c>
      <c r="AM19" s="676"/>
      <c r="AN19" s="610"/>
      <c r="AO19" s="659"/>
    </row>
    <row r="20" spans="1:42" s="606" customFormat="1">
      <c r="A20" s="646">
        <v>2</v>
      </c>
      <c r="B20" s="664" t="s">
        <v>1094</v>
      </c>
      <c r="C20" s="664"/>
      <c r="D20" s="666"/>
      <c r="E20" s="667" t="s">
        <v>331</v>
      </c>
      <c r="F20" s="653">
        <f>SUM(F18:F19)</f>
        <v>0</v>
      </c>
      <c r="G20" s="653"/>
      <c r="H20" s="653">
        <f>SUM(H18:H19)</f>
        <v>0</v>
      </c>
      <c r="I20" s="653"/>
      <c r="J20" s="653">
        <f>SUM(J18:J19)</f>
        <v>0</v>
      </c>
      <c r="K20" s="653"/>
      <c r="L20" s="656"/>
      <c r="M20" s="656"/>
      <c r="N20" s="653"/>
      <c r="O20" s="656"/>
      <c r="P20" s="653"/>
      <c r="Q20" s="653">
        <f>SUM(Q18:Q19)</f>
        <v>0</v>
      </c>
      <c r="R20" s="610"/>
      <c r="S20" s="653">
        <f>SUM(S18:S19)</f>
        <v>0</v>
      </c>
      <c r="T20" s="610"/>
      <c r="U20" s="653">
        <f>SUM(U18:U19)</f>
        <v>0</v>
      </c>
      <c r="V20" s="610"/>
      <c r="W20" s="653">
        <f>SUM(W18:W19)</f>
        <v>0</v>
      </c>
      <c r="X20" s="610"/>
      <c r="Y20" s="653">
        <f>SUM(Y18:Y19)</f>
        <v>0</v>
      </c>
      <c r="Z20" s="610"/>
      <c r="AA20" s="653">
        <f>SUM(AA18:AA19)</f>
        <v>0</v>
      </c>
      <c r="AB20" s="610"/>
      <c r="AC20" s="653">
        <f>SUM(AC18:AC19)</f>
        <v>0</v>
      </c>
      <c r="AD20" s="610"/>
      <c r="AE20" s="653">
        <f>SUM(AE18:AE19)</f>
        <v>0</v>
      </c>
      <c r="AF20" s="610"/>
      <c r="AG20" s="653">
        <f>SUM(AG18:AG19)</f>
        <v>0</v>
      </c>
      <c r="AH20" s="610"/>
      <c r="AI20" s="653">
        <f>SUM(AI18:AI19)</f>
        <v>0</v>
      </c>
      <c r="AJ20" s="610"/>
      <c r="AK20" s="653">
        <f>SUM(AK18:AK19)</f>
        <v>0</v>
      </c>
      <c r="AL20" s="610"/>
      <c r="AM20" s="653">
        <f>SUM(AM18:AM19)</f>
        <v>0</v>
      </c>
      <c r="AN20" s="610"/>
      <c r="AO20" s="610"/>
    </row>
    <row r="21" spans="1:42" s="606" customFormat="1">
      <c r="A21" s="646"/>
      <c r="B21" s="664"/>
      <c r="C21" s="664"/>
      <c r="D21" s="666"/>
      <c r="E21" s="669"/>
      <c r="F21" s="653"/>
      <c r="G21" s="653"/>
      <c r="H21" s="653"/>
      <c r="I21" s="653"/>
      <c r="J21" s="653"/>
      <c r="K21" s="653"/>
      <c r="L21" s="656"/>
      <c r="M21" s="656"/>
      <c r="N21" s="653"/>
      <c r="O21" s="656"/>
      <c r="P21" s="653"/>
      <c r="Q21" s="670"/>
      <c r="R21" s="610"/>
      <c r="S21" s="670"/>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row>
    <row r="22" spans="1:42" s="606" customFormat="1">
      <c r="A22" s="646"/>
      <c r="B22" s="643" t="s">
        <v>1095</v>
      </c>
      <c r="C22" s="644"/>
      <c r="D22" s="677"/>
      <c r="E22" s="611"/>
      <c r="F22" s="653"/>
      <c r="G22" s="653"/>
      <c r="H22" s="653"/>
      <c r="I22" s="653"/>
      <c r="J22" s="653"/>
      <c r="K22" s="653"/>
      <c r="L22" s="656"/>
      <c r="M22" s="656"/>
      <c r="N22" s="653"/>
      <c r="O22" s="656"/>
      <c r="P22" s="653"/>
      <c r="Q22" s="670"/>
      <c r="R22" s="610"/>
      <c r="S22" s="670"/>
      <c r="T22" s="610"/>
      <c r="U22" s="610"/>
      <c r="V22" s="610"/>
      <c r="W22" s="610"/>
      <c r="X22" s="610"/>
      <c r="Y22" s="610"/>
      <c r="Z22" s="610"/>
      <c r="AA22" s="610"/>
      <c r="AB22" s="610"/>
      <c r="AC22" s="610"/>
      <c r="AD22" s="610"/>
      <c r="AE22" s="610"/>
      <c r="AF22" s="610"/>
      <c r="AG22" s="610"/>
      <c r="AH22" s="610"/>
      <c r="AI22" s="610"/>
      <c r="AJ22" s="610"/>
      <c r="AK22" s="610"/>
      <c r="AL22" s="610"/>
      <c r="AM22" s="610"/>
      <c r="AN22" s="610"/>
      <c r="AO22" s="610"/>
    </row>
    <row r="23" spans="1:42" s="606" customFormat="1">
      <c r="A23" s="646" t="s">
        <v>428</v>
      </c>
      <c r="B23" s="673" t="str">
        <f>'8h - ADIT Remeasurement'!B22</f>
        <v>(2018 Illustrative Remeasurement) Prepaid Insurance</v>
      </c>
      <c r="C23" s="664"/>
      <c r="D23" s="649">
        <v>254</v>
      </c>
      <c r="E23" s="650"/>
      <c r="F23" s="651">
        <f>'8h - ADIT Remeasurement'!J22</f>
        <v>0</v>
      </c>
      <c r="G23" s="652"/>
      <c r="H23" s="651">
        <f>'8h - ADIT Remeasurement'!K22</f>
        <v>0</v>
      </c>
      <c r="I23" s="652"/>
      <c r="J23" s="652">
        <f>F23+H23</f>
        <v>0</v>
      </c>
      <c r="K23" s="653"/>
      <c r="L23" s="654"/>
      <c r="M23" s="678"/>
      <c r="N23" s="656"/>
      <c r="O23" s="657"/>
      <c r="P23" s="653"/>
      <c r="Q23" s="651">
        <f t="shared" ref="Q23:Q24" si="2">IFERROR(F23/L23,0)</f>
        <v>0</v>
      </c>
      <c r="R23" s="651"/>
      <c r="S23" s="651">
        <f t="shared" ref="S23:S24" si="3">IFERROR(H23/M23,0)</f>
        <v>0</v>
      </c>
      <c r="T23" s="652"/>
      <c r="U23" s="652">
        <f>Q23+S23</f>
        <v>0</v>
      </c>
      <c r="V23" s="652"/>
      <c r="W23" s="658">
        <v>0</v>
      </c>
      <c r="X23" s="652" t="s">
        <v>658</v>
      </c>
      <c r="Y23" s="658"/>
      <c r="Z23" s="652" t="s">
        <v>658</v>
      </c>
      <c r="AA23" s="652">
        <f>W23+Y23</f>
        <v>0</v>
      </c>
      <c r="AB23" s="652"/>
      <c r="AC23" s="652">
        <f>-Q23</f>
        <v>0</v>
      </c>
      <c r="AD23" s="652"/>
      <c r="AE23" s="652">
        <f>-S23</f>
        <v>0</v>
      </c>
      <c r="AF23" s="652"/>
      <c r="AG23" s="652">
        <f>AC23+AE23</f>
        <v>0</v>
      </c>
      <c r="AH23" s="652"/>
      <c r="AI23" s="652">
        <f>W23+AC23</f>
        <v>0</v>
      </c>
      <c r="AJ23" s="614" t="s">
        <v>661</v>
      </c>
      <c r="AK23" s="652">
        <f>Y23+AE23</f>
        <v>0</v>
      </c>
      <c r="AL23" s="614" t="s">
        <v>661</v>
      </c>
      <c r="AM23" s="652">
        <f>AI23+AK23</f>
        <v>0</v>
      </c>
      <c r="AN23" s="652"/>
      <c r="AO23" s="659" t="s">
        <v>1087</v>
      </c>
    </row>
    <row r="24" spans="1:42" s="606" customFormat="1">
      <c r="A24" s="646" t="s">
        <v>1096</v>
      </c>
      <c r="B24" s="658"/>
      <c r="C24" s="652"/>
      <c r="D24" s="663"/>
      <c r="E24" s="661" t="s">
        <v>1089</v>
      </c>
      <c r="F24" s="662"/>
      <c r="G24" s="652"/>
      <c r="H24" s="662"/>
      <c r="I24" s="652"/>
      <c r="J24" s="662">
        <f>F24+H24</f>
        <v>0</v>
      </c>
      <c r="K24" s="652"/>
      <c r="L24" s="663"/>
      <c r="M24" s="663"/>
      <c r="N24" s="614"/>
      <c r="O24" s="663"/>
      <c r="P24" s="652"/>
      <c r="Q24" s="662">
        <f t="shared" si="2"/>
        <v>0</v>
      </c>
      <c r="R24" s="652"/>
      <c r="S24" s="662">
        <f t="shared" si="3"/>
        <v>0</v>
      </c>
      <c r="T24" s="652"/>
      <c r="U24" s="662">
        <f>Q24+S24</f>
        <v>0</v>
      </c>
      <c r="V24" s="652"/>
      <c r="W24" s="662"/>
      <c r="X24" s="652" t="s">
        <v>658</v>
      </c>
      <c r="Y24" s="662"/>
      <c r="Z24" s="652" t="s">
        <v>658</v>
      </c>
      <c r="AA24" s="662"/>
      <c r="AB24" s="652"/>
      <c r="AC24" s="662"/>
      <c r="AD24" s="652"/>
      <c r="AE24" s="662"/>
      <c r="AF24" s="652"/>
      <c r="AG24" s="662"/>
      <c r="AH24" s="652"/>
      <c r="AI24" s="662"/>
      <c r="AJ24" s="614" t="s">
        <v>661</v>
      </c>
      <c r="AK24" s="662"/>
      <c r="AL24" s="614" t="s">
        <v>661</v>
      </c>
      <c r="AM24" s="662"/>
      <c r="AN24" s="658"/>
      <c r="AO24" s="658"/>
    </row>
    <row r="25" spans="1:42" s="606" customFormat="1">
      <c r="A25" s="646">
        <v>3</v>
      </c>
      <c r="B25" s="664" t="s">
        <v>1097</v>
      </c>
      <c r="C25" s="665"/>
      <c r="D25" s="679"/>
      <c r="E25" s="667" t="s">
        <v>331</v>
      </c>
      <c r="F25" s="653">
        <f>SUM(F23:F24)</f>
        <v>0</v>
      </c>
      <c r="G25" s="680"/>
      <c r="H25" s="653">
        <f>SUM(H23:H24)</f>
        <v>0</v>
      </c>
      <c r="I25" s="680"/>
      <c r="J25" s="653">
        <f>SUM(J23:J24)</f>
        <v>0</v>
      </c>
      <c r="K25" s="653"/>
      <c r="L25" s="656"/>
      <c r="M25" s="656"/>
      <c r="N25" s="653"/>
      <c r="O25" s="668"/>
      <c r="P25" s="653"/>
      <c r="Q25" s="653">
        <f>SUM(Q23:Q24)</f>
        <v>0</v>
      </c>
      <c r="R25" s="680"/>
      <c r="S25" s="653">
        <f>SUM(S23:S24)</f>
        <v>0</v>
      </c>
      <c r="T25" s="680"/>
      <c r="U25" s="653">
        <f>SUM(U23:U24)</f>
        <v>0</v>
      </c>
      <c r="V25" s="680"/>
      <c r="W25" s="653">
        <f>SUM(W23:W24)</f>
        <v>0</v>
      </c>
      <c r="X25" s="680"/>
      <c r="Y25" s="653">
        <f>SUM(Y23:Y24)</f>
        <v>0</v>
      </c>
      <c r="Z25" s="680"/>
      <c r="AA25" s="653">
        <f>SUM(AA23:AA24)</f>
        <v>0</v>
      </c>
      <c r="AB25" s="680"/>
      <c r="AC25" s="653">
        <f>SUM(AC23:AC24)</f>
        <v>0</v>
      </c>
      <c r="AD25" s="680"/>
      <c r="AE25" s="653">
        <f>SUM(AE23:AE24)</f>
        <v>0</v>
      </c>
      <c r="AF25" s="680"/>
      <c r="AG25" s="653">
        <f>SUM(AG23:AG24)</f>
        <v>0</v>
      </c>
      <c r="AH25" s="680"/>
      <c r="AI25" s="653">
        <f>SUM(AI23:AI24)</f>
        <v>0</v>
      </c>
      <c r="AJ25" s="680"/>
      <c r="AK25" s="653">
        <f>SUM(AK23:AK24)</f>
        <v>0</v>
      </c>
      <c r="AL25" s="653"/>
      <c r="AM25" s="653">
        <f>SUM(AM23:AM24)</f>
        <v>0</v>
      </c>
      <c r="AN25" s="653"/>
      <c r="AO25" s="610"/>
    </row>
    <row r="26" spans="1:42" s="606" customFormat="1">
      <c r="A26" s="646"/>
      <c r="B26" s="664"/>
      <c r="C26" s="664"/>
      <c r="D26" s="669"/>
      <c r="E26" s="664"/>
      <c r="F26" s="653"/>
      <c r="G26" s="653"/>
      <c r="H26" s="653"/>
      <c r="I26" s="653"/>
      <c r="J26" s="653"/>
      <c r="K26" s="653"/>
      <c r="L26" s="656"/>
      <c r="M26" s="656"/>
      <c r="N26" s="653"/>
      <c r="O26" s="656"/>
      <c r="P26" s="653"/>
      <c r="Q26" s="670"/>
      <c r="R26" s="610"/>
      <c r="S26" s="670"/>
      <c r="T26" s="610"/>
      <c r="U26" s="670"/>
      <c r="V26" s="610"/>
      <c r="W26" s="653"/>
      <c r="X26" s="610"/>
      <c r="Y26" s="653"/>
      <c r="Z26" s="610"/>
      <c r="AA26" s="653"/>
      <c r="AB26" s="610"/>
      <c r="AC26" s="653"/>
      <c r="AD26" s="610"/>
      <c r="AE26" s="653"/>
      <c r="AF26" s="610"/>
      <c r="AG26" s="610"/>
      <c r="AH26" s="610"/>
      <c r="AI26" s="653"/>
      <c r="AJ26" s="610"/>
      <c r="AK26" s="653"/>
      <c r="AL26" s="653"/>
      <c r="AM26" s="653"/>
      <c r="AN26" s="653"/>
      <c r="AO26" s="610"/>
      <c r="AP26" s="681"/>
    </row>
    <row r="27" spans="1:42" s="606" customFormat="1" ht="15.75" thickBot="1">
      <c r="A27" s="646">
        <f>+A25+1</f>
        <v>4</v>
      </c>
      <c r="B27" s="682" t="s">
        <v>1098</v>
      </c>
      <c r="C27" s="682"/>
      <c r="D27" s="683"/>
      <c r="E27" s="682"/>
      <c r="F27" s="684">
        <f>F15+F20+F25</f>
        <v>0</v>
      </c>
      <c r="G27" s="652"/>
      <c r="H27" s="684">
        <f>H15+H20+H25</f>
        <v>0</v>
      </c>
      <c r="I27" s="652"/>
      <c r="J27" s="684">
        <f>J15+J20+J25</f>
        <v>0</v>
      </c>
      <c r="K27" s="685"/>
      <c r="L27" s="686"/>
      <c r="M27" s="686"/>
      <c r="N27" s="685"/>
      <c r="O27" s="668"/>
      <c r="P27" s="685"/>
      <c r="Q27" s="687">
        <f>Q15+Q20+Q25</f>
        <v>0</v>
      </c>
      <c r="R27" s="680"/>
      <c r="S27" s="687">
        <f>S15+S20+S25</f>
        <v>0</v>
      </c>
      <c r="T27" s="680"/>
      <c r="U27" s="687">
        <f>U15+U20+U25</f>
        <v>0</v>
      </c>
      <c r="V27" s="680"/>
      <c r="W27" s="687">
        <f>W15+W20+W25</f>
        <v>0</v>
      </c>
      <c r="X27" s="680"/>
      <c r="Y27" s="687">
        <f>Y15+Y20+Y25</f>
        <v>0</v>
      </c>
      <c r="Z27" s="680"/>
      <c r="AA27" s="687">
        <f>AA15+AA20+AA25</f>
        <v>0</v>
      </c>
      <c r="AB27" s="680"/>
      <c r="AC27" s="687">
        <f>AC15+AC20+AC25</f>
        <v>0</v>
      </c>
      <c r="AD27" s="680"/>
      <c r="AE27" s="687">
        <f>AE15+AE20+AE25</f>
        <v>0</v>
      </c>
      <c r="AF27" s="680"/>
      <c r="AG27" s="687">
        <f>AG15+AG20+AG25</f>
        <v>0</v>
      </c>
      <c r="AH27" s="680"/>
      <c r="AI27" s="687">
        <f>AI15+AI20+AI25</f>
        <v>0</v>
      </c>
      <c r="AJ27" s="680"/>
      <c r="AK27" s="687">
        <f>AK15+AK20+AK25</f>
        <v>0</v>
      </c>
      <c r="AL27" s="653"/>
      <c r="AM27" s="687">
        <f>AM15+AM20+AM25</f>
        <v>0</v>
      </c>
      <c r="AN27" s="653"/>
      <c r="AO27" s="610"/>
      <c r="AP27" s="681"/>
    </row>
    <row r="28" spans="1:42" s="606" customFormat="1" ht="13.5" thickTop="1">
      <c r="A28" s="646"/>
      <c r="B28" s="610"/>
      <c r="C28" s="610"/>
      <c r="D28" s="611"/>
      <c r="E28" s="610"/>
      <c r="F28" s="610"/>
      <c r="G28" s="610"/>
      <c r="H28" s="610"/>
      <c r="I28" s="610"/>
      <c r="J28" s="610"/>
      <c r="K28" s="610"/>
      <c r="L28" s="611"/>
      <c r="M28" s="611"/>
      <c r="N28" s="610"/>
      <c r="O28" s="611"/>
      <c r="P28" s="610"/>
      <c r="Q28" s="610"/>
      <c r="R28" s="610"/>
      <c r="S28" s="610"/>
      <c r="T28" s="610"/>
      <c r="U28" s="610"/>
      <c r="V28" s="610"/>
      <c r="W28" s="610"/>
      <c r="X28" s="610"/>
      <c r="Y28" s="610"/>
      <c r="Z28" s="610"/>
      <c r="AA28" s="610"/>
      <c r="AB28" s="610"/>
      <c r="AC28" s="610"/>
      <c r="AD28" s="610"/>
      <c r="AE28" s="610"/>
      <c r="AF28" s="610"/>
      <c r="AG28" s="610"/>
      <c r="AH28" s="610"/>
      <c r="AI28" s="610"/>
      <c r="AJ28" s="610"/>
      <c r="AK28" s="610"/>
      <c r="AL28" s="610"/>
      <c r="AM28" s="610"/>
      <c r="AN28" s="610"/>
      <c r="AO28" s="610"/>
    </row>
    <row r="29" spans="1:42" s="606" customFormat="1">
      <c r="A29" s="646"/>
      <c r="B29" s="610"/>
      <c r="C29" s="610"/>
      <c r="D29" s="611"/>
      <c r="E29" s="610"/>
      <c r="F29" s="610"/>
      <c r="G29" s="610"/>
      <c r="I29" s="610"/>
      <c r="J29" s="610"/>
      <c r="K29" s="610"/>
      <c r="L29" s="611"/>
      <c r="M29" s="611"/>
      <c r="N29" s="610"/>
      <c r="O29" s="611"/>
      <c r="P29" s="610"/>
      <c r="Q29" s="610"/>
      <c r="R29" s="610"/>
      <c r="S29" s="610"/>
      <c r="T29" s="610"/>
      <c r="U29" s="610"/>
      <c r="V29" s="610"/>
      <c r="W29" s="610"/>
      <c r="X29" s="610"/>
      <c r="Y29" s="610"/>
      <c r="Z29" s="610"/>
      <c r="AA29" s="610"/>
      <c r="AB29" s="610"/>
      <c r="AC29" s="610"/>
      <c r="AD29" s="610"/>
      <c r="AE29" s="610"/>
      <c r="AF29" s="610"/>
      <c r="AG29" s="610"/>
      <c r="AH29" s="610"/>
      <c r="AI29" s="610"/>
      <c r="AJ29" s="610"/>
      <c r="AK29" s="610"/>
      <c r="AL29" s="610"/>
      <c r="AM29" s="610"/>
      <c r="AN29" s="610"/>
      <c r="AO29" s="610"/>
    </row>
    <row r="30" spans="1:42" s="606" customFormat="1">
      <c r="A30" s="646"/>
      <c r="B30" s="688" t="s">
        <v>1099</v>
      </c>
      <c r="C30" s="610"/>
      <c r="D30" s="611"/>
      <c r="E30" s="610"/>
      <c r="F30" s="610"/>
      <c r="G30" s="610"/>
      <c r="H30" s="610"/>
      <c r="I30" s="610"/>
      <c r="J30" s="610"/>
      <c r="K30" s="610"/>
      <c r="L30" s="611"/>
      <c r="M30" s="611"/>
      <c r="N30" s="610"/>
      <c r="P30" s="610"/>
      <c r="Q30" s="610"/>
      <c r="R30" s="610"/>
      <c r="S30" s="610"/>
      <c r="T30" s="610"/>
      <c r="U30" s="610"/>
      <c r="V30" s="610"/>
      <c r="AL30" s="689"/>
      <c r="AM30" s="689"/>
      <c r="AN30" s="689"/>
      <c r="AO30" s="610"/>
    </row>
    <row r="31" spans="1:42" s="606" customFormat="1" ht="15.75">
      <c r="A31" s="646">
        <f>A27+1</f>
        <v>5</v>
      </c>
      <c r="B31" s="610" t="s">
        <v>1100</v>
      </c>
      <c r="C31" s="610"/>
      <c r="D31" s="615">
        <v>182.3</v>
      </c>
      <c r="E31" s="610"/>
      <c r="F31" s="690">
        <f>SUMIF($D$13:$D$24,$D31,F$13:F$24)</f>
        <v>0</v>
      </c>
      <c r="G31" s="690"/>
      <c r="H31" s="690">
        <f>SUMIF($D$13:$D$24,$D31,H$13:H$24)</f>
        <v>0</v>
      </c>
      <c r="I31" s="610"/>
      <c r="J31" s="670">
        <f>F31+H31</f>
        <v>0</v>
      </c>
      <c r="K31" s="691"/>
      <c r="L31" s="611"/>
      <c r="M31" s="611"/>
      <c r="N31" s="610"/>
      <c r="O31" s="692" t="s">
        <v>1086</v>
      </c>
      <c r="P31" s="610"/>
      <c r="Q31" s="690">
        <f>SUMIF($O$13:$O$24,$O31,Q$13:Q$24)</f>
        <v>0</v>
      </c>
      <c r="R31" s="610"/>
      <c r="S31" s="690">
        <f>SUMIF($O$13:$O$24,$O31,S$13:S$24)</f>
        <v>0</v>
      </c>
      <c r="T31" s="610"/>
      <c r="U31" s="670">
        <f>Q31+S31</f>
        <v>0</v>
      </c>
      <c r="V31" s="653"/>
      <c r="W31" s="690">
        <f>SUMIF($O$13:$O$24,$O31,W$13:W$24)</f>
        <v>0</v>
      </c>
      <c r="X31" s="610"/>
      <c r="Y31" s="690">
        <f>SUMIF($O$13:$O$24,$O31,Y$13:Y$24)</f>
        <v>0</v>
      </c>
      <c r="Z31" s="610"/>
      <c r="AA31" s="670">
        <f>W31+Y31</f>
        <v>0</v>
      </c>
      <c r="AC31" s="690">
        <f>SUMIF($O$13:$O$24,$O31,AC$13:AC$24)</f>
        <v>0</v>
      </c>
      <c r="AD31" s="610"/>
      <c r="AE31" s="690">
        <f>SUMIF($O$13:$O$24,$O31,AE$13:AE$24)</f>
        <v>0</v>
      </c>
      <c r="AF31" s="610"/>
      <c r="AG31" s="670">
        <f>AC31+AE31</f>
        <v>0</v>
      </c>
      <c r="AI31" s="690">
        <f>SUMIF($O$13:$O$24,$O31,AI$13:AI$24)</f>
        <v>0</v>
      </c>
      <c r="AJ31" s="610"/>
      <c r="AK31" s="690">
        <f>SUMIF($O$13:$O$24,$O31,AK$13:AK$24)</f>
        <v>0</v>
      </c>
      <c r="AL31" s="610"/>
      <c r="AM31" s="670">
        <f>AI31+AK31</f>
        <v>0</v>
      </c>
      <c r="AN31" s="652"/>
      <c r="AO31" s="610"/>
    </row>
    <row r="32" spans="1:42" s="606" customFormat="1" ht="15.75">
      <c r="A32" s="646">
        <f>A31+1</f>
        <v>6</v>
      </c>
      <c r="B32" s="610" t="s">
        <v>1100</v>
      </c>
      <c r="C32" s="610"/>
      <c r="D32" s="615">
        <v>254</v>
      </c>
      <c r="E32" s="693"/>
      <c r="F32" s="690">
        <f>SUMIF($D$13:$D$24,$D32,F$13:F$24)</f>
        <v>0</v>
      </c>
      <c r="G32" s="690"/>
      <c r="H32" s="690">
        <f>SUMIF($D$13:$D$24,$D32,H$13:H$24)</f>
        <v>0</v>
      </c>
      <c r="I32" s="610"/>
      <c r="J32" s="670">
        <f>F32+H32</f>
        <v>0</v>
      </c>
      <c r="K32" s="691"/>
      <c r="L32" s="611"/>
      <c r="M32" s="611"/>
      <c r="N32" s="610"/>
      <c r="O32" s="692" t="s">
        <v>1092</v>
      </c>
      <c r="P32" s="610"/>
      <c r="Q32" s="690">
        <f>SUMIF($O$13:$O$24,$O32,Q$13:Q$24)</f>
        <v>0</v>
      </c>
      <c r="R32" s="610"/>
      <c r="S32" s="690">
        <f>SUMIF($O$13:$O$24,$O32,S$13:S$24)</f>
        <v>0</v>
      </c>
      <c r="T32" s="610"/>
      <c r="U32" s="670">
        <f>Q32+S32</f>
        <v>0</v>
      </c>
      <c r="V32" s="653"/>
      <c r="W32" s="690">
        <f>SUMIF($O$13:$O$24,$O32,W$13:W$24)</f>
        <v>0</v>
      </c>
      <c r="X32" s="610"/>
      <c r="Y32" s="690">
        <f>SUMIF($O$13:$O$24,$O32,Y$13:Y$24)</f>
        <v>0</v>
      </c>
      <c r="Z32" s="610"/>
      <c r="AA32" s="670">
        <f>W32+Y32</f>
        <v>0</v>
      </c>
      <c r="AC32" s="690">
        <f>SUMIF($O$13:$O$24,$O32,AC$13:AC$24)</f>
        <v>0</v>
      </c>
      <c r="AD32" s="610"/>
      <c r="AE32" s="690">
        <f>SUMIF($O$13:$O$24,$O32,AE$13:AE$24)</f>
        <v>0</v>
      </c>
      <c r="AF32" s="610"/>
      <c r="AG32" s="670">
        <f>AC32+AE32</f>
        <v>0</v>
      </c>
      <c r="AI32" s="690">
        <f>SUMIF($O$13:$O$24,$O32,AI$13:AI$24)</f>
        <v>0</v>
      </c>
      <c r="AJ32" s="610"/>
      <c r="AK32" s="690">
        <f>SUMIF($O$13:$O$24,$O32,AK$13:AK$24)</f>
        <v>0</v>
      </c>
      <c r="AL32" s="610"/>
      <c r="AM32" s="670">
        <f>AI32+AK32</f>
        <v>0</v>
      </c>
      <c r="AN32" s="652"/>
      <c r="AO32" s="610"/>
    </row>
    <row r="33" spans="1:41" s="606" customFormat="1" ht="16.5" thickBot="1">
      <c r="A33" s="646">
        <f>A32+1</f>
        <v>7</v>
      </c>
      <c r="B33" s="610"/>
      <c r="C33" s="610"/>
      <c r="D33" s="611"/>
      <c r="E33" s="610"/>
      <c r="F33" s="694">
        <f>SUM(F31:F32)</f>
        <v>0</v>
      </c>
      <c r="G33" s="690"/>
      <c r="H33" s="694">
        <f>SUM(H31:H32)</f>
        <v>0</v>
      </c>
      <c r="I33" s="610"/>
      <c r="J33" s="694">
        <f>SUM(J31:J32)</f>
        <v>0</v>
      </c>
      <c r="K33" s="691"/>
      <c r="L33" s="611"/>
      <c r="M33" s="611"/>
      <c r="N33" s="610"/>
      <c r="O33" s="611"/>
      <c r="P33" s="610"/>
      <c r="Q33" s="694">
        <f>SUM(Q31:Q32)</f>
        <v>0</v>
      </c>
      <c r="R33" s="610"/>
      <c r="S33" s="694">
        <f>SUM(S31:S32)</f>
        <v>0</v>
      </c>
      <c r="T33" s="610"/>
      <c r="U33" s="694">
        <f>SUM(U31:U32)</f>
        <v>0</v>
      </c>
      <c r="V33" s="610"/>
      <c r="W33" s="694">
        <f>SUM(W31:W32)</f>
        <v>0</v>
      </c>
      <c r="X33" s="610"/>
      <c r="Y33" s="694">
        <f>SUM(Y31:Y32)</f>
        <v>0</v>
      </c>
      <c r="Z33" s="610"/>
      <c r="AA33" s="694">
        <f>SUM(AA31:AA32)</f>
        <v>0</v>
      </c>
      <c r="AC33" s="694">
        <f>SUM(AC31:AC32)</f>
        <v>0</v>
      </c>
      <c r="AD33" s="610"/>
      <c r="AE33" s="694">
        <f>SUM(AE31:AE32)</f>
        <v>0</v>
      </c>
      <c r="AF33" s="610"/>
      <c r="AG33" s="694">
        <f>SUM(AG31:AG32)</f>
        <v>0</v>
      </c>
      <c r="AI33" s="694">
        <f>SUM(AI31:AI32)</f>
        <v>0</v>
      </c>
      <c r="AJ33" s="610"/>
      <c r="AK33" s="694">
        <f>SUM(AK31:AK32)</f>
        <v>0</v>
      </c>
      <c r="AL33" s="610"/>
      <c r="AM33" s="694">
        <f>SUM(AM31:AM32)</f>
        <v>0</v>
      </c>
      <c r="AN33" s="680"/>
      <c r="AO33" s="610"/>
    </row>
    <row r="34" spans="1:41" s="606" customFormat="1" ht="13.5" thickTop="1">
      <c r="A34" s="610"/>
      <c r="B34" s="610"/>
      <c r="C34" s="610"/>
      <c r="D34" s="611"/>
      <c r="E34" s="610"/>
      <c r="F34" s="610"/>
      <c r="G34" s="610"/>
      <c r="H34" s="610"/>
      <c r="I34" s="610"/>
      <c r="J34" s="610"/>
      <c r="K34" s="610"/>
      <c r="L34" s="611"/>
      <c r="M34" s="611"/>
      <c r="N34" s="611"/>
      <c r="O34" s="611"/>
      <c r="P34" s="610"/>
      <c r="Q34" s="610"/>
      <c r="R34" s="610"/>
      <c r="S34" s="610"/>
      <c r="T34" s="610"/>
      <c r="U34" s="610"/>
      <c r="V34" s="610"/>
      <c r="W34" s="610"/>
      <c r="X34" s="610"/>
      <c r="Y34" s="610"/>
      <c r="Z34" s="610"/>
      <c r="AA34" s="610"/>
      <c r="AB34" s="610"/>
      <c r="AC34" s="610"/>
      <c r="AD34" s="610"/>
      <c r="AE34" s="610"/>
      <c r="AF34" s="610"/>
      <c r="AG34" s="610"/>
      <c r="AH34" s="610"/>
      <c r="AI34" s="610"/>
      <c r="AJ34" s="610"/>
      <c r="AK34" s="610"/>
      <c r="AL34" s="610"/>
      <c r="AM34" s="610"/>
      <c r="AN34" s="610"/>
      <c r="AO34" s="610"/>
    </row>
    <row r="35" spans="1:41" s="606" customFormat="1">
      <c r="A35" s="610"/>
      <c r="B35" s="610"/>
      <c r="C35" s="610"/>
      <c r="D35" s="611"/>
      <c r="E35" s="610"/>
      <c r="F35" s="610"/>
      <c r="G35" s="610"/>
      <c r="H35" s="610"/>
      <c r="I35" s="610"/>
      <c r="J35" s="610"/>
      <c r="K35" s="610"/>
      <c r="L35" s="611"/>
      <c r="M35" s="611"/>
      <c r="N35" s="611"/>
      <c r="O35" s="611"/>
      <c r="P35" s="610"/>
      <c r="Q35" s="610"/>
      <c r="R35" s="610"/>
      <c r="S35" s="653"/>
      <c r="T35" s="653"/>
      <c r="U35" s="653"/>
      <c r="V35" s="653"/>
      <c r="AL35" s="653"/>
      <c r="AM35" s="653"/>
      <c r="AN35" s="653"/>
      <c r="AO35" s="653"/>
    </row>
    <row r="36" spans="1:41" s="606" customFormat="1">
      <c r="A36" s="695" t="s">
        <v>1101</v>
      </c>
      <c r="B36" s="696"/>
      <c r="C36" s="696"/>
      <c r="D36" s="697"/>
      <c r="E36" s="696"/>
      <c r="F36" s="696"/>
      <c r="G36" s="696"/>
      <c r="H36" s="696"/>
      <c r="I36" s="696"/>
      <c r="J36" s="696"/>
      <c r="K36" s="610"/>
      <c r="L36" s="697"/>
      <c r="M36" s="611"/>
      <c r="N36" s="611"/>
      <c r="O36" s="611"/>
      <c r="P36" s="610"/>
      <c r="Q36" s="610"/>
      <c r="R36" s="610"/>
      <c r="S36" s="653"/>
      <c r="T36" s="653"/>
      <c r="U36" s="653"/>
      <c r="V36" s="653"/>
      <c r="W36" s="689"/>
      <c r="X36" s="689"/>
      <c r="Y36" s="689"/>
      <c r="Z36" s="610"/>
      <c r="AA36" s="610"/>
      <c r="AB36" s="610"/>
      <c r="AC36" s="689"/>
      <c r="AD36" s="689"/>
      <c r="AE36" s="689"/>
      <c r="AF36" s="610"/>
      <c r="AG36" s="610"/>
      <c r="AH36" s="610"/>
      <c r="AI36" s="869"/>
      <c r="AJ36" s="869"/>
      <c r="AK36" s="869"/>
      <c r="AL36" s="653"/>
      <c r="AM36" s="653"/>
      <c r="AN36" s="653"/>
      <c r="AO36" s="653"/>
    </row>
    <row r="37" spans="1:41" s="606" customFormat="1">
      <c r="A37" s="698" t="s">
        <v>329</v>
      </c>
      <c r="B37" s="699" t="s">
        <v>1102</v>
      </c>
      <c r="C37" s="700"/>
      <c r="D37" s="698"/>
      <c r="E37" s="700"/>
      <c r="F37" s="700"/>
      <c r="G37" s="700"/>
      <c r="H37" s="700"/>
      <c r="I37" s="700"/>
      <c r="J37" s="700"/>
      <c r="K37" s="699"/>
      <c r="L37" s="698"/>
      <c r="M37" s="701"/>
      <c r="N37" s="701"/>
      <c r="O37" s="701"/>
      <c r="P37" s="699"/>
      <c r="Q37" s="699"/>
      <c r="R37" s="699"/>
      <c r="S37" s="702"/>
      <c r="T37" s="653"/>
      <c r="U37" s="653"/>
      <c r="V37" s="653"/>
      <c r="W37" s="653"/>
      <c r="X37" s="610"/>
      <c r="Y37" s="652"/>
      <c r="Z37" s="612"/>
      <c r="AA37" s="612"/>
      <c r="AB37" s="612"/>
      <c r="AC37" s="653"/>
      <c r="AD37" s="610"/>
      <c r="AE37" s="652"/>
      <c r="AF37" s="610"/>
      <c r="AG37" s="610"/>
      <c r="AH37" s="610"/>
      <c r="AI37" s="653"/>
      <c r="AJ37" s="610"/>
      <c r="AK37" s="652"/>
      <c r="AL37" s="653"/>
      <c r="AM37" s="653"/>
      <c r="AN37" s="653"/>
      <c r="AO37" s="653"/>
    </row>
    <row r="38" spans="1:41" s="606" customFormat="1">
      <c r="A38" s="698" t="s">
        <v>330</v>
      </c>
      <c r="B38" s="703" t="s">
        <v>1103</v>
      </c>
      <c r="C38" s="704"/>
      <c r="D38" s="705"/>
      <c r="E38" s="706"/>
      <c r="F38" s="706"/>
      <c r="G38" s="706"/>
      <c r="H38" s="706"/>
      <c r="I38" s="706"/>
      <c r="J38" s="706"/>
      <c r="K38" s="699"/>
      <c r="L38" s="707"/>
      <c r="M38" s="701"/>
      <c r="N38" s="701"/>
      <c r="O38" s="701"/>
      <c r="P38" s="699"/>
      <c r="Q38" s="699"/>
      <c r="R38" s="699"/>
      <c r="S38" s="702"/>
      <c r="T38" s="653"/>
      <c r="U38" s="653"/>
      <c r="V38" s="653"/>
      <c r="W38" s="653"/>
      <c r="X38" s="610"/>
      <c r="Y38" s="652"/>
      <c r="Z38" s="612"/>
      <c r="AA38" s="612"/>
      <c r="AB38" s="612"/>
      <c r="AC38" s="653"/>
      <c r="AD38" s="610"/>
      <c r="AE38" s="652"/>
      <c r="AF38" s="610"/>
      <c r="AG38" s="610"/>
      <c r="AH38" s="610"/>
      <c r="AI38" s="653"/>
      <c r="AJ38" s="610"/>
      <c r="AK38" s="652"/>
      <c r="AL38" s="653"/>
      <c r="AM38" s="653"/>
      <c r="AN38" s="653"/>
      <c r="AO38" s="653"/>
    </row>
    <row r="39" spans="1:41" s="606" customFormat="1">
      <c r="A39" s="698" t="s">
        <v>331</v>
      </c>
      <c r="B39" s="703" t="s">
        <v>1104</v>
      </c>
      <c r="C39" s="703"/>
      <c r="D39" s="708"/>
      <c r="E39" s="706"/>
      <c r="F39" s="706"/>
      <c r="G39" s="706"/>
      <c r="H39" s="706"/>
      <c r="I39" s="706"/>
      <c r="J39" s="706"/>
      <c r="K39" s="699"/>
      <c r="L39" s="707"/>
      <c r="M39" s="701"/>
      <c r="N39" s="701"/>
      <c r="O39" s="701"/>
      <c r="P39" s="699"/>
      <c r="Q39" s="699"/>
      <c r="R39" s="699"/>
      <c r="S39" s="702"/>
      <c r="T39" s="653"/>
      <c r="U39" s="653"/>
      <c r="V39" s="653"/>
      <c r="W39" s="680"/>
      <c r="X39" s="610"/>
      <c r="Y39" s="680"/>
      <c r="Z39" s="612"/>
      <c r="AA39" s="612"/>
      <c r="AB39" s="612"/>
      <c r="AC39" s="680"/>
      <c r="AD39" s="610"/>
      <c r="AE39" s="680"/>
      <c r="AF39" s="610"/>
      <c r="AG39" s="610"/>
      <c r="AH39" s="610"/>
      <c r="AI39" s="680"/>
      <c r="AJ39" s="610"/>
      <c r="AK39" s="680"/>
      <c r="AL39" s="653"/>
      <c r="AM39" s="653"/>
      <c r="AN39" s="653"/>
      <c r="AO39" s="653"/>
    </row>
    <row r="40" spans="1:41" s="606" customFormat="1">
      <c r="A40" s="698" t="s">
        <v>332</v>
      </c>
      <c r="B40" s="700" t="s">
        <v>1105</v>
      </c>
      <c r="C40" s="699"/>
      <c r="D40" s="701"/>
      <c r="E40" s="699"/>
      <c r="F40" s="699"/>
      <c r="G40" s="699"/>
      <c r="H40" s="699"/>
      <c r="I40" s="699"/>
      <c r="J40" s="699"/>
      <c r="K40" s="699"/>
      <c r="L40" s="701"/>
      <c r="M40" s="701"/>
      <c r="N40" s="701"/>
      <c r="O40" s="701"/>
      <c r="P40" s="699"/>
      <c r="Q40" s="699"/>
      <c r="R40" s="699"/>
      <c r="S40" s="702"/>
      <c r="T40" s="653"/>
      <c r="U40" s="653"/>
      <c r="V40" s="653"/>
      <c r="W40" s="653"/>
      <c r="X40" s="653"/>
      <c r="Y40" s="653"/>
      <c r="Z40" s="653"/>
      <c r="AA40" s="653"/>
      <c r="AB40" s="653"/>
      <c r="AC40" s="653"/>
      <c r="AD40" s="653"/>
      <c r="AE40" s="653"/>
      <c r="AF40" s="653"/>
      <c r="AG40" s="653"/>
      <c r="AH40" s="653"/>
      <c r="AI40" s="653"/>
      <c r="AJ40" s="653"/>
      <c r="AK40" s="653"/>
      <c r="AL40" s="653"/>
      <c r="AM40" s="653"/>
      <c r="AN40" s="653"/>
      <c r="AO40" s="653"/>
    </row>
    <row r="41" spans="1:41" s="606" customFormat="1">
      <c r="A41" s="698" t="s">
        <v>653</v>
      </c>
      <c r="B41" s="704" t="s">
        <v>1106</v>
      </c>
      <c r="C41" s="699"/>
      <c r="D41" s="701"/>
      <c r="E41" s="699"/>
      <c r="F41" s="699"/>
      <c r="G41" s="699"/>
      <c r="H41" s="699"/>
      <c r="I41" s="699"/>
      <c r="J41" s="699"/>
      <c r="K41" s="699"/>
      <c r="L41" s="701"/>
      <c r="M41" s="701"/>
      <c r="N41" s="701"/>
      <c r="O41" s="701"/>
      <c r="P41" s="699"/>
      <c r="Q41" s="699"/>
      <c r="R41" s="699"/>
      <c r="S41" s="702"/>
      <c r="T41" s="653"/>
      <c r="U41" s="653"/>
      <c r="V41" s="653"/>
      <c r="W41" s="653"/>
      <c r="X41" s="653"/>
      <c r="Y41" s="653"/>
      <c r="Z41" s="653"/>
      <c r="AA41" s="653"/>
      <c r="AB41" s="653"/>
      <c r="AC41" s="653"/>
      <c r="AD41" s="653"/>
      <c r="AE41" s="653"/>
      <c r="AF41" s="653"/>
      <c r="AG41" s="653"/>
      <c r="AH41" s="653"/>
      <c r="AI41" s="653"/>
      <c r="AJ41" s="653"/>
      <c r="AK41" s="653"/>
      <c r="AL41" s="653"/>
      <c r="AM41" s="653"/>
      <c r="AN41" s="653"/>
      <c r="AO41" s="653"/>
    </row>
    <row r="42" spans="1:41" s="606" customFormat="1">
      <c r="A42" s="709" t="s">
        <v>654</v>
      </c>
      <c r="B42" s="699" t="s">
        <v>1107</v>
      </c>
      <c r="C42" s="699"/>
      <c r="D42" s="701"/>
      <c r="E42" s="699"/>
      <c r="F42" s="699"/>
      <c r="G42" s="699"/>
      <c r="H42" s="699"/>
      <c r="I42" s="699"/>
      <c r="J42" s="699"/>
      <c r="K42" s="699"/>
      <c r="L42" s="701"/>
      <c r="M42" s="701"/>
      <c r="N42" s="701"/>
      <c r="O42" s="701"/>
      <c r="P42" s="699"/>
      <c r="Q42" s="699"/>
      <c r="R42" s="699"/>
      <c r="S42" s="702"/>
      <c r="T42" s="653"/>
      <c r="U42" s="653"/>
      <c r="V42" s="653"/>
      <c r="W42" s="653"/>
      <c r="X42" s="653"/>
      <c r="Y42" s="653"/>
      <c r="Z42" s="653"/>
      <c r="AA42" s="653"/>
      <c r="AB42" s="653"/>
      <c r="AC42" s="653"/>
      <c r="AD42" s="653"/>
      <c r="AE42" s="653"/>
      <c r="AF42" s="653"/>
      <c r="AG42" s="653"/>
      <c r="AH42" s="653"/>
      <c r="AI42" s="653"/>
      <c r="AJ42" s="653"/>
      <c r="AK42" s="653"/>
      <c r="AL42" s="653"/>
      <c r="AM42" s="653"/>
      <c r="AN42" s="653"/>
      <c r="AO42" s="653"/>
    </row>
    <row r="43" spans="1:41">
      <c r="A43" s="698" t="s">
        <v>655</v>
      </c>
      <c r="B43" s="704" t="s">
        <v>1108</v>
      </c>
      <c r="C43" s="699"/>
      <c r="D43" s="701"/>
      <c r="E43" s="699"/>
      <c r="F43" s="699"/>
      <c r="G43" s="699"/>
      <c r="H43" s="699"/>
      <c r="I43" s="699"/>
      <c r="Q43" s="712"/>
      <c r="R43" s="712"/>
      <c r="S43" s="712"/>
      <c r="T43" s="712"/>
      <c r="U43" s="712"/>
      <c r="V43" s="712"/>
      <c r="W43" s="712"/>
      <c r="X43" s="712"/>
      <c r="Y43" s="712"/>
      <c r="Z43" s="712"/>
      <c r="AA43" s="712"/>
      <c r="AB43" s="712"/>
      <c r="AC43" s="712"/>
      <c r="AD43" s="712"/>
      <c r="AE43" s="712"/>
      <c r="AF43" s="712"/>
      <c r="AG43" s="712"/>
      <c r="AH43" s="712"/>
      <c r="AI43" s="712"/>
      <c r="AJ43" s="712"/>
      <c r="AK43" s="712"/>
      <c r="AL43" s="712"/>
      <c r="AM43" s="712"/>
      <c r="AN43" s="712"/>
    </row>
    <row r="44" spans="1:41">
      <c r="A44" s="698" t="s">
        <v>656</v>
      </c>
      <c r="B44" s="704" t="s">
        <v>1109</v>
      </c>
      <c r="C44" s="698"/>
      <c r="D44" s="701"/>
      <c r="E44" s="699"/>
      <c r="F44" s="699"/>
      <c r="G44" s="699"/>
      <c r="H44" s="699"/>
      <c r="I44" s="699"/>
      <c r="Q44" s="712"/>
      <c r="R44" s="712"/>
      <c r="S44" s="712"/>
      <c r="T44" s="712"/>
      <c r="U44" s="712"/>
      <c r="V44" s="712"/>
      <c r="W44" s="712"/>
      <c r="X44" s="712"/>
      <c r="Y44" s="712"/>
      <c r="Z44" s="712"/>
      <c r="AA44" s="712"/>
      <c r="AB44" s="712"/>
      <c r="AC44" s="712"/>
      <c r="AD44" s="712"/>
      <c r="AE44" s="712"/>
      <c r="AF44" s="712"/>
      <c r="AG44" s="712"/>
      <c r="AH44" s="712"/>
      <c r="AI44" s="712"/>
      <c r="AJ44" s="712"/>
      <c r="AK44" s="712"/>
      <c r="AL44" s="712"/>
      <c r="AM44" s="712"/>
      <c r="AN44" s="712"/>
    </row>
    <row r="45" spans="1:41">
      <c r="A45" s="698" t="s">
        <v>657</v>
      </c>
      <c r="B45" s="704" t="s">
        <v>1110</v>
      </c>
      <c r="C45" s="698"/>
      <c r="D45" s="701"/>
      <c r="E45" s="699"/>
      <c r="F45" s="699"/>
      <c r="G45" s="699"/>
      <c r="H45" s="699"/>
      <c r="I45" s="699"/>
      <c r="Q45" s="712"/>
      <c r="R45" s="712"/>
      <c r="S45" s="712"/>
      <c r="T45" s="712"/>
      <c r="U45" s="712"/>
      <c r="V45" s="712"/>
      <c r="W45" s="712"/>
      <c r="X45" s="712"/>
      <c r="Y45" s="712"/>
      <c r="Z45" s="712"/>
      <c r="AA45" s="712"/>
      <c r="AB45" s="712"/>
      <c r="AC45" s="712"/>
      <c r="AD45" s="712"/>
      <c r="AE45" s="712"/>
      <c r="AF45" s="712"/>
      <c r="AG45" s="712"/>
      <c r="AH45" s="712"/>
      <c r="AI45" s="712"/>
      <c r="AJ45" s="712"/>
      <c r="AK45" s="712"/>
      <c r="AL45" s="712"/>
      <c r="AM45" s="712"/>
      <c r="AN45" s="712"/>
    </row>
    <row r="46" spans="1:41">
      <c r="A46" s="698" t="s">
        <v>658</v>
      </c>
      <c r="B46" s="704" t="s">
        <v>1111</v>
      </c>
      <c r="C46" s="698"/>
      <c r="Q46" s="712"/>
      <c r="R46" s="712"/>
      <c r="S46" s="712"/>
      <c r="T46" s="712"/>
      <c r="U46" s="712"/>
      <c r="V46" s="712"/>
      <c r="W46" s="712"/>
      <c r="X46" s="712"/>
      <c r="Y46" s="712"/>
      <c r="Z46" s="712"/>
      <c r="AA46" s="712"/>
      <c r="AB46" s="712"/>
      <c r="AC46" s="712"/>
      <c r="AD46" s="712"/>
      <c r="AE46" s="712"/>
      <c r="AF46" s="712"/>
      <c r="AG46" s="712"/>
      <c r="AH46" s="712"/>
      <c r="AI46" s="712"/>
      <c r="AJ46" s="712"/>
      <c r="AK46" s="712"/>
      <c r="AL46" s="712"/>
      <c r="AM46" s="712"/>
      <c r="AN46" s="712"/>
    </row>
    <row r="47" spans="1:41">
      <c r="A47" s="698" t="s">
        <v>659</v>
      </c>
      <c r="B47" s="704" t="s">
        <v>1112</v>
      </c>
      <c r="C47" s="698"/>
      <c r="Q47" s="712"/>
      <c r="R47" s="712"/>
      <c r="S47" s="712"/>
      <c r="T47" s="712"/>
      <c r="U47" s="712"/>
      <c r="V47" s="712"/>
      <c r="W47" s="712"/>
      <c r="X47" s="712"/>
      <c r="Y47" s="712"/>
      <c r="Z47" s="712"/>
      <c r="AA47" s="712"/>
      <c r="AB47" s="712"/>
      <c r="AC47" s="712"/>
      <c r="AD47" s="712"/>
      <c r="AE47" s="712"/>
      <c r="AF47" s="712"/>
      <c r="AG47" s="712"/>
      <c r="AH47" s="712"/>
      <c r="AI47" s="712"/>
      <c r="AJ47" s="712"/>
      <c r="AK47" s="712"/>
      <c r="AL47" s="712"/>
      <c r="AM47" s="712"/>
      <c r="AN47" s="712"/>
    </row>
    <row r="48" spans="1:41">
      <c r="A48" s="698" t="s">
        <v>660</v>
      </c>
      <c r="B48" s="704" t="s">
        <v>1113</v>
      </c>
      <c r="C48" s="698"/>
      <c r="Q48" s="712"/>
      <c r="R48" s="712"/>
      <c r="S48" s="712"/>
      <c r="T48" s="712"/>
      <c r="U48" s="712"/>
      <c r="V48" s="712"/>
      <c r="W48" s="712"/>
      <c r="X48" s="712"/>
      <c r="Y48" s="712"/>
      <c r="Z48" s="712"/>
      <c r="AA48" s="712"/>
      <c r="AB48" s="712"/>
      <c r="AC48" s="712"/>
      <c r="AD48" s="712"/>
      <c r="AE48" s="712"/>
      <c r="AF48" s="712"/>
      <c r="AG48" s="712"/>
      <c r="AH48" s="712"/>
      <c r="AI48" s="712"/>
      <c r="AJ48" s="712"/>
      <c r="AK48" s="712"/>
      <c r="AL48" s="712"/>
      <c r="AM48" s="712"/>
      <c r="AN48" s="712"/>
    </row>
    <row r="49" spans="1:40">
      <c r="A49" s="698" t="s">
        <v>661</v>
      </c>
      <c r="B49" s="704" t="s">
        <v>1114</v>
      </c>
      <c r="C49" s="698"/>
      <c r="Q49" s="712"/>
      <c r="R49" s="712"/>
      <c r="S49" s="712"/>
      <c r="T49" s="712"/>
      <c r="U49" s="712"/>
      <c r="V49" s="712"/>
      <c r="W49" s="712"/>
      <c r="X49" s="712"/>
      <c r="Y49" s="712"/>
      <c r="Z49" s="712"/>
      <c r="AA49" s="712"/>
      <c r="AB49" s="712"/>
      <c r="AC49" s="712"/>
      <c r="AD49" s="712"/>
      <c r="AE49" s="712"/>
      <c r="AF49" s="712"/>
      <c r="AG49" s="712"/>
      <c r="AH49" s="712"/>
      <c r="AI49" s="712"/>
      <c r="AJ49" s="712"/>
      <c r="AK49" s="712"/>
      <c r="AL49" s="712"/>
      <c r="AM49" s="712"/>
      <c r="AN49" s="712"/>
    </row>
    <row r="50" spans="1:40">
      <c r="A50" s="698"/>
      <c r="B50" s="704"/>
      <c r="C50" s="698"/>
      <c r="Q50" s="712"/>
      <c r="R50" s="712"/>
      <c r="S50" s="712"/>
      <c r="T50" s="712"/>
      <c r="U50" s="712"/>
      <c r="V50" s="712"/>
      <c r="W50" s="712"/>
      <c r="X50" s="712"/>
      <c r="Y50" s="712"/>
      <c r="Z50" s="712"/>
      <c r="AA50" s="712"/>
      <c r="AB50" s="712"/>
      <c r="AC50" s="712"/>
      <c r="AD50" s="712"/>
      <c r="AE50" s="712"/>
      <c r="AF50" s="712"/>
      <c r="AG50" s="712"/>
      <c r="AH50" s="712"/>
      <c r="AI50" s="712"/>
      <c r="AJ50" s="712"/>
      <c r="AK50" s="712"/>
      <c r="AL50" s="712"/>
      <c r="AM50" s="712"/>
      <c r="AN50" s="712"/>
    </row>
    <row r="51" spans="1:40">
      <c r="A51" s="698"/>
      <c r="B51" s="704"/>
      <c r="C51" s="698"/>
      <c r="Q51" s="712"/>
      <c r="R51" s="712"/>
      <c r="S51" s="712"/>
      <c r="T51" s="712"/>
      <c r="U51" s="712"/>
      <c r="V51" s="712"/>
      <c r="W51" s="712"/>
      <c r="X51" s="712"/>
      <c r="Y51" s="712"/>
      <c r="Z51" s="712"/>
      <c r="AA51" s="712"/>
      <c r="AB51" s="712"/>
      <c r="AC51" s="712"/>
      <c r="AD51" s="712"/>
      <c r="AE51" s="712"/>
      <c r="AF51" s="712"/>
      <c r="AG51" s="712"/>
      <c r="AH51" s="712"/>
      <c r="AI51" s="712"/>
      <c r="AJ51" s="712"/>
      <c r="AK51" s="712"/>
      <c r="AL51" s="712"/>
      <c r="AM51" s="712"/>
      <c r="AN51" s="712"/>
    </row>
    <row r="52" spans="1:40">
      <c r="A52" s="698"/>
      <c r="B52" s="704"/>
      <c r="C52" s="698"/>
      <c r="Q52" s="712"/>
      <c r="R52" s="712"/>
      <c r="S52" s="712"/>
      <c r="T52" s="712"/>
      <c r="U52" s="712"/>
      <c r="V52" s="712"/>
      <c r="W52" s="712"/>
      <c r="X52" s="712"/>
      <c r="Y52" s="712"/>
      <c r="Z52" s="712"/>
      <c r="AA52" s="712"/>
      <c r="AB52" s="712"/>
      <c r="AC52" s="712"/>
      <c r="AD52" s="712"/>
      <c r="AE52" s="712"/>
      <c r="AF52" s="712"/>
      <c r="AG52" s="712"/>
      <c r="AH52" s="712"/>
      <c r="AI52" s="712"/>
      <c r="AJ52" s="712"/>
      <c r="AK52" s="712"/>
      <c r="AL52" s="712"/>
      <c r="AM52" s="712"/>
      <c r="AN52" s="712"/>
    </row>
    <row r="53" spans="1:40">
      <c r="Q53" s="712"/>
      <c r="R53" s="712"/>
      <c r="S53" s="712"/>
      <c r="T53" s="712"/>
      <c r="U53" s="712"/>
      <c r="V53" s="712"/>
      <c r="W53" s="712"/>
      <c r="X53" s="712"/>
      <c r="Y53" s="712"/>
      <c r="Z53" s="712"/>
      <c r="AA53" s="712"/>
      <c r="AB53" s="712"/>
      <c r="AC53" s="712"/>
      <c r="AD53" s="712"/>
      <c r="AE53" s="712"/>
      <c r="AF53" s="712"/>
      <c r="AG53" s="712"/>
      <c r="AH53" s="712"/>
      <c r="AI53" s="712"/>
      <c r="AJ53" s="712"/>
      <c r="AK53" s="712"/>
      <c r="AL53" s="712"/>
      <c r="AM53" s="712"/>
      <c r="AN53" s="712"/>
    </row>
    <row r="54" spans="1:40">
      <c r="Q54" s="712"/>
      <c r="R54" s="712"/>
      <c r="S54" s="712"/>
      <c r="T54" s="712"/>
      <c r="U54" s="712"/>
      <c r="V54" s="712"/>
      <c r="W54" s="712"/>
      <c r="X54" s="712"/>
      <c r="Y54" s="712"/>
      <c r="Z54" s="712"/>
      <c r="AA54" s="712"/>
      <c r="AB54" s="712"/>
      <c r="AC54" s="712"/>
      <c r="AD54" s="712"/>
      <c r="AE54" s="712"/>
      <c r="AF54" s="712"/>
      <c r="AG54" s="712"/>
      <c r="AH54" s="712"/>
      <c r="AI54" s="712"/>
      <c r="AJ54" s="712"/>
      <c r="AK54" s="712"/>
      <c r="AL54" s="712"/>
      <c r="AM54" s="712"/>
      <c r="AN54" s="712"/>
    </row>
    <row r="55" spans="1:40">
      <c r="Q55" s="712"/>
      <c r="R55" s="712"/>
      <c r="S55" s="712"/>
      <c r="T55" s="712"/>
      <c r="U55" s="712"/>
      <c r="V55" s="712"/>
      <c r="W55" s="712"/>
      <c r="X55" s="712"/>
      <c r="Y55" s="712"/>
      <c r="Z55" s="712"/>
      <c r="AA55" s="712"/>
      <c r="AB55" s="712"/>
      <c r="AC55" s="712"/>
      <c r="AD55" s="712"/>
      <c r="AE55" s="712"/>
      <c r="AF55" s="712"/>
      <c r="AG55" s="712"/>
      <c r="AH55" s="712"/>
      <c r="AI55" s="712"/>
      <c r="AJ55" s="712"/>
      <c r="AK55" s="712"/>
      <c r="AL55" s="712"/>
      <c r="AM55" s="712"/>
      <c r="AN55" s="712"/>
    </row>
    <row r="56" spans="1:40">
      <c r="Q56" s="712"/>
      <c r="R56" s="712"/>
      <c r="S56" s="712"/>
      <c r="T56" s="712"/>
      <c r="U56" s="712"/>
      <c r="V56" s="712"/>
      <c r="W56" s="712"/>
      <c r="X56" s="712"/>
      <c r="Y56" s="712"/>
      <c r="Z56" s="712"/>
      <c r="AA56" s="712"/>
      <c r="AB56" s="712"/>
      <c r="AC56" s="712"/>
      <c r="AD56" s="712"/>
      <c r="AE56" s="712"/>
      <c r="AF56" s="712"/>
      <c r="AG56" s="712"/>
      <c r="AH56" s="712"/>
      <c r="AI56" s="712"/>
      <c r="AJ56" s="712"/>
      <c r="AK56" s="712"/>
      <c r="AL56" s="712"/>
      <c r="AM56" s="712"/>
      <c r="AN56" s="712"/>
    </row>
    <row r="57" spans="1:40">
      <c r="Q57" s="712"/>
      <c r="R57" s="712"/>
      <c r="S57" s="712"/>
      <c r="T57" s="712"/>
      <c r="U57" s="712"/>
      <c r="V57" s="712"/>
      <c r="W57" s="712"/>
      <c r="X57" s="712"/>
      <c r="Y57" s="712"/>
      <c r="Z57" s="712"/>
      <c r="AA57" s="712"/>
      <c r="AB57" s="712"/>
      <c r="AC57" s="712"/>
      <c r="AD57" s="712"/>
      <c r="AE57" s="712"/>
      <c r="AF57" s="712"/>
      <c r="AG57" s="712"/>
      <c r="AH57" s="712"/>
      <c r="AI57" s="712"/>
      <c r="AJ57" s="712"/>
      <c r="AK57" s="712"/>
      <c r="AL57" s="712"/>
      <c r="AM57" s="712"/>
      <c r="AN57" s="712"/>
    </row>
    <row r="58" spans="1:40">
      <c r="Q58" s="712"/>
      <c r="R58" s="712"/>
      <c r="S58" s="712"/>
      <c r="T58" s="712"/>
      <c r="U58" s="712"/>
      <c r="V58" s="712"/>
      <c r="W58" s="712"/>
      <c r="X58" s="712"/>
      <c r="Y58" s="712"/>
      <c r="Z58" s="712"/>
      <c r="AA58" s="712"/>
      <c r="AB58" s="712"/>
      <c r="AC58" s="712"/>
      <c r="AD58" s="712"/>
      <c r="AE58" s="712"/>
      <c r="AF58" s="712"/>
      <c r="AG58" s="712"/>
      <c r="AH58" s="712"/>
      <c r="AI58" s="712"/>
      <c r="AJ58" s="712"/>
      <c r="AK58" s="712"/>
      <c r="AL58" s="712"/>
      <c r="AM58" s="712"/>
      <c r="AN58" s="712"/>
    </row>
    <row r="59" spans="1:40">
      <c r="Q59" s="712"/>
      <c r="R59" s="712"/>
      <c r="S59" s="712"/>
      <c r="T59" s="712"/>
      <c r="U59" s="712"/>
      <c r="V59" s="712"/>
      <c r="W59" s="712"/>
      <c r="X59" s="712"/>
      <c r="Y59" s="712"/>
      <c r="Z59" s="712"/>
      <c r="AA59" s="712"/>
      <c r="AB59" s="712"/>
      <c r="AC59" s="712"/>
      <c r="AD59" s="712"/>
      <c r="AE59" s="712"/>
      <c r="AF59" s="712"/>
      <c r="AG59" s="712"/>
      <c r="AH59" s="712"/>
      <c r="AI59" s="712"/>
      <c r="AJ59" s="712"/>
      <c r="AK59" s="712"/>
      <c r="AL59" s="712"/>
      <c r="AM59" s="712"/>
      <c r="AN59" s="712"/>
    </row>
    <row r="60" spans="1:40">
      <c r="Q60" s="712"/>
      <c r="R60" s="712"/>
      <c r="S60" s="712"/>
      <c r="T60" s="712"/>
      <c r="U60" s="712"/>
      <c r="V60" s="712"/>
      <c r="W60" s="712"/>
      <c r="X60" s="712"/>
      <c r="Y60" s="712"/>
      <c r="Z60" s="712"/>
      <c r="AA60" s="712"/>
      <c r="AB60" s="712"/>
      <c r="AC60" s="712"/>
      <c r="AD60" s="712"/>
      <c r="AE60" s="712"/>
      <c r="AF60" s="712"/>
      <c r="AG60" s="712"/>
      <c r="AH60" s="712"/>
      <c r="AI60" s="712"/>
      <c r="AJ60" s="712"/>
      <c r="AK60" s="712"/>
      <c r="AL60" s="712"/>
      <c r="AM60" s="712"/>
      <c r="AN60" s="712"/>
    </row>
    <row r="61" spans="1:40">
      <c r="Q61" s="712"/>
      <c r="R61" s="712"/>
      <c r="S61" s="712"/>
      <c r="T61" s="712"/>
      <c r="U61" s="712"/>
      <c r="V61" s="712"/>
      <c r="W61" s="712"/>
      <c r="X61" s="712"/>
      <c r="Y61" s="712"/>
      <c r="Z61" s="712"/>
      <c r="AA61" s="712"/>
      <c r="AB61" s="712"/>
      <c r="AC61" s="712"/>
      <c r="AD61" s="712"/>
      <c r="AE61" s="712"/>
      <c r="AF61" s="712"/>
      <c r="AG61" s="712"/>
      <c r="AH61" s="712"/>
      <c r="AI61" s="712"/>
      <c r="AJ61" s="712"/>
      <c r="AK61" s="712"/>
      <c r="AL61" s="712"/>
      <c r="AM61" s="712"/>
      <c r="AN61" s="712"/>
    </row>
    <row r="62" spans="1:40">
      <c r="Q62" s="712"/>
      <c r="R62" s="712"/>
      <c r="S62" s="712"/>
      <c r="T62" s="712"/>
      <c r="U62" s="712"/>
      <c r="V62" s="712"/>
      <c r="W62" s="712"/>
      <c r="X62" s="712"/>
      <c r="Y62" s="712"/>
      <c r="Z62" s="712"/>
      <c r="AA62" s="712"/>
      <c r="AB62" s="712"/>
      <c r="AC62" s="712"/>
      <c r="AD62" s="712"/>
      <c r="AE62" s="712"/>
      <c r="AF62" s="712"/>
      <c r="AG62" s="712"/>
      <c r="AH62" s="712"/>
      <c r="AI62" s="712"/>
      <c r="AJ62" s="712"/>
      <c r="AK62" s="712"/>
      <c r="AL62" s="712"/>
      <c r="AM62" s="712"/>
      <c r="AN62" s="712"/>
    </row>
    <row r="63" spans="1:40">
      <c r="Q63" s="712"/>
      <c r="R63" s="712"/>
      <c r="S63" s="712"/>
      <c r="T63" s="712"/>
      <c r="U63" s="712"/>
      <c r="V63" s="712"/>
      <c r="W63" s="712"/>
      <c r="X63" s="712"/>
      <c r="Y63" s="712"/>
      <c r="Z63" s="712"/>
      <c r="AA63" s="712"/>
      <c r="AB63" s="712"/>
      <c r="AC63" s="712"/>
      <c r="AD63" s="712"/>
      <c r="AE63" s="712"/>
      <c r="AF63" s="712"/>
      <c r="AG63" s="712"/>
      <c r="AH63" s="712"/>
      <c r="AI63" s="712"/>
      <c r="AJ63" s="712"/>
      <c r="AK63" s="712"/>
      <c r="AL63" s="712"/>
      <c r="AM63" s="712"/>
      <c r="AN63" s="712"/>
    </row>
    <row r="64" spans="1:40">
      <c r="Q64" s="712"/>
      <c r="R64" s="712"/>
      <c r="S64" s="712"/>
      <c r="T64" s="712"/>
      <c r="U64" s="712"/>
      <c r="V64" s="712"/>
      <c r="W64" s="712"/>
      <c r="X64" s="712"/>
      <c r="Y64" s="712"/>
      <c r="Z64" s="712"/>
      <c r="AA64" s="712"/>
      <c r="AB64" s="712"/>
      <c r="AC64" s="712"/>
      <c r="AD64" s="712"/>
      <c r="AE64" s="712"/>
      <c r="AF64" s="712"/>
      <c r="AG64" s="712"/>
      <c r="AH64" s="712"/>
      <c r="AI64" s="712"/>
      <c r="AJ64" s="712"/>
      <c r="AK64" s="712"/>
      <c r="AL64" s="712"/>
      <c r="AM64" s="712"/>
      <c r="AN64" s="712"/>
    </row>
    <row r="65" spans="17:40">
      <c r="Q65" s="712"/>
      <c r="R65" s="712"/>
      <c r="S65" s="712"/>
      <c r="T65" s="712"/>
      <c r="U65" s="712"/>
      <c r="V65" s="712"/>
      <c r="W65" s="712"/>
      <c r="X65" s="712"/>
      <c r="Y65" s="712"/>
      <c r="Z65" s="712"/>
      <c r="AA65" s="712"/>
      <c r="AB65" s="712"/>
      <c r="AC65" s="712"/>
      <c r="AD65" s="712"/>
      <c r="AE65" s="712"/>
      <c r="AF65" s="712"/>
      <c r="AG65" s="712"/>
      <c r="AH65" s="712"/>
      <c r="AI65" s="712"/>
      <c r="AJ65" s="712"/>
      <c r="AK65" s="712"/>
      <c r="AL65" s="712"/>
      <c r="AM65" s="712"/>
      <c r="AN65" s="712"/>
    </row>
    <row r="66" spans="17:40">
      <c r="Q66" s="712"/>
      <c r="R66" s="712"/>
      <c r="S66" s="712"/>
      <c r="T66" s="712"/>
      <c r="U66" s="712"/>
      <c r="V66" s="712"/>
      <c r="W66" s="712"/>
      <c r="X66" s="712"/>
      <c r="Y66" s="712"/>
      <c r="Z66" s="712"/>
      <c r="AA66" s="712"/>
      <c r="AB66" s="712"/>
      <c r="AC66" s="712"/>
      <c r="AD66" s="712"/>
      <c r="AE66" s="712"/>
      <c r="AF66" s="712"/>
      <c r="AG66" s="712"/>
      <c r="AH66" s="712"/>
      <c r="AI66" s="712"/>
      <c r="AJ66" s="712"/>
      <c r="AK66" s="712"/>
      <c r="AL66" s="712"/>
      <c r="AM66" s="712"/>
      <c r="AN66" s="712"/>
    </row>
    <row r="67" spans="17:40">
      <c r="Q67" s="712"/>
      <c r="R67" s="712"/>
      <c r="S67" s="712"/>
      <c r="T67" s="712"/>
      <c r="U67" s="712"/>
      <c r="V67" s="712"/>
      <c r="W67" s="712"/>
      <c r="X67" s="712"/>
      <c r="Y67" s="712"/>
      <c r="Z67" s="712"/>
      <c r="AA67" s="712"/>
      <c r="AB67" s="712"/>
      <c r="AC67" s="712"/>
      <c r="AD67" s="712"/>
      <c r="AE67" s="712"/>
      <c r="AF67" s="712"/>
      <c r="AG67" s="712"/>
      <c r="AH67" s="712"/>
      <c r="AI67" s="712"/>
      <c r="AJ67" s="712"/>
      <c r="AK67" s="712"/>
      <c r="AL67" s="712"/>
      <c r="AM67" s="712"/>
      <c r="AN67" s="712"/>
    </row>
    <row r="68" spans="17:40">
      <c r="Q68" s="712"/>
      <c r="R68" s="712"/>
      <c r="S68" s="712"/>
      <c r="T68" s="712"/>
      <c r="U68" s="712"/>
      <c r="V68" s="712"/>
      <c r="W68" s="712"/>
      <c r="X68" s="712"/>
      <c r="Y68" s="712"/>
      <c r="Z68" s="712"/>
      <c r="AA68" s="712"/>
      <c r="AB68" s="712"/>
      <c r="AC68" s="712"/>
      <c r="AD68" s="712"/>
      <c r="AE68" s="712"/>
      <c r="AF68" s="712"/>
      <c r="AG68" s="712"/>
      <c r="AH68" s="712"/>
      <c r="AI68" s="712"/>
      <c r="AJ68" s="712"/>
      <c r="AK68" s="712"/>
      <c r="AL68" s="712"/>
      <c r="AM68" s="712"/>
      <c r="AN68" s="712"/>
    </row>
    <row r="69" spans="17:40">
      <c r="Q69" s="712"/>
      <c r="R69" s="712"/>
      <c r="S69" s="712"/>
      <c r="T69" s="712"/>
      <c r="U69" s="712"/>
      <c r="V69" s="712"/>
      <c r="W69" s="712"/>
      <c r="X69" s="712"/>
      <c r="Y69" s="712"/>
      <c r="Z69" s="712"/>
      <c r="AA69" s="712"/>
      <c r="AB69" s="712"/>
      <c r="AC69" s="712"/>
      <c r="AD69" s="712"/>
      <c r="AE69" s="712"/>
      <c r="AF69" s="712"/>
      <c r="AG69" s="712"/>
      <c r="AH69" s="712"/>
      <c r="AI69" s="712"/>
      <c r="AJ69" s="712"/>
      <c r="AK69" s="712"/>
      <c r="AL69" s="712"/>
      <c r="AM69" s="712"/>
      <c r="AN69" s="712"/>
    </row>
    <row r="70" spans="17:40">
      <c r="Q70" s="712"/>
      <c r="R70" s="712"/>
      <c r="S70" s="712"/>
      <c r="T70" s="712"/>
      <c r="U70" s="712"/>
      <c r="V70" s="712"/>
      <c r="W70" s="712"/>
      <c r="X70" s="712"/>
      <c r="Y70" s="712"/>
      <c r="Z70" s="712"/>
      <c r="AA70" s="712"/>
      <c r="AB70" s="712"/>
      <c r="AC70" s="712"/>
      <c r="AD70" s="712"/>
      <c r="AE70" s="712"/>
      <c r="AF70" s="712"/>
      <c r="AG70" s="712"/>
      <c r="AH70" s="712"/>
      <c r="AI70" s="712"/>
      <c r="AJ70" s="712"/>
      <c r="AK70" s="712"/>
      <c r="AL70" s="712"/>
      <c r="AM70" s="712"/>
      <c r="AN70" s="712"/>
    </row>
    <row r="71" spans="17:40">
      <c r="Q71" s="712"/>
      <c r="R71" s="712"/>
      <c r="S71" s="712"/>
      <c r="T71" s="712"/>
      <c r="U71" s="712"/>
      <c r="V71" s="712"/>
      <c r="W71" s="712"/>
      <c r="X71" s="712"/>
      <c r="Y71" s="712"/>
      <c r="Z71" s="712"/>
      <c r="AA71" s="712"/>
      <c r="AB71" s="712"/>
      <c r="AC71" s="712"/>
      <c r="AD71" s="712"/>
      <c r="AE71" s="712"/>
      <c r="AF71" s="712"/>
      <c r="AG71" s="712"/>
      <c r="AH71" s="712"/>
      <c r="AI71" s="712"/>
      <c r="AJ71" s="712"/>
      <c r="AK71" s="712"/>
      <c r="AL71" s="712"/>
      <c r="AM71" s="712"/>
      <c r="AN71" s="712"/>
    </row>
  </sheetData>
  <mergeCells count="10">
    <mergeCell ref="AI36:AK36"/>
    <mergeCell ref="D9:J9"/>
    <mergeCell ref="L9:M9"/>
    <mergeCell ref="O9:U9"/>
    <mergeCell ref="W9:AM9"/>
    <mergeCell ref="F10:H10"/>
    <mergeCell ref="Q10:S10"/>
    <mergeCell ref="W10:AA10"/>
    <mergeCell ref="AC10:AG10"/>
    <mergeCell ref="AI10:AM10"/>
  </mergeCells>
  <pageMargins left="0.25" right="0.25" top="0.75" bottom="0.75" header="0.3" footer="0.3"/>
  <pageSetup scale="38"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0CFC4-349C-4391-94CB-00A0797A11FA}">
  <sheetPr>
    <pageSetUpPr fitToPage="1"/>
  </sheetPr>
  <dimension ref="A1:P59"/>
  <sheetViews>
    <sheetView workbookViewId="0">
      <selection activeCell="J36" sqref="J36"/>
    </sheetView>
  </sheetViews>
  <sheetFormatPr defaultColWidth="8.88671875" defaultRowHeight="15"/>
  <cols>
    <col min="1" max="1" width="4.5546875" style="714" customWidth="1"/>
    <col min="2" max="2" width="40.88671875" style="714" customWidth="1"/>
    <col min="3" max="5" width="12.88671875" style="714" customWidth="1"/>
    <col min="6" max="6" width="5.109375" style="714" customWidth="1"/>
    <col min="7" max="8" width="12.88671875" style="714" customWidth="1"/>
    <col min="9" max="9" width="5.109375" style="714" customWidth="1"/>
    <col min="10" max="11" width="12.88671875" style="714" customWidth="1"/>
    <col min="12" max="12" width="3.109375" style="714" customWidth="1"/>
    <col min="13" max="13" width="12.88671875" style="714" customWidth="1"/>
    <col min="14" max="35" width="9.88671875" style="714" customWidth="1"/>
    <col min="36" max="16384" width="8.88671875" style="714"/>
  </cols>
  <sheetData>
    <row r="1" spans="1:14" ht="16.5">
      <c r="A1" s="713" t="s">
        <v>1115</v>
      </c>
      <c r="E1" s="715"/>
      <c r="F1" s="715"/>
      <c r="G1" s="716"/>
      <c r="H1" s="716"/>
      <c r="I1" s="716"/>
      <c r="J1" s="716"/>
      <c r="K1" s="716"/>
      <c r="L1" s="716"/>
      <c r="M1" s="716"/>
      <c r="N1" s="716"/>
    </row>
    <row r="2" spans="1:14" ht="16.5">
      <c r="A2" s="717" t="s">
        <v>1116</v>
      </c>
      <c r="E2" s="717"/>
      <c r="F2" s="717"/>
      <c r="G2" s="716"/>
      <c r="H2" s="716"/>
      <c r="I2" s="716"/>
      <c r="J2" s="716"/>
      <c r="K2" s="716"/>
      <c r="L2" s="716"/>
      <c r="M2" s="716"/>
      <c r="N2" s="716"/>
    </row>
    <row r="3" spans="1:14" ht="16.5">
      <c r="A3" s="718" t="s">
        <v>1117</v>
      </c>
      <c r="B3" s="719"/>
      <c r="E3" s="720"/>
      <c r="F3" s="720"/>
      <c r="G3" s="721"/>
      <c r="H3" s="721"/>
      <c r="I3" s="721"/>
      <c r="K3" s="721"/>
      <c r="L3" s="716"/>
      <c r="M3" s="716"/>
      <c r="N3" s="716"/>
    </row>
    <row r="4" spans="1:14" ht="16.5">
      <c r="A4" s="718" t="s">
        <v>1118</v>
      </c>
      <c r="B4" s="719"/>
      <c r="E4" s="720"/>
      <c r="F4" s="720"/>
      <c r="G4" s="721"/>
      <c r="H4" s="721"/>
      <c r="I4" s="721"/>
      <c r="K4" s="721"/>
      <c r="L4" s="716"/>
      <c r="M4" s="716"/>
      <c r="N4" s="716"/>
    </row>
    <row r="5" spans="1:14" ht="16.5">
      <c r="B5" s="716"/>
      <c r="C5" s="716"/>
      <c r="D5" s="716"/>
      <c r="E5" s="716"/>
      <c r="F5" s="716"/>
      <c r="G5" s="721"/>
      <c r="H5" s="721"/>
      <c r="I5" s="721"/>
      <c r="J5" s="721"/>
      <c r="K5" s="721"/>
      <c r="L5" s="716"/>
      <c r="M5" s="716"/>
      <c r="N5" s="716"/>
    </row>
    <row r="6" spans="1:14" ht="16.5">
      <c r="A6" s="716"/>
      <c r="B6" s="716" t="s">
        <v>1045</v>
      </c>
      <c r="C6" s="722" t="s">
        <v>1046</v>
      </c>
      <c r="D6" s="723" t="s">
        <v>1047</v>
      </c>
      <c r="E6" s="723" t="s">
        <v>1048</v>
      </c>
      <c r="F6" s="716"/>
      <c r="G6" s="723" t="s">
        <v>1119</v>
      </c>
      <c r="H6" s="723" t="s">
        <v>1050</v>
      </c>
      <c r="I6" s="723"/>
      <c r="J6" s="722" t="s">
        <v>1051</v>
      </c>
      <c r="K6" s="723" t="s">
        <v>1052</v>
      </c>
      <c r="L6" s="716"/>
      <c r="M6" s="722" t="s">
        <v>1120</v>
      </c>
      <c r="N6" s="716"/>
    </row>
    <row r="7" spans="1:14" ht="16.5">
      <c r="A7" s="716"/>
      <c r="B7" s="724"/>
      <c r="C7" s="724"/>
      <c r="D7" s="724"/>
      <c r="E7" s="725" t="s">
        <v>1121</v>
      </c>
      <c r="F7" s="716"/>
      <c r="G7" s="726" t="s">
        <v>1122</v>
      </c>
      <c r="H7" s="726" t="s">
        <v>1122</v>
      </c>
      <c r="I7" s="723"/>
      <c r="J7" s="727"/>
      <c r="K7" s="727"/>
      <c r="L7" s="716"/>
      <c r="M7" s="725" t="s">
        <v>1123</v>
      </c>
      <c r="N7" s="716"/>
    </row>
    <row r="8" spans="1:14" ht="33">
      <c r="A8" s="716"/>
      <c r="B8" s="716"/>
      <c r="C8" s="716"/>
      <c r="D8" s="716"/>
      <c r="E8" s="716"/>
      <c r="F8" s="716"/>
      <c r="G8" s="728" t="s">
        <v>1124</v>
      </c>
      <c r="H8" s="728" t="s">
        <v>1124</v>
      </c>
      <c r="I8" s="729"/>
      <c r="J8" s="730" t="s">
        <v>1125</v>
      </c>
      <c r="K8" s="730" t="s">
        <v>1125</v>
      </c>
      <c r="L8" s="716"/>
      <c r="M8" s="730" t="s">
        <v>1125</v>
      </c>
      <c r="N8" s="716"/>
    </row>
    <row r="9" spans="1:14" ht="49.5">
      <c r="A9" s="731" t="s">
        <v>492</v>
      </c>
      <c r="B9" s="724" t="s">
        <v>1023</v>
      </c>
      <c r="C9" s="731" t="s">
        <v>1126</v>
      </c>
      <c r="D9" s="731" t="s">
        <v>1127</v>
      </c>
      <c r="E9" s="731" t="s">
        <v>1128</v>
      </c>
      <c r="F9" s="713"/>
      <c r="G9" s="732" t="s">
        <v>1129</v>
      </c>
      <c r="H9" s="732" t="s">
        <v>1130</v>
      </c>
      <c r="I9" s="733"/>
      <c r="J9" s="734" t="s">
        <v>1083</v>
      </c>
      <c r="K9" s="735" t="s">
        <v>1081</v>
      </c>
      <c r="L9" s="716"/>
      <c r="M9" s="734" t="s">
        <v>21</v>
      </c>
      <c r="N9" s="716"/>
    </row>
    <row r="10" spans="1:14" ht="16.5">
      <c r="A10" s="716"/>
      <c r="B10" s="716"/>
      <c r="C10" s="716"/>
      <c r="D10" s="716"/>
      <c r="E10" s="716"/>
      <c r="F10" s="716"/>
      <c r="G10" s="736"/>
      <c r="H10" s="736"/>
      <c r="I10" s="736"/>
      <c r="J10" s="716"/>
      <c r="K10" s="736"/>
      <c r="L10" s="716"/>
      <c r="M10" s="716"/>
      <c r="N10" s="716"/>
    </row>
    <row r="11" spans="1:14" ht="18.75">
      <c r="A11" s="716"/>
      <c r="B11" s="737" t="s">
        <v>1085</v>
      </c>
      <c r="C11" s="737"/>
      <c r="D11" s="737"/>
      <c r="E11" s="738"/>
      <c r="F11" s="738"/>
      <c r="G11" s="736"/>
      <c r="H11" s="736"/>
      <c r="I11" s="736"/>
      <c r="J11" s="716"/>
      <c r="K11" s="736"/>
      <c r="L11" s="716"/>
      <c r="M11" s="716"/>
      <c r="N11" s="716"/>
    </row>
    <row r="12" spans="1:14" ht="16.5">
      <c r="A12" s="722" t="s">
        <v>151</v>
      </c>
      <c r="B12" s="739" t="s">
        <v>1131</v>
      </c>
      <c r="C12" s="739">
        <v>0</v>
      </c>
      <c r="D12" s="740">
        <v>0</v>
      </c>
      <c r="E12" s="741">
        <f>C12*D12</f>
        <v>0</v>
      </c>
      <c r="F12" s="742"/>
      <c r="G12" s="736">
        <f>ROUND($E12*G$35,0)</f>
        <v>0</v>
      </c>
      <c r="H12" s="736">
        <f>ROUND($E12*H$35,0)</f>
        <v>0</v>
      </c>
      <c r="I12" s="736"/>
      <c r="J12" s="743">
        <v>0</v>
      </c>
      <c r="K12" s="744">
        <v>0</v>
      </c>
      <c r="L12" s="745"/>
      <c r="M12" s="745">
        <f>G12-H12</f>
        <v>0</v>
      </c>
      <c r="N12" s="745"/>
    </row>
    <row r="13" spans="1:14" ht="16.5">
      <c r="A13" s="722" t="s">
        <v>1088</v>
      </c>
      <c r="B13" s="739"/>
      <c r="C13" s="739"/>
      <c r="D13" s="739"/>
      <c r="E13" s="739"/>
      <c r="F13" s="742"/>
      <c r="G13" s="736">
        <f>ROUND($E13*G$35,0)</f>
        <v>0</v>
      </c>
      <c r="H13" s="736">
        <f>ROUND($E13*H$35,0)</f>
        <v>0</v>
      </c>
      <c r="I13" s="736"/>
      <c r="J13" s="743"/>
      <c r="K13" s="744"/>
      <c r="L13" s="745"/>
      <c r="M13" s="745">
        <f>G13-H13</f>
        <v>0</v>
      </c>
      <c r="N13" s="745"/>
    </row>
    <row r="14" spans="1:14" ht="16.5">
      <c r="A14" s="722">
        <v>1</v>
      </c>
      <c r="B14" s="746" t="s">
        <v>1090</v>
      </c>
      <c r="C14" s="747">
        <f>SUM(C12:C13)</f>
        <v>0</v>
      </c>
      <c r="D14" s="746"/>
      <c r="E14" s="747">
        <f>SUM(E12:E13)</f>
        <v>0</v>
      </c>
      <c r="F14" s="748"/>
      <c r="G14" s="747">
        <f>SUM(G12:G13)</f>
        <v>0</v>
      </c>
      <c r="H14" s="747">
        <f>SUM(H12:H13)</f>
        <v>0</v>
      </c>
      <c r="I14" s="736"/>
      <c r="J14" s="747">
        <f>SUM(J12:J13)</f>
        <v>0</v>
      </c>
      <c r="K14" s="747">
        <f>SUM(K12:K13)</f>
        <v>0</v>
      </c>
      <c r="L14" s="716"/>
      <c r="M14" s="747">
        <f>SUM(M12:M13)</f>
        <v>0</v>
      </c>
      <c r="N14" s="745"/>
    </row>
    <row r="15" spans="1:14" ht="16.5">
      <c r="A15" s="722"/>
      <c r="B15" s="742"/>
      <c r="C15" s="742"/>
      <c r="D15" s="742"/>
      <c r="E15" s="742"/>
      <c r="F15" s="742"/>
      <c r="G15" s="736"/>
      <c r="H15" s="736"/>
      <c r="I15" s="736"/>
      <c r="J15" s="716"/>
      <c r="K15" s="736"/>
      <c r="L15" s="716"/>
      <c r="M15" s="716"/>
      <c r="N15" s="716"/>
    </row>
    <row r="16" spans="1:14" ht="18.75">
      <c r="A16" s="722"/>
      <c r="B16" s="737" t="s">
        <v>1091</v>
      </c>
      <c r="C16" s="737"/>
      <c r="D16" s="737"/>
      <c r="E16" s="738"/>
      <c r="F16" s="738"/>
      <c r="G16" s="736"/>
      <c r="H16" s="736"/>
      <c r="I16" s="736"/>
      <c r="J16" s="716"/>
      <c r="K16" s="736"/>
      <c r="L16" s="716"/>
      <c r="M16" s="716"/>
      <c r="N16" s="716"/>
    </row>
    <row r="17" spans="1:16" ht="16.5">
      <c r="A17" s="722" t="s">
        <v>618</v>
      </c>
      <c r="B17" s="739" t="s">
        <v>1132</v>
      </c>
      <c r="C17" s="739">
        <v>0</v>
      </c>
      <c r="D17" s="740">
        <v>0</v>
      </c>
      <c r="E17" s="741">
        <f>C17*D17</f>
        <v>0</v>
      </c>
      <c r="F17" s="742"/>
      <c r="G17" s="736">
        <f>ROUND($E17*G$35,0)</f>
        <v>0</v>
      </c>
      <c r="H17" s="736">
        <f>ROUND($E17*H$35,0)</f>
        <v>0</v>
      </c>
      <c r="I17" s="736"/>
      <c r="J17" s="743">
        <v>0</v>
      </c>
      <c r="K17" s="744">
        <v>0</v>
      </c>
      <c r="L17" s="716"/>
      <c r="M17" s="745">
        <f>G17-H17</f>
        <v>0</v>
      </c>
      <c r="N17" s="716"/>
    </row>
    <row r="18" spans="1:16" ht="16.5">
      <c r="A18" s="722" t="s">
        <v>1093</v>
      </c>
      <c r="B18" s="739"/>
      <c r="C18" s="739"/>
      <c r="D18" s="739"/>
      <c r="E18" s="739"/>
      <c r="F18" s="742"/>
      <c r="G18" s="736">
        <f>ROUND($E18*G$35,0)</f>
        <v>0</v>
      </c>
      <c r="H18" s="736">
        <f>ROUND($E18*H$35,0)</f>
        <v>0</v>
      </c>
      <c r="I18" s="736"/>
      <c r="J18" s="743"/>
      <c r="K18" s="744"/>
      <c r="L18" s="716"/>
      <c r="M18" s="745">
        <f>G18-H18</f>
        <v>0</v>
      </c>
      <c r="N18" s="716"/>
    </row>
    <row r="19" spans="1:16" ht="16.5">
      <c r="A19" s="722">
        <v>2</v>
      </c>
      <c r="B19" s="746" t="s">
        <v>1094</v>
      </c>
      <c r="C19" s="747">
        <f>SUM(C17:C18)</f>
        <v>0</v>
      </c>
      <c r="D19" s="746"/>
      <c r="E19" s="747">
        <f>SUM(E17:E18)</f>
        <v>0</v>
      </c>
      <c r="F19" s="748"/>
      <c r="G19" s="747">
        <f>SUM(G17:G18)</f>
        <v>0</v>
      </c>
      <c r="H19" s="747">
        <f>SUM(H17:H18)</f>
        <v>0</v>
      </c>
      <c r="I19" s="736"/>
      <c r="J19" s="747">
        <f>SUM(J17:J18)</f>
        <v>0</v>
      </c>
      <c r="K19" s="747">
        <f>SUM(K17:K18)</f>
        <v>0</v>
      </c>
      <c r="L19" s="716"/>
      <c r="M19" s="747">
        <f>SUM(M17:M18)</f>
        <v>0</v>
      </c>
      <c r="N19" s="716"/>
    </row>
    <row r="20" spans="1:16" ht="16.5">
      <c r="A20" s="722"/>
      <c r="B20" s="742"/>
      <c r="C20" s="742"/>
      <c r="D20" s="742"/>
      <c r="E20" s="742"/>
      <c r="F20" s="742"/>
      <c r="G20" s="736"/>
      <c r="H20" s="736"/>
      <c r="I20" s="736"/>
      <c r="J20" s="716"/>
      <c r="K20" s="736"/>
      <c r="L20" s="716"/>
      <c r="M20" s="716"/>
      <c r="N20" s="716"/>
    </row>
    <row r="21" spans="1:16" ht="18.75">
      <c r="A21" s="722"/>
      <c r="B21" s="737" t="s">
        <v>1095</v>
      </c>
      <c r="C21" s="737"/>
      <c r="D21" s="737"/>
      <c r="E21" s="738"/>
      <c r="F21" s="738"/>
      <c r="G21" s="736"/>
      <c r="H21" s="736"/>
      <c r="I21" s="736"/>
      <c r="J21" s="716"/>
      <c r="K21" s="736"/>
      <c r="L21" s="716"/>
      <c r="M21" s="716"/>
      <c r="N21" s="716"/>
    </row>
    <row r="22" spans="1:16" ht="16.5">
      <c r="A22" s="722" t="s">
        <v>428</v>
      </c>
      <c r="B22" s="739" t="s">
        <v>1133</v>
      </c>
      <c r="C22" s="739">
        <v>0</v>
      </c>
      <c r="D22" s="740">
        <v>0</v>
      </c>
      <c r="E22" s="741">
        <f>C22*D22</f>
        <v>0</v>
      </c>
      <c r="F22" s="742"/>
      <c r="G22" s="736">
        <f>ROUND($E22*G$35,0)</f>
        <v>0</v>
      </c>
      <c r="H22" s="736">
        <f>ROUND($E22*H$35,0)</f>
        <v>0</v>
      </c>
      <c r="I22" s="736"/>
      <c r="J22" s="743">
        <v>0</v>
      </c>
      <c r="K22" s="744">
        <v>0</v>
      </c>
      <c r="L22" s="716"/>
      <c r="M22" s="745">
        <f>G22-H22</f>
        <v>0</v>
      </c>
      <c r="N22" s="716"/>
      <c r="O22" s="749"/>
      <c r="P22" s="749"/>
    </row>
    <row r="23" spans="1:16" ht="16.5">
      <c r="A23" s="722" t="s">
        <v>1096</v>
      </c>
      <c r="B23" s="739"/>
      <c r="C23" s="739"/>
      <c r="D23" s="739"/>
      <c r="E23" s="739"/>
      <c r="F23" s="742"/>
      <c r="G23" s="736">
        <f>ROUND($E23*G$35,0)</f>
        <v>0</v>
      </c>
      <c r="H23" s="736">
        <f>ROUND($E23*H$35,0)</f>
        <v>0</v>
      </c>
      <c r="I23" s="736"/>
      <c r="J23" s="743"/>
      <c r="K23" s="744"/>
      <c r="L23" s="716"/>
      <c r="M23" s="745">
        <f>G23-H23</f>
        <v>0</v>
      </c>
      <c r="N23" s="716"/>
    </row>
    <row r="24" spans="1:16" ht="16.5">
      <c r="A24" s="722">
        <v>3</v>
      </c>
      <c r="B24" s="746" t="s">
        <v>1097</v>
      </c>
      <c r="C24" s="747">
        <f>SUM(C22:C23)</f>
        <v>0</v>
      </c>
      <c r="D24" s="746"/>
      <c r="E24" s="747">
        <f>SUM(E22:E23)</f>
        <v>0</v>
      </c>
      <c r="F24" s="748"/>
      <c r="G24" s="747">
        <f>SUM(G22:G23)</f>
        <v>0</v>
      </c>
      <c r="H24" s="747">
        <f>SUM(H22:H23)</f>
        <v>0</v>
      </c>
      <c r="I24" s="736"/>
      <c r="J24" s="747">
        <f>SUM(J22:J23)</f>
        <v>0</v>
      </c>
      <c r="K24" s="747">
        <f>SUM(K22:K23)</f>
        <v>0</v>
      </c>
      <c r="L24" s="716"/>
      <c r="M24" s="747">
        <f>SUM(M22:M23)</f>
        <v>0</v>
      </c>
      <c r="N24" s="716"/>
    </row>
    <row r="25" spans="1:16" ht="16.5">
      <c r="A25" s="722"/>
      <c r="B25" s="748"/>
      <c r="C25" s="748"/>
      <c r="D25" s="748"/>
      <c r="E25" s="748"/>
      <c r="F25" s="748"/>
      <c r="G25" s="736"/>
      <c r="H25" s="736"/>
      <c r="I25" s="736"/>
      <c r="J25" s="736"/>
      <c r="K25" s="736"/>
      <c r="L25" s="716"/>
      <c r="M25" s="736"/>
      <c r="N25" s="716"/>
    </row>
    <row r="26" spans="1:16" ht="16.5">
      <c r="A26" s="722">
        <v>4</v>
      </c>
      <c r="B26" s="716" t="s">
        <v>1134</v>
      </c>
      <c r="C26" s="747">
        <f>C14+C19+C24</f>
        <v>0</v>
      </c>
      <c r="D26" s="716"/>
      <c r="E26" s="747">
        <f>E14+E19+E24</f>
        <v>0</v>
      </c>
      <c r="F26" s="713"/>
      <c r="G26" s="747">
        <f>G14+G19+G24</f>
        <v>0</v>
      </c>
      <c r="H26" s="747">
        <f>H14+H19+H24</f>
        <v>0</v>
      </c>
      <c r="I26" s="736"/>
      <c r="J26" s="747">
        <f>J14+J19+J24</f>
        <v>0</v>
      </c>
      <c r="K26" s="747">
        <f>K14+K19+K24</f>
        <v>0</v>
      </c>
      <c r="L26" s="716"/>
      <c r="M26" s="747">
        <f>M14+M19+M24</f>
        <v>0</v>
      </c>
      <c r="N26" s="716"/>
    </row>
    <row r="27" spans="1:16" ht="16.5">
      <c r="A27" s="722"/>
      <c r="B27" s="724"/>
      <c r="C27" s="724"/>
      <c r="D27" s="724"/>
      <c r="E27" s="724"/>
      <c r="F27" s="724"/>
      <c r="G27" s="724"/>
      <c r="H27" s="724"/>
      <c r="I27" s="724"/>
      <c r="J27" s="724"/>
      <c r="K27" s="724"/>
      <c r="L27" s="724"/>
      <c r="M27" s="724"/>
      <c r="N27" s="716"/>
    </row>
    <row r="28" spans="1:16" ht="16.5">
      <c r="A28" s="722"/>
      <c r="B28" s="716"/>
      <c r="C28" s="716"/>
      <c r="D28" s="716"/>
      <c r="E28" s="716"/>
      <c r="F28" s="716"/>
      <c r="G28" s="716"/>
      <c r="H28" s="716"/>
      <c r="I28" s="716"/>
      <c r="J28" s="716"/>
      <c r="K28" s="716"/>
      <c r="L28" s="716"/>
      <c r="M28" s="716"/>
      <c r="N28" s="716"/>
    </row>
    <row r="29" spans="1:16" ht="16.5">
      <c r="A29" s="722"/>
      <c r="B29" s="750" t="s">
        <v>1135</v>
      </c>
      <c r="C29" s="751" t="s">
        <v>15</v>
      </c>
      <c r="D29" s="750"/>
      <c r="E29" s="750"/>
      <c r="F29" s="750"/>
      <c r="G29" s="752" t="s">
        <v>1136</v>
      </c>
      <c r="H29" s="752" t="s">
        <v>1137</v>
      </c>
      <c r="I29" s="716"/>
      <c r="J29" s="716"/>
      <c r="K29" s="716"/>
      <c r="L29" s="716"/>
      <c r="M29" s="716"/>
      <c r="N29" s="716"/>
    </row>
    <row r="30" spans="1:16" ht="16.5">
      <c r="A30" s="722">
        <v>5</v>
      </c>
      <c r="B30" s="716" t="s">
        <v>1138</v>
      </c>
      <c r="C30" s="716"/>
      <c r="D30" s="716"/>
      <c r="E30" s="716"/>
      <c r="F30" s="716"/>
      <c r="G30" s="753">
        <v>0</v>
      </c>
      <c r="H30" s="753">
        <v>0</v>
      </c>
      <c r="I30" s="716"/>
      <c r="J30" s="716"/>
      <c r="K30" s="716"/>
      <c r="L30" s="716"/>
      <c r="M30" s="716"/>
      <c r="N30" s="716"/>
    </row>
    <row r="31" spans="1:16" ht="16.5">
      <c r="A31" s="722">
        <v>6</v>
      </c>
      <c r="B31" s="716" t="s">
        <v>1025</v>
      </c>
      <c r="C31" s="716"/>
      <c r="D31" s="716"/>
      <c r="E31" s="716"/>
      <c r="F31" s="716"/>
      <c r="G31" s="753">
        <v>0</v>
      </c>
      <c r="H31" s="753">
        <v>0</v>
      </c>
      <c r="I31" s="716"/>
      <c r="J31" s="716"/>
      <c r="K31" s="716"/>
      <c r="L31" s="716"/>
      <c r="M31" s="716"/>
      <c r="N31" s="716"/>
    </row>
    <row r="32" spans="1:16" ht="16.5">
      <c r="A32" s="722">
        <v>7</v>
      </c>
      <c r="B32" s="716" t="s">
        <v>1139</v>
      </c>
      <c r="C32" s="766" t="s">
        <v>1148</v>
      </c>
      <c r="D32" s="716"/>
      <c r="E32" s="716"/>
      <c r="F32" s="716"/>
      <c r="G32" s="754">
        <f>1-(((1-G31)*(1-G30))/(1-G31*G30*G42))</f>
        <v>0</v>
      </c>
      <c r="H32" s="754">
        <f>1-(((1-H31)*(1-H30))/(1-H31*H30*H42))</f>
        <v>0</v>
      </c>
      <c r="I32" s="716"/>
      <c r="J32" s="716"/>
      <c r="K32" s="716"/>
      <c r="L32" s="716"/>
      <c r="M32" s="716"/>
      <c r="N32" s="716"/>
    </row>
    <row r="33" spans="1:16" ht="16.5">
      <c r="A33" s="722">
        <v>8</v>
      </c>
      <c r="B33" s="716" t="s">
        <v>1140</v>
      </c>
      <c r="C33" s="716" t="str">
        <f>"(Line "&amp;A32&amp;"-Line "&amp;A31&amp;")"</f>
        <v>(Line 7-Line 6)</v>
      </c>
      <c r="D33" s="716"/>
      <c r="E33" s="716"/>
      <c r="F33" s="716"/>
      <c r="G33" s="755">
        <f>G32-G31</f>
        <v>0</v>
      </c>
      <c r="H33" s="755">
        <f>H32-H31</f>
        <v>0</v>
      </c>
      <c r="I33" s="716"/>
      <c r="J33" s="716"/>
      <c r="K33" s="716"/>
      <c r="L33" s="716"/>
      <c r="M33" s="716"/>
      <c r="N33" s="716"/>
    </row>
    <row r="34" spans="1:16" ht="16.5">
      <c r="A34" s="722"/>
      <c r="B34" s="716"/>
      <c r="C34" s="716"/>
      <c r="D34" s="716"/>
      <c r="E34" s="716"/>
      <c r="F34" s="716"/>
      <c r="G34" s="755"/>
      <c r="H34" s="755"/>
      <c r="I34" s="716"/>
      <c r="J34" s="716"/>
      <c r="K34" s="716"/>
      <c r="L34" s="716"/>
      <c r="M34" s="716"/>
      <c r="N34" s="716"/>
    </row>
    <row r="35" spans="1:16" ht="16.5">
      <c r="A35" s="756">
        <v>9</v>
      </c>
      <c r="B35" s="757" t="s">
        <v>1141</v>
      </c>
      <c r="C35" s="766" t="str">
        <f>"(Line "&amp;A32&amp;"/(1-Line "&amp;A32&amp;"))*((1-Line "&amp;A37&amp;")/"&amp;"(1+(Line "&amp;A32&amp;"/(1-Line "&amp;A32&amp;"))))"</f>
        <v>(Line 7/(1-Line 7))*((1-Line 10)/(1+(Line 7/(1-Line 7))))</v>
      </c>
      <c r="D35" s="757"/>
      <c r="E35" s="758"/>
      <c r="F35" s="757"/>
      <c r="G35" s="755">
        <f>(G32/(1-G32))*(1-G37)/(1+(G32/(1-G32)))</f>
        <v>0</v>
      </c>
      <c r="H35" s="755">
        <f>(H32/(1-H32))*(1-H37)/(1+(H32/(1-H32)))</f>
        <v>0</v>
      </c>
      <c r="I35" s="716"/>
      <c r="J35" s="759"/>
      <c r="K35" s="716"/>
      <c r="L35" s="716"/>
      <c r="M35" s="716"/>
      <c r="N35" s="716"/>
    </row>
    <row r="36" spans="1:16" ht="16.5">
      <c r="A36" s="722"/>
      <c r="B36" s="716"/>
      <c r="C36" s="716"/>
      <c r="D36" s="716"/>
      <c r="E36" s="716"/>
      <c r="F36" s="716"/>
      <c r="G36" s="760"/>
      <c r="H36" s="760"/>
      <c r="I36" s="716"/>
      <c r="J36" s="716"/>
      <c r="K36" s="716"/>
      <c r="L36" s="716"/>
      <c r="M36" s="716"/>
      <c r="N36" s="716"/>
    </row>
    <row r="37" spans="1:16" ht="16.5">
      <c r="A37" s="722">
        <v>10</v>
      </c>
      <c r="B37" s="716" t="s">
        <v>1142</v>
      </c>
      <c r="C37" s="716"/>
      <c r="D37" s="716"/>
      <c r="E37" s="716"/>
      <c r="F37" s="716"/>
      <c r="G37" s="777">
        <v>0</v>
      </c>
      <c r="H37" s="777">
        <v>0</v>
      </c>
      <c r="I37" s="716"/>
      <c r="J37" s="716"/>
      <c r="K37" s="716"/>
      <c r="L37" s="716"/>
      <c r="M37" s="716"/>
      <c r="N37" s="716"/>
    </row>
    <row r="38" spans="1:16" ht="16.5">
      <c r="A38" s="722"/>
      <c r="B38" s="716"/>
      <c r="C38" s="716"/>
      <c r="D38" s="716"/>
      <c r="E38" s="716"/>
      <c r="F38" s="716"/>
      <c r="G38" s="716"/>
      <c r="H38" s="716"/>
      <c r="I38" s="716"/>
      <c r="J38" s="716"/>
      <c r="K38" s="716"/>
      <c r="L38" s="716"/>
      <c r="M38" s="716"/>
      <c r="N38" s="716"/>
    </row>
    <row r="39" spans="1:16" ht="16.5">
      <c r="A39" s="722">
        <v>11</v>
      </c>
      <c r="B39" s="716" t="s">
        <v>1143</v>
      </c>
      <c r="C39" s="716" t="str">
        <f>"(1/(1-Line "&amp;A35&amp;"))"</f>
        <v>(1/(1-Line 9))</v>
      </c>
      <c r="D39" s="716"/>
      <c r="E39" s="716"/>
      <c r="F39" s="716"/>
      <c r="G39" s="761">
        <f>1/(1-G35)</f>
        <v>1</v>
      </c>
      <c r="H39" s="761">
        <f>1/(1-H35)</f>
        <v>1</v>
      </c>
      <c r="I39" s="716"/>
      <c r="J39" s="716"/>
      <c r="K39" s="716"/>
      <c r="L39" s="716"/>
      <c r="M39" s="716"/>
      <c r="N39" s="716"/>
    </row>
    <row r="40" spans="1:16" ht="16.5">
      <c r="A40" s="722"/>
      <c r="B40" s="716"/>
      <c r="C40" s="716"/>
      <c r="D40" s="716"/>
      <c r="E40" s="716"/>
      <c r="F40" s="716"/>
      <c r="G40" s="761"/>
      <c r="H40" s="761"/>
      <c r="I40" s="716"/>
      <c r="J40" s="716"/>
      <c r="K40" s="716"/>
      <c r="L40" s="716"/>
      <c r="M40" s="716"/>
      <c r="N40" s="716"/>
    </row>
    <row r="41" spans="1:16" ht="16.5">
      <c r="A41" s="722">
        <v>12</v>
      </c>
      <c r="B41" s="716" t="s">
        <v>1144</v>
      </c>
      <c r="C41" s="716" t="str">
        <f>"(Line "&amp;A30&amp;"*Line "&amp;A31&amp;")"</f>
        <v>(Line 5*Line 6)</v>
      </c>
      <c r="D41" s="716"/>
      <c r="E41" s="716"/>
      <c r="F41" s="716"/>
      <c r="G41" s="762">
        <f>G31*G30</f>
        <v>0</v>
      </c>
      <c r="H41" s="762">
        <f>H31*H30</f>
        <v>0</v>
      </c>
      <c r="I41" s="716"/>
      <c r="J41" s="716"/>
      <c r="K41" s="716"/>
      <c r="L41" s="716"/>
      <c r="M41" s="716"/>
      <c r="N41" s="716"/>
    </row>
    <row r="42" spans="1:16" ht="16.5">
      <c r="A42" s="722">
        <v>13</v>
      </c>
      <c r="B42" s="716" t="s">
        <v>1145</v>
      </c>
      <c r="C42" s="765"/>
      <c r="D42" s="716"/>
      <c r="E42" s="716"/>
      <c r="F42" s="716"/>
      <c r="G42" s="776">
        <v>0</v>
      </c>
      <c r="H42" s="776">
        <v>0</v>
      </c>
      <c r="I42" s="716"/>
      <c r="J42" s="716"/>
      <c r="K42" s="716"/>
      <c r="L42" s="716"/>
      <c r="M42" s="716"/>
      <c r="N42" s="716"/>
    </row>
    <row r="43" spans="1:16" ht="16.5">
      <c r="A43" s="716"/>
      <c r="B43" s="716"/>
      <c r="C43" s="716"/>
      <c r="D43" s="716"/>
      <c r="E43" s="716"/>
      <c r="F43" s="716"/>
      <c r="G43" s="716"/>
      <c r="H43" s="716"/>
      <c r="I43" s="716"/>
    </row>
    <row r="44" spans="1:16" ht="16.5">
      <c r="A44" s="716"/>
      <c r="B44" s="716"/>
      <c r="C44" s="716"/>
      <c r="D44" s="716"/>
      <c r="E44" s="716"/>
      <c r="F44" s="716"/>
      <c r="G44" s="763"/>
      <c r="H44" s="763"/>
      <c r="I44" s="716"/>
    </row>
    <row r="45" spans="1:16" ht="16.5">
      <c r="A45" s="750" t="s">
        <v>1101</v>
      </c>
      <c r="B45" s="716"/>
      <c r="C45" s="716"/>
      <c r="D45" s="716"/>
      <c r="E45" s="716"/>
      <c r="F45" s="716"/>
      <c r="G45" s="716"/>
      <c r="H45" s="716"/>
      <c r="I45" s="716"/>
    </row>
    <row r="46" spans="1:16" ht="16.5">
      <c r="A46" s="716" t="s">
        <v>1146</v>
      </c>
      <c r="C46" s="716"/>
      <c r="D46" s="716"/>
      <c r="E46" s="716"/>
      <c r="F46" s="716"/>
      <c r="G46" s="763"/>
      <c r="H46" s="763"/>
      <c r="I46" s="716"/>
    </row>
    <row r="47" spans="1:16" ht="16.5">
      <c r="A47" s="716" t="s">
        <v>1103</v>
      </c>
      <c r="C47" s="716"/>
      <c r="D47" s="716"/>
    </row>
    <row r="48" spans="1:16" ht="35.25" customHeight="1">
      <c r="A48" s="778" t="s">
        <v>329</v>
      </c>
      <c r="B48" s="888" t="s">
        <v>1147</v>
      </c>
      <c r="C48" s="888"/>
      <c r="D48" s="888"/>
      <c r="E48" s="888"/>
      <c r="F48" s="888"/>
      <c r="G48" s="888"/>
      <c r="H48" s="888"/>
      <c r="I48" s="888"/>
      <c r="J48" s="888"/>
      <c r="K48" s="757"/>
      <c r="L48" s="757"/>
      <c r="M48" s="757"/>
      <c r="N48" s="757"/>
      <c r="O48" s="757"/>
      <c r="P48" s="757"/>
    </row>
    <row r="49" spans="1:7" ht="16.5">
      <c r="A49" s="765"/>
      <c r="B49" s="764"/>
      <c r="C49" s="764"/>
      <c r="D49" s="764"/>
      <c r="E49" s="764"/>
      <c r="F49" s="764"/>
      <c r="G49" s="764"/>
    </row>
    <row r="50" spans="1:7" ht="16.5">
      <c r="A50" s="716"/>
    </row>
    <row r="51" spans="1:7" ht="16.5">
      <c r="A51" s="716"/>
    </row>
    <row r="52" spans="1:7" ht="16.5">
      <c r="A52" s="716"/>
    </row>
    <row r="53" spans="1:7" ht="16.5">
      <c r="A53" s="716"/>
    </row>
    <row r="54" spans="1:7" ht="16.5">
      <c r="A54" s="716"/>
    </row>
    <row r="55" spans="1:7" ht="16.5">
      <c r="A55" s="716"/>
    </row>
    <row r="56" spans="1:7" ht="16.5">
      <c r="A56" s="716"/>
    </row>
    <row r="57" spans="1:7" ht="16.5">
      <c r="A57" s="716"/>
    </row>
    <row r="58" spans="1:7" ht="16.5">
      <c r="A58" s="716"/>
    </row>
    <row r="59" spans="1:7" ht="16.5">
      <c r="A59" s="716"/>
    </row>
  </sheetData>
  <mergeCells count="1">
    <mergeCell ref="B48:J48"/>
  </mergeCells>
  <pageMargins left="0.25" right="0.25" top="0.75" bottom="0.75" header="0.3" footer="0.3"/>
  <pageSetup scale="57"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208A1-DC6E-45B8-8968-0B5A89816E92}">
  <dimension ref="A1:X115"/>
  <sheetViews>
    <sheetView topLeftCell="A67" zoomScaleSheetLayoutView="90" workbookViewId="0">
      <selection activeCell="X76" sqref="X76"/>
    </sheetView>
  </sheetViews>
  <sheetFormatPr defaultColWidth="8.88671875" defaultRowHeight="12.75"/>
  <cols>
    <col min="1" max="1" width="6" style="163" customWidth="1"/>
    <col min="2" max="2" width="1.44140625" style="163" customWidth="1"/>
    <col min="3" max="3" width="25.6640625" style="163" customWidth="1"/>
    <col min="4" max="4" width="12" style="163" customWidth="1"/>
    <col min="5" max="5" width="13.44140625" style="163" customWidth="1"/>
    <col min="6" max="6" width="13" style="163" customWidth="1"/>
    <col min="7" max="7" width="14.44140625" style="163" customWidth="1"/>
    <col min="8" max="8" width="13.109375" style="163" customWidth="1"/>
    <col min="9" max="9" width="13.88671875" style="163" customWidth="1"/>
    <col min="10" max="10" width="12.44140625" style="163" customWidth="1"/>
    <col min="11" max="11" width="12.5546875" style="163" customWidth="1"/>
    <col min="12" max="12" width="12.6640625" style="163" customWidth="1"/>
    <col min="13" max="13" width="12" style="163" customWidth="1"/>
    <col min="14" max="14" width="8.6640625" style="163" customWidth="1"/>
    <col min="15" max="15" width="17.5546875" style="163" customWidth="1"/>
    <col min="16" max="16" width="12.88671875" style="163" customWidth="1"/>
    <col min="17" max="17" width="13.88671875" style="163" customWidth="1"/>
    <col min="18" max="18" width="12" style="163" customWidth="1"/>
    <col min="19" max="20" width="9.88671875" style="163" customWidth="1"/>
    <col min="21" max="21" width="12" style="163" customWidth="1"/>
    <col min="22" max="22" width="11.109375" style="163" customWidth="1"/>
    <col min="23" max="23" width="10.109375" style="163" customWidth="1"/>
    <col min="24" max="24" width="11.109375" style="163" customWidth="1"/>
    <col min="25" max="25" width="9" style="163" bestFit="1" customWidth="1"/>
    <col min="26" max="16384" width="8.88671875" style="163"/>
  </cols>
  <sheetData>
    <row r="1" spans="1:22">
      <c r="Q1" s="164"/>
    </row>
    <row r="2" spans="1:22">
      <c r="Q2" s="164"/>
    </row>
    <row r="4" spans="1:22">
      <c r="E4" s="165" t="s">
        <v>411</v>
      </c>
      <c r="L4" s="163" t="s">
        <v>412</v>
      </c>
      <c r="Q4" s="164"/>
    </row>
    <row r="5" spans="1:22">
      <c r="D5" s="166"/>
      <c r="E5" s="165" t="s">
        <v>413</v>
      </c>
      <c r="F5" s="166"/>
      <c r="H5" s="166"/>
      <c r="I5" s="166"/>
      <c r="J5" s="166"/>
      <c r="L5" s="1"/>
      <c r="M5" s="167"/>
      <c r="N5" s="167"/>
      <c r="O5" s="167"/>
      <c r="P5" s="167"/>
      <c r="Q5" s="167"/>
      <c r="R5" s="168"/>
      <c r="S5" s="169"/>
      <c r="T5" s="169"/>
      <c r="U5" s="169"/>
      <c r="V5" s="168"/>
    </row>
    <row r="6" spans="1:22">
      <c r="D6" s="166"/>
      <c r="E6" s="17" t="str">
        <f>+'Attachment O'!D5</f>
        <v>GridLiance Heartland LLC</v>
      </c>
      <c r="F6" s="170"/>
      <c r="H6" s="170"/>
      <c r="I6" s="170"/>
      <c r="J6" s="170"/>
      <c r="P6" s="168"/>
      <c r="Q6" s="166"/>
      <c r="R6" s="168"/>
      <c r="S6" s="171"/>
      <c r="T6" s="171"/>
      <c r="U6" s="169"/>
      <c r="V6" s="168"/>
    </row>
    <row r="7" spans="1:22">
      <c r="C7" s="168"/>
      <c r="D7" s="168"/>
      <c r="E7" s="168"/>
      <c r="F7" s="168"/>
      <c r="H7" s="168"/>
      <c r="I7" s="168"/>
      <c r="J7" s="168"/>
      <c r="P7" s="168"/>
      <c r="Q7" s="168"/>
      <c r="R7" s="168"/>
      <c r="S7" s="169"/>
      <c r="T7" s="169"/>
      <c r="U7" s="169"/>
      <c r="V7" s="168"/>
    </row>
    <row r="8" spans="1:22">
      <c r="A8" s="165"/>
      <c r="C8" s="168"/>
      <c r="D8" s="168"/>
      <c r="E8" s="168"/>
      <c r="F8" s="168"/>
      <c r="H8" s="168"/>
      <c r="I8" s="168"/>
      <c r="J8" s="168"/>
      <c r="K8" s="168"/>
      <c r="L8" s="168"/>
      <c r="M8" s="168"/>
      <c r="N8" s="168"/>
      <c r="O8" s="168"/>
      <c r="P8" s="168"/>
      <c r="Q8" s="168"/>
      <c r="R8" s="168"/>
      <c r="S8" s="169"/>
      <c r="T8" s="169"/>
      <c r="U8" s="169"/>
      <c r="V8" s="168"/>
    </row>
    <row r="9" spans="1:22">
      <c r="A9" s="165"/>
      <c r="C9" s="168"/>
      <c r="D9" s="168"/>
      <c r="E9" s="168"/>
      <c r="F9" s="168"/>
      <c r="G9" s="172"/>
      <c r="H9" s="168"/>
      <c r="I9" s="168"/>
      <c r="J9" s="168"/>
      <c r="K9" s="168"/>
      <c r="L9" s="168"/>
      <c r="M9" s="168"/>
      <c r="N9" s="168"/>
      <c r="O9" s="168"/>
      <c r="P9" s="168"/>
      <c r="Q9" s="168"/>
      <c r="R9" s="168"/>
      <c r="S9" s="169"/>
      <c r="T9" s="169"/>
      <c r="U9" s="169"/>
      <c r="V9" s="168"/>
    </row>
    <row r="10" spans="1:22">
      <c r="A10" s="35"/>
      <c r="B10" s="2"/>
      <c r="C10" s="36" t="s">
        <v>414</v>
      </c>
      <c r="D10" s="36"/>
      <c r="E10" s="36"/>
      <c r="F10" s="36"/>
      <c r="G10" s="36"/>
      <c r="H10" s="36"/>
      <c r="I10" s="36"/>
      <c r="J10" s="173"/>
      <c r="K10" s="173"/>
      <c r="L10" s="36"/>
      <c r="M10" s="168"/>
      <c r="N10" s="168"/>
      <c r="O10" s="168"/>
      <c r="P10" s="168"/>
      <c r="Q10" s="168"/>
      <c r="R10" s="168"/>
      <c r="S10" s="169"/>
      <c r="T10" s="169"/>
      <c r="U10" s="169"/>
      <c r="V10" s="168"/>
    </row>
    <row r="11" spans="1:22">
      <c r="A11" s="35"/>
      <c r="B11" s="2"/>
      <c r="C11" s="36" t="s">
        <v>415</v>
      </c>
      <c r="D11" s="36"/>
      <c r="E11" s="36"/>
      <c r="F11" s="36"/>
      <c r="G11" s="36"/>
      <c r="H11" s="36"/>
      <c r="I11" s="36"/>
      <c r="J11" s="173"/>
      <c r="K11" s="173"/>
      <c r="L11" s="2"/>
      <c r="M11" s="168"/>
      <c r="N11" s="168"/>
      <c r="O11" s="168"/>
      <c r="P11" s="168"/>
      <c r="Q11" s="168"/>
      <c r="R11" s="168"/>
      <c r="S11" s="168"/>
      <c r="T11" s="168"/>
      <c r="U11" s="168"/>
      <c r="V11" s="168"/>
    </row>
    <row r="12" spans="1:22">
      <c r="A12" s="35"/>
      <c r="B12" s="2"/>
      <c r="C12" s="36"/>
      <c r="D12" s="36"/>
      <c r="E12" s="36"/>
      <c r="F12" s="36"/>
      <c r="G12" s="36"/>
      <c r="H12" s="36"/>
      <c r="I12" s="36"/>
      <c r="J12" s="36"/>
      <c r="K12" s="36"/>
      <c r="L12" s="2"/>
      <c r="M12" s="170"/>
      <c r="N12" s="170"/>
      <c r="O12" s="170"/>
      <c r="P12" s="168"/>
      <c r="Q12" s="168"/>
      <c r="R12" s="168"/>
      <c r="S12" s="168"/>
      <c r="T12" s="168"/>
      <c r="U12" s="168"/>
      <c r="V12" s="168"/>
    </row>
    <row r="13" spans="1:22">
      <c r="A13" s="2"/>
      <c r="B13" s="2"/>
      <c r="C13" s="174" t="s">
        <v>6</v>
      </c>
      <c r="D13" s="174"/>
      <c r="E13" s="174"/>
      <c r="F13" s="174"/>
      <c r="G13" s="174" t="s">
        <v>7</v>
      </c>
      <c r="I13" s="174"/>
      <c r="J13" s="174" t="s">
        <v>8</v>
      </c>
      <c r="K13" s="174"/>
      <c r="L13" s="175" t="s">
        <v>10</v>
      </c>
      <c r="M13" s="176"/>
      <c r="N13" s="176"/>
      <c r="O13" s="176"/>
      <c r="P13" s="170"/>
      <c r="Q13" s="176"/>
      <c r="R13" s="170"/>
      <c r="S13" s="176"/>
      <c r="T13" s="176"/>
      <c r="U13" s="170"/>
      <c r="V13" s="168"/>
    </row>
    <row r="14" spans="1:22">
      <c r="A14" s="2"/>
      <c r="B14" s="2"/>
      <c r="C14" s="36"/>
      <c r="D14" s="36"/>
      <c r="E14" s="36"/>
      <c r="F14" s="36"/>
      <c r="G14" s="177" t="s">
        <v>15</v>
      </c>
      <c r="I14" s="177"/>
      <c r="J14" s="37"/>
      <c r="K14" s="37"/>
      <c r="L14" s="2"/>
      <c r="P14" s="170"/>
      <c r="R14" s="170"/>
      <c r="S14" s="178"/>
      <c r="T14" s="568"/>
      <c r="U14" s="178"/>
      <c r="V14" s="168"/>
    </row>
    <row r="15" spans="1:22">
      <c r="A15" s="35" t="s">
        <v>12</v>
      </c>
      <c r="B15" s="2"/>
      <c r="C15" s="36"/>
      <c r="D15" s="36"/>
      <c r="E15" s="36"/>
      <c r="F15" s="36"/>
      <c r="G15" s="179" t="s">
        <v>416</v>
      </c>
      <c r="I15" s="179"/>
      <c r="J15" s="180" t="s">
        <v>75</v>
      </c>
      <c r="K15" s="180"/>
      <c r="L15" s="180" t="s">
        <v>22</v>
      </c>
      <c r="M15" s="181"/>
      <c r="N15" s="181"/>
      <c r="O15" s="181"/>
      <c r="P15" s="170"/>
      <c r="R15" s="168"/>
      <c r="S15" s="182"/>
      <c r="T15" s="182"/>
      <c r="U15" s="178"/>
      <c r="V15" s="168"/>
    </row>
    <row r="16" spans="1:22">
      <c r="A16" s="35" t="s">
        <v>14</v>
      </c>
      <c r="B16" s="2"/>
      <c r="C16" s="183"/>
      <c r="D16" s="183"/>
      <c r="E16" s="183"/>
      <c r="F16" s="183"/>
      <c r="G16" s="37"/>
      <c r="I16" s="37"/>
      <c r="J16" s="37"/>
      <c r="K16" s="37"/>
      <c r="L16" s="37"/>
      <c r="M16" s="170"/>
      <c r="N16" s="170"/>
      <c r="O16" s="170"/>
      <c r="P16" s="170"/>
      <c r="Q16" s="170"/>
      <c r="R16" s="168"/>
      <c r="S16" s="170"/>
      <c r="T16" s="170"/>
      <c r="U16" s="170"/>
      <c r="V16" s="168"/>
    </row>
    <row r="17" spans="1:22">
      <c r="A17" s="184"/>
      <c r="B17" s="2"/>
      <c r="C17" s="36"/>
      <c r="D17" s="36"/>
      <c r="E17" s="36"/>
      <c r="F17" s="36"/>
      <c r="G17" s="37"/>
      <c r="I17" s="37"/>
      <c r="J17" s="37"/>
      <c r="K17" s="37"/>
      <c r="L17" s="37"/>
      <c r="M17" s="170"/>
      <c r="N17" s="170"/>
      <c r="O17" s="170"/>
      <c r="P17" s="170"/>
      <c r="Q17" s="170"/>
      <c r="R17" s="168"/>
      <c r="S17" s="170"/>
      <c r="T17" s="170"/>
      <c r="U17" s="170"/>
      <c r="V17" s="168"/>
    </row>
    <row r="18" spans="1:22">
      <c r="A18" s="185">
        <v>1</v>
      </c>
      <c r="C18" s="168" t="s">
        <v>417</v>
      </c>
      <c r="D18" s="168"/>
      <c r="E18" s="168"/>
      <c r="F18" s="168"/>
      <c r="G18" s="186" t="s">
        <v>418</v>
      </c>
      <c r="I18" s="185"/>
      <c r="J18" s="32">
        <f>+'Attachment O'!I66</f>
        <v>33130880.185128536</v>
      </c>
      <c r="L18" s="2"/>
      <c r="P18" s="170"/>
      <c r="Q18" s="170"/>
      <c r="R18" s="168"/>
      <c r="S18" s="170"/>
      <c r="T18" s="170"/>
      <c r="U18" s="170"/>
      <c r="V18" s="168"/>
    </row>
    <row r="19" spans="1:22">
      <c r="A19" s="185" t="s">
        <v>151</v>
      </c>
      <c r="C19" s="168" t="s">
        <v>419</v>
      </c>
      <c r="D19" s="168"/>
      <c r="E19" s="168"/>
      <c r="F19" s="168"/>
      <c r="G19" s="186" t="s">
        <v>420</v>
      </c>
      <c r="I19" s="185"/>
      <c r="J19" s="32">
        <f>+'Attachment O'!I74</f>
        <v>10968047.743969616</v>
      </c>
      <c r="L19" s="2"/>
      <c r="P19" s="170"/>
      <c r="Q19" s="170"/>
      <c r="R19" s="168"/>
      <c r="S19" s="170"/>
      <c r="T19" s="170"/>
      <c r="U19" s="170"/>
      <c r="V19" s="168"/>
    </row>
    <row r="20" spans="1:22">
      <c r="A20" s="185" t="s">
        <v>153</v>
      </c>
      <c r="C20" s="168" t="s">
        <v>421</v>
      </c>
      <c r="D20" s="168"/>
      <c r="E20" s="168"/>
      <c r="F20" s="168"/>
      <c r="G20" s="186" t="s">
        <v>422</v>
      </c>
      <c r="I20" s="185"/>
      <c r="J20" s="187">
        <f>+'Attachment O'!I88+'Attachment O'!I96+'Attachment O'!I97</f>
        <v>0</v>
      </c>
      <c r="L20" s="2"/>
      <c r="P20" s="170"/>
      <c r="Q20" s="170"/>
      <c r="R20" s="168"/>
      <c r="S20" s="170"/>
      <c r="T20" s="170"/>
      <c r="U20" s="170"/>
      <c r="V20" s="168"/>
    </row>
    <row r="21" spans="1:22">
      <c r="A21" s="185">
        <v>2</v>
      </c>
      <c r="C21" s="168" t="s">
        <v>423</v>
      </c>
      <c r="D21" s="168"/>
      <c r="E21" s="168"/>
      <c r="F21" s="168"/>
      <c r="G21" s="188" t="s">
        <v>424</v>
      </c>
      <c r="I21" s="185"/>
      <c r="J21" s="32">
        <f>+J18-J19+J20</f>
        <v>22162832.441158921</v>
      </c>
      <c r="L21" s="2"/>
      <c r="P21" s="170"/>
      <c r="Q21" s="170"/>
      <c r="R21" s="168"/>
      <c r="S21" s="170"/>
      <c r="T21" s="170"/>
      <c r="U21" s="170"/>
      <c r="V21" s="168"/>
    </row>
    <row r="22" spans="1:22">
      <c r="A22" s="189"/>
      <c r="B22" s="2"/>
      <c r="C22" s="2"/>
      <c r="D22" s="2"/>
      <c r="E22" s="2"/>
      <c r="F22" s="2"/>
      <c r="G22" s="188"/>
      <c r="I22" s="189"/>
      <c r="J22" s="2"/>
      <c r="K22" s="2"/>
      <c r="L22" s="2"/>
      <c r="M22" s="170"/>
      <c r="N22" s="170"/>
      <c r="O22" s="170"/>
      <c r="P22" s="170"/>
      <c r="Q22" s="170"/>
      <c r="R22" s="170"/>
      <c r="S22" s="170"/>
      <c r="T22" s="170"/>
      <c r="U22" s="170"/>
      <c r="V22" s="168"/>
    </row>
    <row r="23" spans="1:22">
      <c r="A23" s="189"/>
      <c r="B23" s="2"/>
      <c r="C23" s="36" t="s">
        <v>425</v>
      </c>
      <c r="D23" s="36"/>
      <c r="E23" s="36"/>
      <c r="F23" s="36"/>
      <c r="G23" s="188"/>
      <c r="I23" s="189"/>
      <c r="J23" s="37"/>
      <c r="K23" s="37"/>
      <c r="L23" s="37"/>
      <c r="P23" s="170"/>
      <c r="Q23" s="170"/>
      <c r="R23" s="170"/>
      <c r="S23" s="170"/>
      <c r="T23" s="170"/>
      <c r="U23" s="170"/>
      <c r="V23" s="168"/>
    </row>
    <row r="24" spans="1:22">
      <c r="A24" s="189">
        <v>3</v>
      </c>
      <c r="B24" s="2"/>
      <c r="C24" s="36" t="s">
        <v>426</v>
      </c>
      <c r="D24" s="36"/>
      <c r="E24" s="36"/>
      <c r="F24" s="36"/>
      <c r="G24" s="188" t="s">
        <v>427</v>
      </c>
      <c r="I24" s="189"/>
      <c r="J24" s="32">
        <f>+'Attachment O'!I138</f>
        <v>8621942.9138964415</v>
      </c>
      <c r="K24" s="37"/>
      <c r="L24" s="2"/>
      <c r="M24" s="190"/>
      <c r="N24" s="190"/>
      <c r="O24" s="190"/>
      <c r="P24" s="170"/>
      <c r="Q24" s="191"/>
      <c r="R24" s="192"/>
      <c r="S24" s="193"/>
      <c r="T24" s="193"/>
      <c r="U24" s="170"/>
      <c r="V24" s="168"/>
    </row>
    <row r="25" spans="1:22">
      <c r="A25" s="189" t="s">
        <v>428</v>
      </c>
      <c r="B25" s="2"/>
      <c r="C25" s="36" t="s">
        <v>429</v>
      </c>
      <c r="D25" s="36"/>
      <c r="E25" s="36"/>
      <c r="F25" s="36"/>
      <c r="G25" s="188" t="s">
        <v>430</v>
      </c>
      <c r="I25" s="189"/>
      <c r="J25" s="32">
        <f>+'Attachment O'!I122</f>
        <v>5020940.1789686512</v>
      </c>
      <c r="K25" s="37"/>
      <c r="L25" s="2"/>
      <c r="M25" s="190"/>
      <c r="N25" s="190"/>
      <c r="O25" s="190"/>
      <c r="P25" s="170"/>
      <c r="Q25" s="191"/>
      <c r="R25" s="192"/>
      <c r="S25" s="193"/>
      <c r="T25" s="193"/>
      <c r="U25" s="170"/>
      <c r="V25" s="168"/>
    </row>
    <row r="26" spans="1:22">
      <c r="A26" s="189" t="s">
        <v>431</v>
      </c>
      <c r="B26" s="2"/>
      <c r="C26" s="149" t="s">
        <v>984</v>
      </c>
      <c r="D26" s="149"/>
      <c r="E26" s="36"/>
      <c r="F26" s="36"/>
      <c r="G26" s="188" t="s">
        <v>985</v>
      </c>
      <c r="I26" s="189"/>
      <c r="J26" s="32">
        <f>+'Attachment O'!I123</f>
        <v>2477262.3662931439</v>
      </c>
      <c r="K26" s="37"/>
      <c r="L26" s="2"/>
      <c r="M26" s="170"/>
      <c r="N26" s="170"/>
      <c r="O26" s="170"/>
      <c r="P26" s="170"/>
      <c r="Q26" s="191"/>
      <c r="R26" s="192"/>
      <c r="S26" s="193"/>
      <c r="T26" s="193"/>
      <c r="U26" s="170"/>
      <c r="V26" s="168"/>
    </row>
    <row r="27" spans="1:22">
      <c r="A27" s="189" t="s">
        <v>432</v>
      </c>
      <c r="B27" s="2"/>
      <c r="C27" s="36" t="s">
        <v>433</v>
      </c>
      <c r="D27" s="36"/>
      <c r="E27" s="36"/>
      <c r="F27" s="36"/>
      <c r="G27" s="188" t="s">
        <v>434</v>
      </c>
      <c r="I27" s="189"/>
      <c r="J27" s="32">
        <f>+'Attachment O'!I125</f>
        <v>0</v>
      </c>
      <c r="K27" s="194"/>
      <c r="L27" s="2"/>
      <c r="P27" s="170"/>
      <c r="Q27" s="191"/>
      <c r="R27" s="192"/>
      <c r="S27" s="193"/>
      <c r="T27" s="193"/>
      <c r="U27" s="170"/>
      <c r="V27" s="168"/>
    </row>
    <row r="28" spans="1:22">
      <c r="A28" s="189" t="s">
        <v>435</v>
      </c>
      <c r="B28" s="2"/>
      <c r="C28" s="168" t="s">
        <v>436</v>
      </c>
      <c r="D28" s="36"/>
      <c r="E28" s="36"/>
      <c r="F28" s="36"/>
      <c r="G28" s="188" t="s">
        <v>437</v>
      </c>
      <c r="I28" s="189"/>
      <c r="J28" s="187">
        <f>+'Attachment O'!I135</f>
        <v>0</v>
      </c>
      <c r="K28" s="194"/>
      <c r="L28" s="2"/>
      <c r="P28" s="170"/>
      <c r="Q28" s="191"/>
      <c r="R28" s="192"/>
      <c r="S28" s="193"/>
      <c r="T28" s="193"/>
      <c r="U28" s="170"/>
      <c r="V28" s="168"/>
    </row>
    <row r="29" spans="1:22">
      <c r="A29" s="189" t="s">
        <v>438</v>
      </c>
      <c r="B29" s="2"/>
      <c r="C29" s="36" t="s">
        <v>439</v>
      </c>
      <c r="D29" s="36"/>
      <c r="E29" s="36"/>
      <c r="F29" s="36"/>
      <c r="G29" s="188" t="s">
        <v>440</v>
      </c>
      <c r="I29" s="189"/>
      <c r="J29" s="32">
        <f>J25-(J26+J27)-J28</f>
        <v>2543677.8126755073</v>
      </c>
      <c r="K29" s="37"/>
      <c r="L29" s="2"/>
      <c r="M29" s="190"/>
      <c r="N29" s="190"/>
      <c r="O29" s="190"/>
      <c r="P29" s="170"/>
      <c r="Q29" s="191"/>
      <c r="R29" s="192"/>
      <c r="S29" s="193"/>
      <c r="T29" s="193"/>
      <c r="U29" s="170"/>
      <c r="V29" s="168"/>
    </row>
    <row r="30" spans="1:22">
      <c r="A30" s="189"/>
      <c r="B30" s="2"/>
      <c r="C30" s="36"/>
      <c r="D30" s="36"/>
      <c r="E30" s="36"/>
      <c r="F30" s="36"/>
      <c r="G30" s="188"/>
      <c r="I30" s="189"/>
      <c r="J30" s="37"/>
      <c r="K30" s="37"/>
      <c r="L30" s="2"/>
      <c r="M30" s="190"/>
      <c r="N30" s="190"/>
      <c r="O30" s="190"/>
      <c r="P30" s="170"/>
      <c r="Q30" s="191"/>
      <c r="R30" s="192"/>
      <c r="S30" s="193"/>
      <c r="T30" s="193"/>
      <c r="U30" s="170"/>
      <c r="V30" s="168"/>
    </row>
    <row r="31" spans="1:22">
      <c r="A31" s="189">
        <v>4</v>
      </c>
      <c r="B31" s="2"/>
      <c r="C31" s="183" t="s">
        <v>441</v>
      </c>
      <c r="D31" s="183"/>
      <c r="E31" s="183"/>
      <c r="F31" s="183"/>
      <c r="G31" s="188" t="s">
        <v>442</v>
      </c>
      <c r="I31" s="189"/>
      <c r="J31" s="195">
        <f>IF(J18=0,0,J29/J18)</f>
        <v>7.6776644582394415E-2</v>
      </c>
      <c r="K31" s="195"/>
      <c r="L31" s="195">
        <f>J31</f>
        <v>7.6776644582394415E-2</v>
      </c>
      <c r="M31" s="170"/>
      <c r="N31" s="170"/>
      <c r="O31" s="170"/>
      <c r="P31" s="170"/>
      <c r="Q31" s="170"/>
      <c r="R31" s="170"/>
      <c r="S31" s="170"/>
      <c r="T31" s="170"/>
      <c r="U31" s="170"/>
      <c r="V31" s="168"/>
    </row>
    <row r="32" spans="1:22">
      <c r="A32" s="189"/>
      <c r="B32" s="2"/>
      <c r="C32" s="36"/>
      <c r="D32" s="36"/>
      <c r="E32" s="36"/>
      <c r="F32" s="36"/>
      <c r="G32" s="188"/>
      <c r="I32" s="189"/>
      <c r="J32" s="21"/>
      <c r="K32" s="21"/>
      <c r="L32" s="21"/>
      <c r="P32" s="170"/>
      <c r="Q32" s="182"/>
      <c r="R32" s="170"/>
      <c r="S32" s="185"/>
      <c r="T32" s="567"/>
      <c r="U32" s="178"/>
      <c r="V32" s="168"/>
    </row>
    <row r="33" spans="1:22">
      <c r="A33" s="189"/>
      <c r="B33" s="2"/>
      <c r="C33" s="36"/>
      <c r="D33" s="36"/>
      <c r="E33" s="36"/>
      <c r="F33" s="36"/>
      <c r="G33" s="188"/>
      <c r="I33" s="189"/>
      <c r="J33" s="21"/>
      <c r="K33" s="21"/>
      <c r="L33" s="21"/>
      <c r="M33" s="190"/>
      <c r="N33" s="190"/>
      <c r="O33" s="190"/>
      <c r="P33" s="170"/>
      <c r="Q33" s="191"/>
      <c r="R33" s="170"/>
      <c r="S33" s="193"/>
      <c r="T33" s="193"/>
      <c r="U33" s="178"/>
      <c r="V33" s="168"/>
    </row>
    <row r="34" spans="1:22">
      <c r="A34" s="189"/>
      <c r="B34" s="2"/>
      <c r="C34" s="36" t="s">
        <v>443</v>
      </c>
      <c r="D34" s="36"/>
      <c r="E34" s="36"/>
      <c r="F34" s="36"/>
      <c r="G34" s="188"/>
      <c r="I34" s="189"/>
      <c r="J34" s="21"/>
      <c r="K34" s="21"/>
      <c r="L34" s="21"/>
      <c r="M34" s="170"/>
      <c r="N34" s="170"/>
      <c r="O34" s="170"/>
      <c r="P34" s="170"/>
      <c r="U34" s="170"/>
      <c r="V34" s="168"/>
    </row>
    <row r="35" spans="1:22">
      <c r="A35" s="189" t="s">
        <v>444</v>
      </c>
      <c r="B35" s="2"/>
      <c r="C35" s="36" t="s">
        <v>445</v>
      </c>
      <c r="D35" s="36"/>
      <c r="E35" s="36"/>
      <c r="F35" s="36"/>
      <c r="G35" s="188" t="s">
        <v>446</v>
      </c>
      <c r="I35" s="189"/>
      <c r="J35" s="32">
        <f>+J24-J29</f>
        <v>6078265.1012209337</v>
      </c>
      <c r="K35" s="21"/>
      <c r="L35" s="21"/>
      <c r="M35" s="170"/>
      <c r="N35" s="170"/>
      <c r="O35" s="170"/>
      <c r="P35" s="170"/>
      <c r="U35" s="170"/>
      <c r="V35" s="168"/>
    </row>
    <row r="36" spans="1:22">
      <c r="A36" s="189" t="s">
        <v>447</v>
      </c>
      <c r="B36" s="2"/>
      <c r="C36" s="36" t="s">
        <v>448</v>
      </c>
      <c r="D36" s="36"/>
      <c r="E36" s="36"/>
      <c r="F36" s="36"/>
      <c r="G36" s="188" t="s">
        <v>449</v>
      </c>
      <c r="I36" s="189"/>
      <c r="J36" s="21">
        <f>IF(J18=0,0,J35/J18)</f>
        <v>0.18346222820694288</v>
      </c>
      <c r="K36" s="21"/>
      <c r="L36" s="21">
        <f>J36</f>
        <v>0.18346222820694288</v>
      </c>
      <c r="M36" s="170"/>
      <c r="N36" s="170"/>
      <c r="O36" s="170"/>
      <c r="P36" s="170"/>
      <c r="U36" s="170"/>
      <c r="V36" s="168"/>
    </row>
    <row r="37" spans="1:22">
      <c r="A37" s="189"/>
      <c r="B37" s="2"/>
      <c r="C37" s="36"/>
      <c r="D37" s="36"/>
      <c r="E37" s="36"/>
      <c r="F37" s="36"/>
      <c r="G37" s="188"/>
      <c r="I37" s="189"/>
      <c r="J37" s="21"/>
      <c r="K37" s="21"/>
      <c r="L37" s="21"/>
      <c r="M37" s="170"/>
      <c r="N37" s="170"/>
      <c r="O37" s="170"/>
      <c r="P37" s="170"/>
      <c r="U37" s="170"/>
      <c r="V37" s="168"/>
    </row>
    <row r="38" spans="1:22">
      <c r="A38" s="175"/>
      <c r="B38" s="2"/>
      <c r="C38" s="36" t="s">
        <v>450</v>
      </c>
      <c r="D38" s="36"/>
      <c r="E38" s="36"/>
      <c r="F38" s="36"/>
      <c r="G38" s="196"/>
      <c r="I38" s="14"/>
      <c r="J38" s="21"/>
      <c r="K38" s="21"/>
      <c r="L38" s="21"/>
      <c r="M38" s="197"/>
      <c r="N38" s="197"/>
      <c r="O38" s="197"/>
      <c r="P38" s="170"/>
      <c r="U38" s="170"/>
      <c r="V38" s="168"/>
    </row>
    <row r="39" spans="1:22">
      <c r="A39" s="175" t="s">
        <v>451</v>
      </c>
      <c r="B39" s="2"/>
      <c r="C39" s="36" t="s">
        <v>452</v>
      </c>
      <c r="D39" s="36"/>
      <c r="E39" s="36"/>
      <c r="F39" s="36"/>
      <c r="G39" s="188" t="s">
        <v>453</v>
      </c>
      <c r="I39" s="189"/>
      <c r="J39" s="21">
        <f>+'Attachment O'!I142+'Attachment O'!I143</f>
        <v>0</v>
      </c>
      <c r="K39" s="21"/>
      <c r="L39" s="21"/>
      <c r="M39" s="170"/>
      <c r="N39" s="170"/>
      <c r="O39" s="170"/>
      <c r="P39" s="170"/>
      <c r="Q39" s="170"/>
      <c r="R39" s="170"/>
      <c r="S39" s="198"/>
      <c r="T39" s="198"/>
      <c r="U39" s="170"/>
      <c r="V39" s="168"/>
    </row>
    <row r="40" spans="1:22">
      <c r="A40" s="175" t="s">
        <v>454</v>
      </c>
      <c r="B40" s="2"/>
      <c r="C40" s="36" t="s">
        <v>455</v>
      </c>
      <c r="D40" s="36"/>
      <c r="E40" s="36"/>
      <c r="F40" s="36"/>
      <c r="G40" s="188" t="s">
        <v>456</v>
      </c>
      <c r="I40" s="189"/>
      <c r="J40" s="21">
        <f>IF(J18=0,0,J39/J18)</f>
        <v>0</v>
      </c>
      <c r="K40" s="21"/>
      <c r="L40" s="21">
        <f>J40</f>
        <v>0</v>
      </c>
      <c r="M40" s="170"/>
      <c r="N40" s="170"/>
      <c r="O40" s="170"/>
      <c r="P40" s="199"/>
      <c r="Q40" s="200"/>
      <c r="U40" s="178"/>
      <c r="V40" s="170" t="s">
        <v>9</v>
      </c>
    </row>
    <row r="41" spans="1:22">
      <c r="A41" s="189"/>
      <c r="B41" s="2"/>
      <c r="C41" s="36"/>
      <c r="D41" s="36"/>
      <c r="E41" s="36"/>
      <c r="F41" s="36"/>
      <c r="G41" s="188"/>
      <c r="I41" s="189"/>
      <c r="J41" s="21"/>
      <c r="K41" s="21"/>
      <c r="L41" s="21"/>
      <c r="M41" s="170"/>
      <c r="N41" s="170"/>
      <c r="O41" s="170"/>
      <c r="P41" s="199"/>
      <c r="Q41" s="200"/>
      <c r="U41" s="178"/>
      <c r="V41" s="170"/>
    </row>
    <row r="42" spans="1:22">
      <c r="A42" s="175"/>
      <c r="B42" s="2"/>
      <c r="C42" s="36" t="s">
        <v>457</v>
      </c>
      <c r="D42" s="36"/>
      <c r="E42" s="36"/>
      <c r="F42" s="36"/>
      <c r="G42" s="196"/>
      <c r="I42" s="14"/>
      <c r="J42" s="21"/>
      <c r="K42" s="21"/>
      <c r="L42" s="21"/>
      <c r="M42" s="190"/>
      <c r="N42" s="190"/>
      <c r="O42" s="190"/>
      <c r="P42" s="199"/>
      <c r="Q42" s="200"/>
      <c r="R42" s="170"/>
      <c r="S42" s="170"/>
      <c r="T42" s="170"/>
      <c r="U42" s="178"/>
      <c r="V42" s="170"/>
    </row>
    <row r="43" spans="1:22">
      <c r="A43" s="175" t="s">
        <v>458</v>
      </c>
      <c r="B43" s="2"/>
      <c r="C43" s="36" t="s">
        <v>459</v>
      </c>
      <c r="D43" s="36"/>
      <c r="E43" s="36"/>
      <c r="F43" s="36"/>
      <c r="G43" s="188" t="s">
        <v>460</v>
      </c>
      <c r="I43" s="189"/>
      <c r="J43" s="32">
        <f>+'Attachment O'!I156</f>
        <v>116892.83537272652</v>
      </c>
      <c r="K43" s="21"/>
      <c r="L43" s="21"/>
      <c r="M43" s="170"/>
      <c r="N43" s="170"/>
      <c r="O43" s="170"/>
      <c r="P43" s="170"/>
      <c r="R43" s="168"/>
      <c r="S43" s="170"/>
      <c r="T43" s="170"/>
      <c r="U43" s="168"/>
      <c r="V43" s="168"/>
    </row>
    <row r="44" spans="1:22">
      <c r="A44" s="175" t="s">
        <v>461</v>
      </c>
      <c r="B44" s="2"/>
      <c r="C44" s="36" t="s">
        <v>462</v>
      </c>
      <c r="D44" s="36"/>
      <c r="E44" s="36"/>
      <c r="F44" s="36"/>
      <c r="G44" s="188" t="s">
        <v>463</v>
      </c>
      <c r="I44" s="189"/>
      <c r="J44" s="21">
        <f>IF(J18=0,0,J43/J18)</f>
        <v>3.5282140021500614E-3</v>
      </c>
      <c r="K44" s="21"/>
      <c r="L44" s="21">
        <f>J44</f>
        <v>3.5282140021500614E-3</v>
      </c>
      <c r="P44" s="170"/>
      <c r="R44" s="170"/>
      <c r="S44" s="170"/>
      <c r="T44" s="170"/>
      <c r="U44" s="170"/>
      <c r="V44" s="168"/>
    </row>
    <row r="45" spans="1:22">
      <c r="A45" s="175"/>
      <c r="B45" s="2"/>
      <c r="C45" s="36"/>
      <c r="D45" s="36"/>
      <c r="E45" s="36"/>
      <c r="F45" s="36"/>
      <c r="G45" s="188"/>
      <c r="I45" s="189"/>
      <c r="J45" s="21"/>
      <c r="K45" s="21"/>
      <c r="L45" s="21"/>
      <c r="M45" s="170"/>
      <c r="N45" s="170"/>
      <c r="O45" s="170"/>
      <c r="P45" s="170"/>
      <c r="R45" s="170"/>
      <c r="S45" s="170"/>
      <c r="T45" s="170"/>
      <c r="U45" s="170"/>
      <c r="V45" s="168"/>
    </row>
    <row r="46" spans="1:22">
      <c r="A46" s="201" t="s">
        <v>464</v>
      </c>
      <c r="B46" s="202"/>
      <c r="C46" s="183" t="s">
        <v>465</v>
      </c>
      <c r="D46" s="183"/>
      <c r="E46" s="183"/>
      <c r="F46" s="183"/>
      <c r="G46" s="203" t="s">
        <v>466</v>
      </c>
      <c r="I46" s="177"/>
      <c r="J46" s="195">
        <f>J36+J40+J44</f>
        <v>0.18699044220909294</v>
      </c>
      <c r="K46" s="195"/>
      <c r="L46" s="195">
        <f>L36+L40+L44</f>
        <v>0.18699044220909294</v>
      </c>
      <c r="M46" s="190"/>
      <c r="N46" s="190"/>
      <c r="O46" s="190"/>
      <c r="P46" s="170"/>
      <c r="S46" s="204"/>
      <c r="T46" s="204"/>
      <c r="U46" s="178"/>
      <c r="V46" s="170"/>
    </row>
    <row r="47" spans="1:22">
      <c r="A47" s="175"/>
      <c r="B47" s="2"/>
      <c r="C47" s="36"/>
      <c r="D47" s="36"/>
      <c r="E47" s="36"/>
      <c r="F47" s="36"/>
      <c r="G47" s="188"/>
      <c r="I47" s="189"/>
      <c r="J47" s="21"/>
      <c r="K47" s="21"/>
      <c r="L47" s="21"/>
      <c r="M47" s="170"/>
      <c r="N47" s="170"/>
      <c r="O47" s="170"/>
      <c r="P47" s="170"/>
      <c r="Q47" s="205"/>
      <c r="R47" s="170"/>
      <c r="S47" s="170"/>
      <c r="T47" s="170"/>
      <c r="U47" s="170"/>
      <c r="V47" s="168"/>
    </row>
    <row r="48" spans="1:22">
      <c r="A48" s="175"/>
      <c r="B48" s="28"/>
      <c r="C48" s="37" t="s">
        <v>467</v>
      </c>
      <c r="D48" s="37"/>
      <c r="E48" s="37"/>
      <c r="F48" s="37"/>
      <c r="G48" s="188"/>
      <c r="I48" s="189"/>
      <c r="J48" s="21"/>
      <c r="K48" s="21"/>
      <c r="L48" s="21"/>
      <c r="M48" s="197"/>
      <c r="N48" s="197"/>
      <c r="O48" s="197"/>
      <c r="P48" s="170"/>
      <c r="Q48" s="205"/>
      <c r="R48" s="170"/>
      <c r="S48" s="170"/>
      <c r="T48" s="170"/>
      <c r="U48" s="170"/>
      <c r="V48" s="168"/>
    </row>
    <row r="49" spans="1:24">
      <c r="A49" s="175" t="s">
        <v>468</v>
      </c>
      <c r="B49" s="28"/>
      <c r="C49" s="37" t="s">
        <v>333</v>
      </c>
      <c r="D49" s="37"/>
      <c r="E49" s="37"/>
      <c r="F49" s="37"/>
      <c r="G49" s="188" t="s">
        <v>469</v>
      </c>
      <c r="I49" s="189"/>
      <c r="J49" s="32">
        <f>+'Attachment O'!I171</f>
        <v>162730.75706934097</v>
      </c>
      <c r="K49" s="21"/>
      <c r="L49" s="21"/>
      <c r="P49" s="206"/>
      <c r="Q49" s="206"/>
      <c r="R49" s="170"/>
      <c r="S49" s="170"/>
      <c r="T49" s="170"/>
      <c r="U49" s="170"/>
      <c r="V49" s="168"/>
    </row>
    <row r="50" spans="1:24">
      <c r="A50" s="175" t="s">
        <v>470</v>
      </c>
      <c r="B50" s="28"/>
      <c r="C50" s="37" t="s">
        <v>471</v>
      </c>
      <c r="D50" s="37"/>
      <c r="E50" s="37"/>
      <c r="F50" s="37"/>
      <c r="G50" s="188" t="s">
        <v>472</v>
      </c>
      <c r="I50" s="189"/>
      <c r="J50" s="21">
        <f>IF(J21=0,0,J49/J21)</f>
        <v>7.342507213434114E-3</v>
      </c>
      <c r="K50" s="21"/>
      <c r="L50" s="21">
        <f>J50</f>
        <v>7.342507213434114E-3</v>
      </c>
      <c r="P50" s="206"/>
      <c r="Q50" s="206"/>
      <c r="R50" s="170"/>
      <c r="S50" s="170"/>
      <c r="T50" s="170"/>
      <c r="U50" s="170"/>
      <c r="V50" s="168"/>
    </row>
    <row r="51" spans="1:24">
      <c r="A51" s="175"/>
      <c r="B51" s="2"/>
      <c r="C51" s="37"/>
      <c r="D51" s="37"/>
      <c r="E51" s="37"/>
      <c r="F51" s="37"/>
      <c r="G51" s="188"/>
      <c r="I51" s="189"/>
      <c r="J51" s="21"/>
      <c r="K51" s="21"/>
      <c r="L51" s="21"/>
      <c r="P51" s="206"/>
      <c r="Q51" s="206"/>
      <c r="R51" s="170"/>
      <c r="S51" s="170"/>
      <c r="T51" s="170"/>
      <c r="U51" s="170"/>
      <c r="V51" s="168"/>
    </row>
    <row r="52" spans="1:24">
      <c r="A52" s="175"/>
      <c r="B52" s="2"/>
      <c r="C52" s="36" t="s">
        <v>237</v>
      </c>
      <c r="D52" s="36"/>
      <c r="E52" s="36"/>
      <c r="F52" s="36"/>
      <c r="G52" s="207"/>
      <c r="I52" s="208"/>
      <c r="J52" s="21"/>
      <c r="K52" s="21"/>
      <c r="L52" s="21"/>
      <c r="P52" s="206"/>
      <c r="Q52" s="206"/>
      <c r="R52" s="170"/>
      <c r="S52" s="170"/>
      <c r="T52" s="170"/>
      <c r="U52" s="170"/>
      <c r="V52" s="168"/>
    </row>
    <row r="53" spans="1:24">
      <c r="A53" s="175" t="s">
        <v>473</v>
      </c>
      <c r="B53" s="2"/>
      <c r="C53" s="36" t="s">
        <v>474</v>
      </c>
      <c r="D53" s="36"/>
      <c r="E53" s="36"/>
      <c r="F53" s="36"/>
      <c r="G53" s="188" t="s">
        <v>475</v>
      </c>
      <c r="I53" s="189"/>
      <c r="J53" s="32">
        <f>+'Attachment O'!I174</f>
        <v>1683103.0631558518</v>
      </c>
      <c r="K53" s="21"/>
      <c r="L53" s="21"/>
      <c r="P53" s="206"/>
      <c r="Q53" s="206"/>
      <c r="R53" s="170"/>
      <c r="S53" s="170"/>
      <c r="T53" s="170"/>
      <c r="U53" s="170"/>
      <c r="V53" s="168"/>
    </row>
    <row r="54" spans="1:24">
      <c r="A54" s="175" t="s">
        <v>476</v>
      </c>
      <c r="B54" s="28"/>
      <c r="C54" s="37" t="s">
        <v>477</v>
      </c>
      <c r="D54" s="37"/>
      <c r="E54" s="37"/>
      <c r="F54" s="37"/>
      <c r="G54" s="188" t="s">
        <v>478</v>
      </c>
      <c r="I54" s="189"/>
      <c r="J54" s="21">
        <f>IF(J21=0,0,J53/J21)</f>
        <v>7.5942597482717797E-2</v>
      </c>
      <c r="K54" s="21"/>
      <c r="L54" s="21">
        <f>J54</f>
        <v>7.5942597482717797E-2</v>
      </c>
      <c r="P54" s="206"/>
      <c r="Q54" s="206"/>
      <c r="R54" s="170"/>
      <c r="S54" s="170"/>
      <c r="T54" s="170"/>
      <c r="U54" s="170"/>
      <c r="V54" s="168"/>
    </row>
    <row r="55" spans="1:24">
      <c r="A55" s="175"/>
      <c r="B55" s="2"/>
      <c r="C55" s="36"/>
      <c r="D55" s="36"/>
      <c r="E55" s="36"/>
      <c r="F55" s="36"/>
      <c r="G55" s="188"/>
      <c r="I55" s="189"/>
      <c r="J55" s="21"/>
      <c r="K55" s="21"/>
      <c r="L55" s="21"/>
      <c r="P55" s="206"/>
      <c r="Q55" s="206"/>
      <c r="R55" s="170"/>
      <c r="S55" s="170"/>
      <c r="T55" s="170"/>
      <c r="U55" s="170"/>
      <c r="V55" s="168"/>
    </row>
    <row r="56" spans="1:24">
      <c r="A56" s="201" t="s">
        <v>479</v>
      </c>
      <c r="B56" s="202"/>
      <c r="C56" s="183" t="s">
        <v>480</v>
      </c>
      <c r="D56" s="183"/>
      <c r="E56" s="183"/>
      <c r="F56" s="183"/>
      <c r="G56" s="203" t="s">
        <v>481</v>
      </c>
      <c r="I56" s="177"/>
      <c r="J56" s="195"/>
      <c r="K56" s="195"/>
      <c r="L56" s="195">
        <f>L50+L54</f>
        <v>8.3285104696151913E-2</v>
      </c>
      <c r="P56" s="206"/>
      <c r="Q56" s="206"/>
      <c r="R56" s="170"/>
      <c r="S56" s="170"/>
      <c r="T56" s="170"/>
      <c r="U56" s="170"/>
      <c r="V56" s="168"/>
    </row>
    <row r="57" spans="1:24">
      <c r="J57" s="21"/>
      <c r="K57" s="21"/>
      <c r="L57" s="21"/>
      <c r="P57" s="206"/>
      <c r="Q57" s="206"/>
      <c r="R57" s="170"/>
      <c r="S57" s="170"/>
      <c r="T57" s="170"/>
      <c r="U57" s="170"/>
      <c r="V57" s="168"/>
    </row>
    <row r="58" spans="1:24">
      <c r="J58" s="21"/>
      <c r="K58" s="21"/>
      <c r="L58" s="21"/>
      <c r="P58" s="206"/>
      <c r="Q58" s="206"/>
      <c r="R58" s="170"/>
      <c r="S58" s="170"/>
      <c r="T58" s="170"/>
      <c r="U58" s="170"/>
      <c r="V58" s="168"/>
    </row>
    <row r="59" spans="1:24">
      <c r="A59" s="209"/>
      <c r="C59" s="176"/>
      <c r="D59" s="176"/>
      <c r="E59" s="210"/>
      <c r="F59" s="210"/>
      <c r="G59" s="170"/>
      <c r="J59" s="211"/>
      <c r="P59" s="170"/>
      <c r="Q59" s="191"/>
      <c r="R59" s="167"/>
      <c r="S59" s="170"/>
      <c r="T59" s="170"/>
      <c r="U59" s="185"/>
      <c r="V59" s="170"/>
    </row>
    <row r="60" spans="1:24">
      <c r="A60" s="165"/>
      <c r="G60" s="170"/>
      <c r="P60" s="170"/>
      <c r="Q60" s="170"/>
      <c r="R60" s="170"/>
      <c r="S60" s="170"/>
      <c r="T60" s="170"/>
      <c r="U60" s="178"/>
      <c r="V60" s="170" t="s">
        <v>9</v>
      </c>
    </row>
    <row r="61" spans="1:24">
      <c r="Q61" s="164"/>
    </row>
    <row r="62" spans="1:24">
      <c r="L62" s="163" t="s">
        <v>482</v>
      </c>
      <c r="Q62" s="164"/>
      <c r="X62" s="163" t="s">
        <v>483</v>
      </c>
    </row>
    <row r="63" spans="1:24">
      <c r="F63" s="210" t="str">
        <f>E4</f>
        <v>Attachment 1 (Note J)</v>
      </c>
      <c r="Q63" s="210" t="str">
        <f t="shared" ref="Q63:Q65" si="0">F63</f>
        <v>Attachment 1 (Note J)</v>
      </c>
    </row>
    <row r="64" spans="1:24">
      <c r="A64" s="165"/>
      <c r="F64" s="210" t="str">
        <f>E5</f>
        <v>Project Revenue Requirement Worksheet</v>
      </c>
      <c r="G64" s="170"/>
      <c r="H64" s="210"/>
      <c r="P64" s="170"/>
      <c r="Q64" s="210" t="str">
        <f t="shared" si="0"/>
        <v>Project Revenue Requirement Worksheet</v>
      </c>
      <c r="R64" s="170"/>
      <c r="S64" s="168"/>
      <c r="T64" s="168"/>
      <c r="U64" s="170"/>
      <c r="V64" s="168"/>
    </row>
    <row r="65" spans="1:24">
      <c r="A65" s="165"/>
      <c r="D65" s="168"/>
      <c r="F65" s="178" t="str">
        <f>E6</f>
        <v>GridLiance Heartland LLC</v>
      </c>
      <c r="P65" s="170"/>
      <c r="Q65" s="210" t="str">
        <f t="shared" si="0"/>
        <v>GridLiance Heartland LLC</v>
      </c>
      <c r="R65" s="170"/>
      <c r="S65" s="168"/>
      <c r="T65" s="168"/>
      <c r="U65" s="170"/>
      <c r="V65" s="168"/>
    </row>
    <row r="66" spans="1:24">
      <c r="A66" s="165"/>
      <c r="C66" s="168"/>
      <c r="D66" s="168"/>
      <c r="M66" s="170"/>
      <c r="N66" s="170"/>
      <c r="O66" s="170"/>
      <c r="P66" s="170"/>
      <c r="R66" s="170"/>
      <c r="S66" s="168"/>
      <c r="T66" s="168"/>
      <c r="U66" s="170"/>
      <c r="V66" s="168"/>
    </row>
    <row r="67" spans="1:24" ht="14.25" customHeight="1">
      <c r="A67" s="165"/>
      <c r="P67" s="170"/>
      <c r="R67" s="170"/>
      <c r="S67" s="168"/>
      <c r="T67" s="168"/>
      <c r="U67" s="170"/>
      <c r="V67" s="168"/>
    </row>
    <row r="68" spans="1:24">
      <c r="A68" s="165"/>
      <c r="H68" s="210"/>
      <c r="P68" s="170"/>
      <c r="Q68" s="170"/>
      <c r="R68" s="170"/>
      <c r="S68" s="168"/>
      <c r="T68" s="168"/>
      <c r="U68" s="170"/>
      <c r="V68" s="168"/>
    </row>
    <row r="69" spans="1:24">
      <c r="A69" s="165"/>
      <c r="E69" s="168"/>
      <c r="F69" s="168"/>
      <c r="G69" s="168"/>
      <c r="H69" s="168"/>
      <c r="I69" s="168"/>
      <c r="J69" s="168"/>
      <c r="K69" s="168"/>
      <c r="L69" s="168"/>
      <c r="M69" s="168"/>
      <c r="N69" s="168"/>
      <c r="O69" s="168"/>
      <c r="P69" s="168"/>
      <c r="Q69" s="168"/>
      <c r="R69" s="170"/>
      <c r="S69" s="168"/>
      <c r="T69" s="168"/>
      <c r="U69" s="170"/>
      <c r="V69" s="168"/>
    </row>
    <row r="70" spans="1:24">
      <c r="A70" s="165"/>
      <c r="E70" s="212"/>
      <c r="F70" s="212"/>
      <c r="H70" s="168"/>
      <c r="I70" s="168"/>
      <c r="J70" s="168"/>
      <c r="K70" s="168"/>
      <c r="L70" s="168"/>
      <c r="M70" s="168"/>
      <c r="N70" s="168"/>
      <c r="O70" s="168"/>
      <c r="P70" s="170"/>
      <c r="Q70" s="170"/>
      <c r="R70" s="170"/>
      <c r="S70" s="168"/>
      <c r="T70" s="168"/>
      <c r="U70" s="170"/>
      <c r="V70" s="168"/>
    </row>
    <row r="71" spans="1:24" s="213" customFormat="1">
      <c r="A71" s="165"/>
      <c r="B71" s="163"/>
      <c r="C71" s="163"/>
      <c r="D71" s="163"/>
      <c r="E71" s="212"/>
      <c r="F71" s="212"/>
      <c r="G71" s="163"/>
      <c r="H71" s="168"/>
      <c r="I71" s="168"/>
      <c r="J71" s="168"/>
      <c r="K71" s="168"/>
      <c r="L71" s="168"/>
      <c r="M71" s="168"/>
      <c r="N71" s="168"/>
      <c r="O71" s="168"/>
      <c r="P71" s="170"/>
      <c r="Q71" s="170"/>
      <c r="R71" s="170"/>
      <c r="S71" s="168"/>
      <c r="T71" s="168"/>
      <c r="U71" s="170"/>
      <c r="V71" s="168"/>
      <c r="W71" s="163"/>
      <c r="X71" s="163"/>
    </row>
    <row r="72" spans="1:24" s="213" customFormat="1">
      <c r="A72" s="165"/>
      <c r="B72" s="163"/>
      <c r="C72" s="214">
        <v>-1</v>
      </c>
      <c r="D72" s="214">
        <v>-2</v>
      </c>
      <c r="E72" s="214">
        <v>-3</v>
      </c>
      <c r="F72" s="214">
        <v>-4</v>
      </c>
      <c r="G72" s="214">
        <v>-5</v>
      </c>
      <c r="H72" s="214">
        <v>-6</v>
      </c>
      <c r="I72" s="214">
        <v>-7</v>
      </c>
      <c r="J72" s="214">
        <v>-8</v>
      </c>
      <c r="K72" s="214">
        <v>-9</v>
      </c>
      <c r="L72" s="214">
        <v>-10</v>
      </c>
      <c r="M72" s="214">
        <v>-11</v>
      </c>
      <c r="N72" s="214">
        <v>-12</v>
      </c>
      <c r="O72" s="214">
        <v>-13</v>
      </c>
      <c r="P72" s="215" t="s">
        <v>484</v>
      </c>
      <c r="Q72" s="215" t="s">
        <v>485</v>
      </c>
      <c r="R72" s="215" t="s">
        <v>486</v>
      </c>
      <c r="S72" s="215" t="s">
        <v>487</v>
      </c>
      <c r="T72" s="585" t="s">
        <v>1012</v>
      </c>
      <c r="U72" s="215" t="s">
        <v>488</v>
      </c>
      <c r="V72" s="215" t="s">
        <v>489</v>
      </c>
      <c r="W72" s="215" t="s">
        <v>490</v>
      </c>
      <c r="X72" s="215" t="s">
        <v>491</v>
      </c>
    </row>
    <row r="73" spans="1:24" s="213" customFormat="1" ht="67.5" customHeight="1">
      <c r="A73" s="216" t="s">
        <v>492</v>
      </c>
      <c r="B73" s="217"/>
      <c r="C73" s="217" t="s">
        <v>493</v>
      </c>
      <c r="D73" s="218" t="s">
        <v>494</v>
      </c>
      <c r="E73" s="219" t="s">
        <v>495</v>
      </c>
      <c r="F73" s="218" t="s">
        <v>496</v>
      </c>
      <c r="G73" s="220" t="s">
        <v>497</v>
      </c>
      <c r="H73" s="221" t="s">
        <v>498</v>
      </c>
      <c r="I73" s="221" t="s">
        <v>465</v>
      </c>
      <c r="J73" s="222" t="s">
        <v>499</v>
      </c>
      <c r="K73" s="223" t="s">
        <v>500</v>
      </c>
      <c r="L73" s="224" t="s">
        <v>501</v>
      </c>
      <c r="M73" s="224" t="s">
        <v>480</v>
      </c>
      <c r="N73" s="223" t="s">
        <v>502</v>
      </c>
      <c r="O73" s="224" t="s">
        <v>503</v>
      </c>
      <c r="P73" s="225" t="s">
        <v>504</v>
      </c>
      <c r="Q73" s="225" t="s">
        <v>505</v>
      </c>
      <c r="R73" s="225" t="s">
        <v>506</v>
      </c>
      <c r="S73" s="225" t="s">
        <v>507</v>
      </c>
      <c r="T73" s="586" t="s">
        <v>1013</v>
      </c>
      <c r="U73" s="225" t="s">
        <v>508</v>
      </c>
      <c r="V73" s="225" t="s">
        <v>509</v>
      </c>
      <c r="W73" s="225" t="s">
        <v>510</v>
      </c>
      <c r="X73" s="225" t="s">
        <v>511</v>
      </c>
    </row>
    <row r="74" spans="1:24" s="213" customFormat="1" ht="38.25">
      <c r="A74" s="226">
        <v>15</v>
      </c>
      <c r="B74" s="227"/>
      <c r="C74" s="228"/>
      <c r="D74" s="228"/>
      <c r="E74" s="229" t="s">
        <v>47</v>
      </c>
      <c r="F74" s="230"/>
      <c r="G74" s="229" t="s">
        <v>512</v>
      </c>
      <c r="H74" s="230" t="s">
        <v>513</v>
      </c>
      <c r="I74" s="230" t="s">
        <v>514</v>
      </c>
      <c r="J74" s="231" t="s">
        <v>515</v>
      </c>
      <c r="K74" s="232" t="s">
        <v>516</v>
      </c>
      <c r="L74" s="229" t="s">
        <v>49</v>
      </c>
      <c r="M74" s="229" t="s">
        <v>979</v>
      </c>
      <c r="N74" s="232" t="s">
        <v>517</v>
      </c>
      <c r="O74" s="229" t="s">
        <v>518</v>
      </c>
      <c r="P74" s="232" t="s">
        <v>519</v>
      </c>
      <c r="Q74" s="229" t="s">
        <v>520</v>
      </c>
      <c r="R74" s="233" t="s">
        <v>521</v>
      </c>
      <c r="S74" s="234" t="s">
        <v>522</v>
      </c>
      <c r="T74" s="587" t="s">
        <v>1015</v>
      </c>
      <c r="U74" s="232" t="s">
        <v>523</v>
      </c>
      <c r="V74" s="587" t="s">
        <v>1014</v>
      </c>
      <c r="W74" s="235" t="s">
        <v>524</v>
      </c>
      <c r="X74" s="234" t="s">
        <v>525</v>
      </c>
    </row>
    <row r="75" spans="1:24" s="213" customFormat="1">
      <c r="A75" s="236"/>
      <c r="B75" s="237"/>
      <c r="C75" s="237"/>
      <c r="D75" s="237"/>
      <c r="E75" s="237"/>
      <c r="F75" s="238"/>
      <c r="G75" s="237"/>
      <c r="H75" s="238"/>
      <c r="I75" s="238"/>
      <c r="J75" s="238"/>
      <c r="K75" s="239"/>
      <c r="L75" s="237"/>
      <c r="M75" s="237"/>
      <c r="N75" s="239"/>
      <c r="O75" s="237"/>
      <c r="P75" s="239"/>
      <c r="Q75" s="239"/>
      <c r="R75" s="237"/>
      <c r="S75" s="239"/>
      <c r="T75" s="588"/>
      <c r="U75" s="239"/>
      <c r="V75" s="588"/>
      <c r="W75" s="240"/>
      <c r="X75" s="241"/>
    </row>
    <row r="76" spans="1:24" s="213" customFormat="1">
      <c r="A76" s="242" t="s">
        <v>526</v>
      </c>
      <c r="B76" s="243"/>
      <c r="C76" s="772" t="s">
        <v>1150</v>
      </c>
      <c r="D76" s="772" t="s">
        <v>334</v>
      </c>
      <c r="E76" s="83">
        <f>'Attachment O'!I70</f>
        <v>33130880.185128536</v>
      </c>
      <c r="F76" s="70">
        <f>'Attachment O'!I78</f>
        <v>10968047.743969616</v>
      </c>
      <c r="G76" s="21">
        <f>+L31</f>
        <v>7.6776644582394415E-2</v>
      </c>
      <c r="H76" s="32">
        <f t="shared" ref="H76:H94" si="1">+G76*E76</f>
        <v>2543677.8126755073</v>
      </c>
      <c r="I76" s="21">
        <f>+L46</f>
        <v>0.18699044220909294</v>
      </c>
      <c r="J76" s="32">
        <f>+E76*I76</f>
        <v>6195157.9365936602</v>
      </c>
      <c r="K76" s="246">
        <f>+H76+J76</f>
        <v>8738835.749269167</v>
      </c>
      <c r="L76" s="83">
        <f>+E76-F76</f>
        <v>22162832.441158921</v>
      </c>
      <c r="M76" s="21">
        <f>IF(L76&gt;0,$L$56,0)</f>
        <v>8.3285104696151913E-2</v>
      </c>
      <c r="N76" s="246">
        <f>L76*M76</f>
        <v>1845833.8202251927</v>
      </c>
      <c r="O76" s="83">
        <f>'Attachment O'!I145</f>
        <v>667774.33464640123</v>
      </c>
      <c r="P76" s="246">
        <f>K76+N76+O76</f>
        <v>11252443.904140761</v>
      </c>
      <c r="Q76" s="247">
        <v>0</v>
      </c>
      <c r="R76" s="21">
        <f>+'2-Incentive ROE'!K$40*'1-Project Rev Req'!Q76/100*'1-Project Rev Req'!L76</f>
        <v>0</v>
      </c>
      <c r="S76" s="246">
        <f>+P76+R76</f>
        <v>11252443.904140761</v>
      </c>
      <c r="T76" s="589">
        <f>'Attachment O'!D189</f>
        <v>-2650000</v>
      </c>
      <c r="U76" s="248">
        <v>0</v>
      </c>
      <c r="V76" s="589">
        <f>+S76+T76+U76</f>
        <v>8602443.9041407611</v>
      </c>
      <c r="W76" s="83">
        <v>0</v>
      </c>
      <c r="X76" s="246">
        <f>+V76+W76</f>
        <v>8602443.9041407611</v>
      </c>
    </row>
    <row r="77" spans="1:24" s="213" customFormat="1">
      <c r="A77" s="242" t="s">
        <v>527</v>
      </c>
      <c r="B77" s="243"/>
      <c r="C77" s="40">
        <v>0</v>
      </c>
      <c r="D77" s="40">
        <v>0</v>
      </c>
      <c r="E77" s="40">
        <v>0</v>
      </c>
      <c r="F77" s="244">
        <v>0</v>
      </c>
      <c r="G77" s="21">
        <f>+G76</f>
        <v>7.6776644582394415E-2</v>
      </c>
      <c r="H77" s="21">
        <f t="shared" si="1"/>
        <v>0</v>
      </c>
      <c r="I77" s="21">
        <f>+I76</f>
        <v>0.18699044220909294</v>
      </c>
      <c r="J77" s="21">
        <f>+I77*E77</f>
        <v>0</v>
      </c>
      <c r="K77" s="245">
        <f t="shared" ref="K77:K94" si="2">+H77+J77</f>
        <v>0</v>
      </c>
      <c r="L77" s="83">
        <f>+E77-F77</f>
        <v>0</v>
      </c>
      <c r="M77" s="21">
        <f>IF(L77&gt;0,$L$56,0)</f>
        <v>0</v>
      </c>
      <c r="N77" s="246">
        <f t="shared" ref="N77:N94" si="3">L77*M77</f>
        <v>0</v>
      </c>
      <c r="O77" s="83">
        <v>0</v>
      </c>
      <c r="P77" s="245">
        <f t="shared" ref="P77:P94" si="4">K77+N77+O77</f>
        <v>0</v>
      </c>
      <c r="Q77" s="247">
        <v>0</v>
      </c>
      <c r="R77" s="21">
        <f>+'2-Incentive ROE'!K$40*'1-Project Rev Req'!Q77/100*'1-Project Rev Req'!L77</f>
        <v>0</v>
      </c>
      <c r="S77" s="246">
        <f t="shared" ref="S77:S94" si="5">+P77+R77</f>
        <v>0</v>
      </c>
      <c r="T77" s="589"/>
      <c r="U77" s="248">
        <v>0</v>
      </c>
      <c r="V77" s="589">
        <f t="shared" ref="V77:V94" si="6">+S77+T77+U77</f>
        <v>0</v>
      </c>
      <c r="W77" s="83">
        <v>0</v>
      </c>
      <c r="X77" s="246">
        <f>+V77+W77</f>
        <v>0</v>
      </c>
    </row>
    <row r="78" spans="1:24" s="213" customFormat="1">
      <c r="A78" s="242" t="s">
        <v>528</v>
      </c>
      <c r="B78" s="243"/>
      <c r="C78" s="40">
        <v>0</v>
      </c>
      <c r="D78" s="40">
        <v>0</v>
      </c>
      <c r="E78" s="40">
        <v>0</v>
      </c>
      <c r="F78" s="244">
        <v>0</v>
      </c>
      <c r="G78" s="21">
        <f>+G77</f>
        <v>7.6776644582394415E-2</v>
      </c>
      <c r="H78" s="21">
        <f t="shared" si="1"/>
        <v>0</v>
      </c>
      <c r="I78" s="21">
        <f t="shared" ref="I78:I94" si="7">+I77</f>
        <v>0.18699044220909294</v>
      </c>
      <c r="J78" s="21">
        <f t="shared" ref="J78:J94" si="8">+I78*E78</f>
        <v>0</v>
      </c>
      <c r="K78" s="245">
        <f t="shared" si="2"/>
        <v>0</v>
      </c>
      <c r="L78" s="83">
        <f>+E78-F78</f>
        <v>0</v>
      </c>
      <c r="M78" s="21">
        <f t="shared" ref="M78:M94" si="9">IF(L78&gt;0,$L$56,0)</f>
        <v>0</v>
      </c>
      <c r="N78" s="246">
        <f t="shared" si="3"/>
        <v>0</v>
      </c>
      <c r="O78" s="83">
        <v>0</v>
      </c>
      <c r="P78" s="245">
        <f t="shared" si="4"/>
        <v>0</v>
      </c>
      <c r="Q78" s="247">
        <v>0</v>
      </c>
      <c r="R78" s="21">
        <f>+'2-Incentive ROE'!K42*'1-Project Rev Req'!Q78/100*'1-Project Rev Req'!L78</f>
        <v>0</v>
      </c>
      <c r="S78" s="246">
        <f t="shared" si="5"/>
        <v>0</v>
      </c>
      <c r="T78" s="589"/>
      <c r="U78" s="248">
        <v>0</v>
      </c>
      <c r="V78" s="589">
        <f t="shared" si="6"/>
        <v>0</v>
      </c>
      <c r="W78" s="83">
        <v>0</v>
      </c>
      <c r="X78" s="246">
        <f>+V78+W78</f>
        <v>0</v>
      </c>
    </row>
    <row r="79" spans="1:24" s="213" customFormat="1">
      <c r="A79" s="242" t="s">
        <v>529</v>
      </c>
      <c r="B79" s="243"/>
      <c r="C79" s="40">
        <v>0</v>
      </c>
      <c r="D79" s="40">
        <v>0</v>
      </c>
      <c r="E79" s="40">
        <v>0</v>
      </c>
      <c r="F79" s="244">
        <v>0</v>
      </c>
      <c r="G79" s="21">
        <f>+G78</f>
        <v>7.6776644582394415E-2</v>
      </c>
      <c r="H79" s="21">
        <f t="shared" si="1"/>
        <v>0</v>
      </c>
      <c r="I79" s="21">
        <f t="shared" si="7"/>
        <v>0.18699044220909294</v>
      </c>
      <c r="J79" s="21">
        <f t="shared" si="8"/>
        <v>0</v>
      </c>
      <c r="K79" s="245">
        <f t="shared" si="2"/>
        <v>0</v>
      </c>
      <c r="L79" s="83">
        <f>+E79-F79</f>
        <v>0</v>
      </c>
      <c r="M79" s="21">
        <f t="shared" si="9"/>
        <v>0</v>
      </c>
      <c r="N79" s="246">
        <f t="shared" si="3"/>
        <v>0</v>
      </c>
      <c r="O79" s="83">
        <v>0</v>
      </c>
      <c r="P79" s="245">
        <f t="shared" si="4"/>
        <v>0</v>
      </c>
      <c r="Q79" s="247">
        <v>0</v>
      </c>
      <c r="R79" s="21">
        <f>+'2-Incentive ROE'!K43*'1-Project Rev Req'!Q79/100*'1-Project Rev Req'!L79</f>
        <v>0</v>
      </c>
      <c r="S79" s="246">
        <f t="shared" si="5"/>
        <v>0</v>
      </c>
      <c r="T79" s="589"/>
      <c r="U79" s="248">
        <v>0</v>
      </c>
      <c r="V79" s="589">
        <f t="shared" si="6"/>
        <v>0</v>
      </c>
      <c r="W79" s="83">
        <v>0</v>
      </c>
      <c r="X79" s="246">
        <f>+V79+W79</f>
        <v>0</v>
      </c>
    </row>
    <row r="80" spans="1:24" s="213" customFormat="1">
      <c r="A80" s="242" t="s">
        <v>530</v>
      </c>
      <c r="B80" s="243"/>
      <c r="C80" s="40">
        <v>0</v>
      </c>
      <c r="D80" s="40">
        <v>0</v>
      </c>
      <c r="E80" s="40">
        <v>0</v>
      </c>
      <c r="F80" s="244">
        <v>0</v>
      </c>
      <c r="G80" s="21">
        <f t="shared" ref="G80:G94" si="10">+G79</f>
        <v>7.6776644582394415E-2</v>
      </c>
      <c r="H80" s="21">
        <f t="shared" si="1"/>
        <v>0</v>
      </c>
      <c r="I80" s="21">
        <f t="shared" si="7"/>
        <v>0.18699044220909294</v>
      </c>
      <c r="J80" s="21">
        <f t="shared" si="8"/>
        <v>0</v>
      </c>
      <c r="K80" s="245">
        <f t="shared" si="2"/>
        <v>0</v>
      </c>
      <c r="L80" s="40">
        <v>0</v>
      </c>
      <c r="M80" s="21">
        <f t="shared" si="9"/>
        <v>0</v>
      </c>
      <c r="N80" s="246">
        <f t="shared" si="3"/>
        <v>0</v>
      </c>
      <c r="O80" s="83">
        <v>0</v>
      </c>
      <c r="P80" s="245">
        <f t="shared" si="4"/>
        <v>0</v>
      </c>
      <c r="Q80" s="247">
        <v>0</v>
      </c>
      <c r="R80" s="21">
        <f>+'2-Incentive ROE'!K44*'1-Project Rev Req'!Q80/100*'1-Project Rev Req'!L80</f>
        <v>0</v>
      </c>
      <c r="S80" s="246">
        <f t="shared" si="5"/>
        <v>0</v>
      </c>
      <c r="T80" s="589"/>
      <c r="U80" s="248">
        <v>0</v>
      </c>
      <c r="V80" s="589">
        <f t="shared" si="6"/>
        <v>0</v>
      </c>
      <c r="W80" s="83">
        <v>0</v>
      </c>
      <c r="X80" s="246">
        <f>+V80+W80</f>
        <v>0</v>
      </c>
    </row>
    <row r="81" spans="1:24" s="213" customFormat="1">
      <c r="A81" s="242" t="s">
        <v>531</v>
      </c>
      <c r="B81" s="243"/>
      <c r="C81" s="40">
        <v>0</v>
      </c>
      <c r="D81" s="40">
        <v>0</v>
      </c>
      <c r="E81" s="40">
        <v>0</v>
      </c>
      <c r="F81" s="244">
        <v>0</v>
      </c>
      <c r="G81" s="21">
        <f t="shared" si="10"/>
        <v>7.6776644582394415E-2</v>
      </c>
      <c r="H81" s="21">
        <f t="shared" si="1"/>
        <v>0</v>
      </c>
      <c r="I81" s="21">
        <f t="shared" si="7"/>
        <v>0.18699044220909294</v>
      </c>
      <c r="J81" s="21">
        <f t="shared" si="8"/>
        <v>0</v>
      </c>
      <c r="K81" s="245">
        <f t="shared" si="2"/>
        <v>0</v>
      </c>
      <c r="L81" s="40">
        <v>0</v>
      </c>
      <c r="M81" s="21">
        <f t="shared" si="9"/>
        <v>0</v>
      </c>
      <c r="N81" s="246">
        <f t="shared" si="3"/>
        <v>0</v>
      </c>
      <c r="O81" s="83">
        <v>0</v>
      </c>
      <c r="P81" s="245">
        <f t="shared" si="4"/>
        <v>0</v>
      </c>
      <c r="Q81" s="247">
        <v>0</v>
      </c>
      <c r="R81" s="21">
        <f>+'2-Incentive ROE'!K45*'1-Project Rev Req'!Q81/100*'1-Project Rev Req'!L81</f>
        <v>0</v>
      </c>
      <c r="S81" s="246">
        <f t="shared" si="5"/>
        <v>0</v>
      </c>
      <c r="T81" s="589"/>
      <c r="U81" s="248">
        <v>0</v>
      </c>
      <c r="V81" s="589">
        <f t="shared" si="6"/>
        <v>0</v>
      </c>
      <c r="W81" s="83">
        <v>0</v>
      </c>
      <c r="X81" s="246">
        <f t="shared" ref="X81:X95" si="11">P81+W81</f>
        <v>0</v>
      </c>
    </row>
    <row r="82" spans="1:24" s="213" customFormat="1">
      <c r="A82" s="242" t="s">
        <v>532</v>
      </c>
      <c r="B82" s="243"/>
      <c r="C82" s="40">
        <v>0</v>
      </c>
      <c r="D82" s="40">
        <v>0</v>
      </c>
      <c r="E82" s="40">
        <v>0</v>
      </c>
      <c r="F82" s="244">
        <v>0</v>
      </c>
      <c r="G82" s="21">
        <f t="shared" si="10"/>
        <v>7.6776644582394415E-2</v>
      </c>
      <c r="H82" s="21">
        <f t="shared" si="1"/>
        <v>0</v>
      </c>
      <c r="I82" s="21">
        <f t="shared" si="7"/>
        <v>0.18699044220909294</v>
      </c>
      <c r="J82" s="21">
        <f t="shared" si="8"/>
        <v>0</v>
      </c>
      <c r="K82" s="245">
        <f t="shared" si="2"/>
        <v>0</v>
      </c>
      <c r="L82" s="40">
        <v>0</v>
      </c>
      <c r="M82" s="21">
        <f t="shared" si="9"/>
        <v>0</v>
      </c>
      <c r="N82" s="246">
        <f t="shared" si="3"/>
        <v>0</v>
      </c>
      <c r="O82" s="83">
        <v>0</v>
      </c>
      <c r="P82" s="245">
        <f t="shared" si="4"/>
        <v>0</v>
      </c>
      <c r="Q82" s="247">
        <v>0</v>
      </c>
      <c r="R82" s="21">
        <f>+'2-Incentive ROE'!K46*'1-Project Rev Req'!Q82/100*'1-Project Rev Req'!L82</f>
        <v>0</v>
      </c>
      <c r="S82" s="246">
        <f t="shared" si="5"/>
        <v>0</v>
      </c>
      <c r="T82" s="589"/>
      <c r="U82" s="248">
        <v>0</v>
      </c>
      <c r="V82" s="589">
        <f t="shared" si="6"/>
        <v>0</v>
      </c>
      <c r="W82" s="83">
        <v>0</v>
      </c>
      <c r="X82" s="246">
        <f t="shared" si="11"/>
        <v>0</v>
      </c>
    </row>
    <row r="83" spans="1:24" s="213" customFormat="1">
      <c r="A83" s="242" t="s">
        <v>533</v>
      </c>
      <c r="B83" s="243"/>
      <c r="C83" s="40">
        <v>0</v>
      </c>
      <c r="D83" s="40">
        <v>0</v>
      </c>
      <c r="E83" s="40">
        <v>0</v>
      </c>
      <c r="F83" s="244">
        <v>0</v>
      </c>
      <c r="G83" s="21">
        <f t="shared" si="10"/>
        <v>7.6776644582394415E-2</v>
      </c>
      <c r="H83" s="21">
        <f t="shared" si="1"/>
        <v>0</v>
      </c>
      <c r="I83" s="21">
        <f t="shared" si="7"/>
        <v>0.18699044220909294</v>
      </c>
      <c r="J83" s="21">
        <f t="shared" si="8"/>
        <v>0</v>
      </c>
      <c r="K83" s="245">
        <f t="shared" si="2"/>
        <v>0</v>
      </c>
      <c r="L83" s="40">
        <v>0</v>
      </c>
      <c r="M83" s="21">
        <f t="shared" si="9"/>
        <v>0</v>
      </c>
      <c r="N83" s="246">
        <f t="shared" si="3"/>
        <v>0</v>
      </c>
      <c r="O83" s="83">
        <v>0</v>
      </c>
      <c r="P83" s="245">
        <f t="shared" si="4"/>
        <v>0</v>
      </c>
      <c r="Q83" s="247">
        <v>0</v>
      </c>
      <c r="R83" s="21">
        <f>+'2-Incentive ROE'!K47*'1-Project Rev Req'!Q83/100*'1-Project Rev Req'!L83</f>
        <v>0</v>
      </c>
      <c r="S83" s="246">
        <f t="shared" si="5"/>
        <v>0</v>
      </c>
      <c r="T83" s="589"/>
      <c r="U83" s="248">
        <v>0</v>
      </c>
      <c r="V83" s="589">
        <f t="shared" si="6"/>
        <v>0</v>
      </c>
      <c r="W83" s="83">
        <v>0</v>
      </c>
      <c r="X83" s="246">
        <f t="shared" si="11"/>
        <v>0</v>
      </c>
    </row>
    <row r="84" spans="1:24" s="213" customFormat="1">
      <c r="A84" s="242" t="s">
        <v>534</v>
      </c>
      <c r="B84" s="243"/>
      <c r="C84" s="40">
        <v>0</v>
      </c>
      <c r="D84" s="40">
        <v>0</v>
      </c>
      <c r="E84" s="40">
        <v>0</v>
      </c>
      <c r="F84" s="244">
        <v>0</v>
      </c>
      <c r="G84" s="21">
        <f t="shared" si="10"/>
        <v>7.6776644582394415E-2</v>
      </c>
      <c r="H84" s="21">
        <f t="shared" si="1"/>
        <v>0</v>
      </c>
      <c r="I84" s="21">
        <f t="shared" si="7"/>
        <v>0.18699044220909294</v>
      </c>
      <c r="J84" s="21">
        <f t="shared" si="8"/>
        <v>0</v>
      </c>
      <c r="K84" s="245">
        <f t="shared" si="2"/>
        <v>0</v>
      </c>
      <c r="L84" s="40">
        <v>0</v>
      </c>
      <c r="M84" s="21">
        <f t="shared" si="9"/>
        <v>0</v>
      </c>
      <c r="N84" s="246">
        <f t="shared" si="3"/>
        <v>0</v>
      </c>
      <c r="O84" s="83">
        <v>0</v>
      </c>
      <c r="P84" s="245">
        <f t="shared" si="4"/>
        <v>0</v>
      </c>
      <c r="Q84" s="247">
        <v>0</v>
      </c>
      <c r="R84" s="21">
        <f>+'2-Incentive ROE'!K48*'1-Project Rev Req'!Q84/100*'1-Project Rev Req'!L84</f>
        <v>0</v>
      </c>
      <c r="S84" s="246">
        <f t="shared" si="5"/>
        <v>0</v>
      </c>
      <c r="T84" s="589"/>
      <c r="U84" s="248">
        <v>0</v>
      </c>
      <c r="V84" s="589">
        <f t="shared" si="6"/>
        <v>0</v>
      </c>
      <c r="W84" s="83">
        <v>0</v>
      </c>
      <c r="X84" s="246">
        <f t="shared" si="11"/>
        <v>0</v>
      </c>
    </row>
    <row r="85" spans="1:24" s="213" customFormat="1">
      <c r="A85" s="242" t="s">
        <v>535</v>
      </c>
      <c r="B85" s="243"/>
      <c r="C85" s="40">
        <v>0</v>
      </c>
      <c r="D85" s="40">
        <v>0</v>
      </c>
      <c r="E85" s="40">
        <v>0</v>
      </c>
      <c r="F85" s="244">
        <v>0</v>
      </c>
      <c r="G85" s="21">
        <f t="shared" si="10"/>
        <v>7.6776644582394415E-2</v>
      </c>
      <c r="H85" s="21">
        <f t="shared" si="1"/>
        <v>0</v>
      </c>
      <c r="I85" s="21">
        <f t="shared" si="7"/>
        <v>0.18699044220909294</v>
      </c>
      <c r="J85" s="21">
        <f t="shared" si="8"/>
        <v>0</v>
      </c>
      <c r="K85" s="245">
        <f t="shared" si="2"/>
        <v>0</v>
      </c>
      <c r="L85" s="40">
        <v>0</v>
      </c>
      <c r="M85" s="21">
        <f t="shared" si="9"/>
        <v>0</v>
      </c>
      <c r="N85" s="246">
        <f t="shared" si="3"/>
        <v>0</v>
      </c>
      <c r="O85" s="83">
        <v>0</v>
      </c>
      <c r="P85" s="245">
        <f t="shared" si="4"/>
        <v>0</v>
      </c>
      <c r="Q85" s="247">
        <v>0</v>
      </c>
      <c r="R85" s="21">
        <f>+'2-Incentive ROE'!K49*'1-Project Rev Req'!Q85/100*'1-Project Rev Req'!L85</f>
        <v>0</v>
      </c>
      <c r="S85" s="246">
        <f t="shared" si="5"/>
        <v>0</v>
      </c>
      <c r="T85" s="589"/>
      <c r="U85" s="248">
        <v>0</v>
      </c>
      <c r="V85" s="589">
        <f t="shared" si="6"/>
        <v>0</v>
      </c>
      <c r="W85" s="83">
        <v>0</v>
      </c>
      <c r="X85" s="246">
        <f t="shared" si="11"/>
        <v>0</v>
      </c>
    </row>
    <row r="86" spans="1:24" s="213" customFormat="1">
      <c r="A86" s="242" t="s">
        <v>536</v>
      </c>
      <c r="B86" s="243"/>
      <c r="C86" s="40">
        <v>0</v>
      </c>
      <c r="D86" s="40">
        <v>0</v>
      </c>
      <c r="E86" s="40">
        <v>0</v>
      </c>
      <c r="F86" s="244">
        <v>0</v>
      </c>
      <c r="G86" s="21">
        <f t="shared" si="10"/>
        <v>7.6776644582394415E-2</v>
      </c>
      <c r="H86" s="21">
        <f t="shared" si="1"/>
        <v>0</v>
      </c>
      <c r="I86" s="21">
        <f t="shared" si="7"/>
        <v>0.18699044220909294</v>
      </c>
      <c r="J86" s="21">
        <f t="shared" si="8"/>
        <v>0</v>
      </c>
      <c r="K86" s="245">
        <f t="shared" si="2"/>
        <v>0</v>
      </c>
      <c r="L86" s="40">
        <v>0</v>
      </c>
      <c r="M86" s="21">
        <f t="shared" si="9"/>
        <v>0</v>
      </c>
      <c r="N86" s="246">
        <f t="shared" si="3"/>
        <v>0</v>
      </c>
      <c r="O86" s="83">
        <v>0</v>
      </c>
      <c r="P86" s="245">
        <f t="shared" si="4"/>
        <v>0</v>
      </c>
      <c r="Q86" s="247">
        <v>0</v>
      </c>
      <c r="R86" s="21">
        <f>+'2-Incentive ROE'!K50*'1-Project Rev Req'!Q86/100*'1-Project Rev Req'!L86</f>
        <v>0</v>
      </c>
      <c r="S86" s="246">
        <f t="shared" si="5"/>
        <v>0</v>
      </c>
      <c r="T86" s="589"/>
      <c r="U86" s="248">
        <v>0</v>
      </c>
      <c r="V86" s="589">
        <f t="shared" si="6"/>
        <v>0</v>
      </c>
      <c r="W86" s="83">
        <v>0</v>
      </c>
      <c r="X86" s="246">
        <f t="shared" si="11"/>
        <v>0</v>
      </c>
    </row>
    <row r="87" spans="1:24" s="213" customFormat="1">
      <c r="A87" s="242" t="s">
        <v>537</v>
      </c>
      <c r="B87" s="243"/>
      <c r="C87" s="40">
        <v>0</v>
      </c>
      <c r="D87" s="40">
        <v>0</v>
      </c>
      <c r="E87" s="40">
        <v>0</v>
      </c>
      <c r="F87" s="244">
        <v>0</v>
      </c>
      <c r="G87" s="21">
        <f t="shared" si="10"/>
        <v>7.6776644582394415E-2</v>
      </c>
      <c r="H87" s="21">
        <f t="shared" si="1"/>
        <v>0</v>
      </c>
      <c r="I87" s="21">
        <f t="shared" si="7"/>
        <v>0.18699044220909294</v>
      </c>
      <c r="J87" s="21">
        <f t="shared" si="8"/>
        <v>0</v>
      </c>
      <c r="K87" s="245">
        <f t="shared" si="2"/>
        <v>0</v>
      </c>
      <c r="L87" s="40">
        <v>0</v>
      </c>
      <c r="M87" s="21">
        <f t="shared" si="9"/>
        <v>0</v>
      </c>
      <c r="N87" s="246">
        <f t="shared" si="3"/>
        <v>0</v>
      </c>
      <c r="O87" s="83">
        <v>0</v>
      </c>
      <c r="P87" s="245">
        <f t="shared" si="4"/>
        <v>0</v>
      </c>
      <c r="Q87" s="247">
        <v>0</v>
      </c>
      <c r="R87" s="21">
        <f>+'2-Incentive ROE'!K51*'1-Project Rev Req'!Q87/100*'1-Project Rev Req'!L87</f>
        <v>0</v>
      </c>
      <c r="S87" s="246">
        <f t="shared" si="5"/>
        <v>0</v>
      </c>
      <c r="T87" s="589"/>
      <c r="U87" s="248">
        <v>0</v>
      </c>
      <c r="V87" s="589">
        <f t="shared" si="6"/>
        <v>0</v>
      </c>
      <c r="W87" s="83">
        <v>0</v>
      </c>
      <c r="X87" s="246">
        <f t="shared" si="11"/>
        <v>0</v>
      </c>
    </row>
    <row r="88" spans="1:24" s="213" customFormat="1">
      <c r="A88" s="242" t="s">
        <v>538</v>
      </c>
      <c r="B88" s="243"/>
      <c r="C88" s="40">
        <v>0</v>
      </c>
      <c r="D88" s="40">
        <v>0</v>
      </c>
      <c r="E88" s="40">
        <v>0</v>
      </c>
      <c r="F88" s="244">
        <v>0</v>
      </c>
      <c r="G88" s="21">
        <f t="shared" si="10"/>
        <v>7.6776644582394415E-2</v>
      </c>
      <c r="H88" s="21">
        <f t="shared" si="1"/>
        <v>0</v>
      </c>
      <c r="I88" s="21">
        <f t="shared" si="7"/>
        <v>0.18699044220909294</v>
      </c>
      <c r="J88" s="21">
        <f t="shared" si="8"/>
        <v>0</v>
      </c>
      <c r="K88" s="245">
        <f t="shared" si="2"/>
        <v>0</v>
      </c>
      <c r="L88" s="40">
        <v>0</v>
      </c>
      <c r="M88" s="21">
        <f t="shared" si="9"/>
        <v>0</v>
      </c>
      <c r="N88" s="246">
        <f t="shared" si="3"/>
        <v>0</v>
      </c>
      <c r="O88" s="83">
        <v>0</v>
      </c>
      <c r="P88" s="245">
        <f t="shared" si="4"/>
        <v>0</v>
      </c>
      <c r="Q88" s="247">
        <v>0</v>
      </c>
      <c r="R88" s="21">
        <f>+'2-Incentive ROE'!K52*'1-Project Rev Req'!Q88/100*'1-Project Rev Req'!L88</f>
        <v>0</v>
      </c>
      <c r="S88" s="246">
        <f t="shared" si="5"/>
        <v>0</v>
      </c>
      <c r="T88" s="589"/>
      <c r="U88" s="248">
        <v>0</v>
      </c>
      <c r="V88" s="589">
        <f t="shared" si="6"/>
        <v>0</v>
      </c>
      <c r="W88" s="83">
        <v>0</v>
      </c>
      <c r="X88" s="246">
        <f t="shared" si="11"/>
        <v>0</v>
      </c>
    </row>
    <row r="89" spans="1:24" s="213" customFormat="1">
      <c r="A89" s="242" t="s">
        <v>539</v>
      </c>
      <c r="B89" s="243"/>
      <c r="C89" s="40">
        <v>0</v>
      </c>
      <c r="D89" s="40">
        <v>0</v>
      </c>
      <c r="E89" s="40">
        <v>0</v>
      </c>
      <c r="F89" s="244">
        <v>0</v>
      </c>
      <c r="G89" s="21">
        <f t="shared" si="10"/>
        <v>7.6776644582394415E-2</v>
      </c>
      <c r="H89" s="21">
        <f t="shared" si="1"/>
        <v>0</v>
      </c>
      <c r="I89" s="21">
        <f t="shared" si="7"/>
        <v>0.18699044220909294</v>
      </c>
      <c r="J89" s="21">
        <f t="shared" si="8"/>
        <v>0</v>
      </c>
      <c r="K89" s="245">
        <f t="shared" si="2"/>
        <v>0</v>
      </c>
      <c r="L89" s="40">
        <v>0</v>
      </c>
      <c r="M89" s="21">
        <f t="shared" si="9"/>
        <v>0</v>
      </c>
      <c r="N89" s="246">
        <f t="shared" si="3"/>
        <v>0</v>
      </c>
      <c r="O89" s="83">
        <v>0</v>
      </c>
      <c r="P89" s="245">
        <f t="shared" si="4"/>
        <v>0</v>
      </c>
      <c r="Q89" s="247">
        <v>0</v>
      </c>
      <c r="R89" s="21">
        <f>+'2-Incentive ROE'!K53*'1-Project Rev Req'!Q89/100*'1-Project Rev Req'!L89</f>
        <v>0</v>
      </c>
      <c r="S89" s="246">
        <f t="shared" si="5"/>
        <v>0</v>
      </c>
      <c r="T89" s="589"/>
      <c r="U89" s="248">
        <v>0</v>
      </c>
      <c r="V89" s="589">
        <f t="shared" si="6"/>
        <v>0</v>
      </c>
      <c r="W89" s="83">
        <v>0</v>
      </c>
      <c r="X89" s="246">
        <f t="shared" si="11"/>
        <v>0</v>
      </c>
    </row>
    <row r="90" spans="1:24" s="213" customFormat="1">
      <c r="A90" s="242" t="s">
        <v>540</v>
      </c>
      <c r="B90" s="243"/>
      <c r="C90" s="40">
        <v>0</v>
      </c>
      <c r="D90" s="40">
        <v>0</v>
      </c>
      <c r="E90" s="40">
        <v>0</v>
      </c>
      <c r="F90" s="244">
        <v>0</v>
      </c>
      <c r="G90" s="21">
        <f t="shared" si="10"/>
        <v>7.6776644582394415E-2</v>
      </c>
      <c r="H90" s="21">
        <f t="shared" si="1"/>
        <v>0</v>
      </c>
      <c r="I90" s="21">
        <f t="shared" si="7"/>
        <v>0.18699044220909294</v>
      </c>
      <c r="J90" s="21">
        <f t="shared" si="8"/>
        <v>0</v>
      </c>
      <c r="K90" s="245">
        <f t="shared" si="2"/>
        <v>0</v>
      </c>
      <c r="L90" s="40">
        <v>0</v>
      </c>
      <c r="M90" s="21">
        <f t="shared" si="9"/>
        <v>0</v>
      </c>
      <c r="N90" s="246">
        <f t="shared" si="3"/>
        <v>0</v>
      </c>
      <c r="O90" s="83">
        <v>0</v>
      </c>
      <c r="P90" s="245">
        <f t="shared" si="4"/>
        <v>0</v>
      </c>
      <c r="Q90" s="247">
        <v>0</v>
      </c>
      <c r="R90" s="21">
        <f>+'2-Incentive ROE'!K54*'1-Project Rev Req'!Q90/100*'1-Project Rev Req'!L90</f>
        <v>0</v>
      </c>
      <c r="S90" s="246">
        <f t="shared" si="5"/>
        <v>0</v>
      </c>
      <c r="T90" s="589"/>
      <c r="U90" s="248">
        <v>0</v>
      </c>
      <c r="V90" s="589">
        <f t="shared" si="6"/>
        <v>0</v>
      </c>
      <c r="W90" s="83">
        <v>0</v>
      </c>
      <c r="X90" s="246">
        <f t="shared" si="11"/>
        <v>0</v>
      </c>
    </row>
    <row r="91" spans="1:24" s="213" customFormat="1">
      <c r="A91" s="249"/>
      <c r="B91" s="163"/>
      <c r="C91" s="40">
        <v>0</v>
      </c>
      <c r="D91" s="40">
        <v>0</v>
      </c>
      <c r="E91" s="40">
        <v>0</v>
      </c>
      <c r="F91" s="244">
        <v>0</v>
      </c>
      <c r="G91" s="21">
        <f t="shared" si="10"/>
        <v>7.6776644582394415E-2</v>
      </c>
      <c r="H91" s="21">
        <f t="shared" si="1"/>
        <v>0</v>
      </c>
      <c r="I91" s="21">
        <f t="shared" si="7"/>
        <v>0.18699044220909294</v>
      </c>
      <c r="J91" s="21">
        <f t="shared" si="8"/>
        <v>0</v>
      </c>
      <c r="K91" s="245">
        <f t="shared" si="2"/>
        <v>0</v>
      </c>
      <c r="L91" s="40">
        <v>0</v>
      </c>
      <c r="M91" s="21">
        <f t="shared" si="9"/>
        <v>0</v>
      </c>
      <c r="N91" s="246">
        <f t="shared" si="3"/>
        <v>0</v>
      </c>
      <c r="O91" s="83">
        <v>0</v>
      </c>
      <c r="P91" s="245">
        <f t="shared" si="4"/>
        <v>0</v>
      </c>
      <c r="Q91" s="247">
        <v>0</v>
      </c>
      <c r="R91" s="21">
        <f>+'2-Incentive ROE'!K55*'1-Project Rev Req'!Q91/100*'1-Project Rev Req'!L91</f>
        <v>0</v>
      </c>
      <c r="S91" s="246">
        <f t="shared" si="5"/>
        <v>0</v>
      </c>
      <c r="T91" s="589"/>
      <c r="U91" s="248">
        <v>0</v>
      </c>
      <c r="V91" s="589">
        <f t="shared" si="6"/>
        <v>0</v>
      </c>
      <c r="W91" s="83">
        <v>0</v>
      </c>
      <c r="X91" s="246">
        <f t="shared" si="11"/>
        <v>0</v>
      </c>
    </row>
    <row r="92" spans="1:24" s="213" customFormat="1">
      <c r="A92" s="249"/>
      <c r="B92" s="163"/>
      <c r="C92" s="40">
        <v>0</v>
      </c>
      <c r="D92" s="40">
        <v>0</v>
      </c>
      <c r="E92" s="40">
        <v>0</v>
      </c>
      <c r="F92" s="244">
        <v>0</v>
      </c>
      <c r="G92" s="21">
        <f t="shared" si="10"/>
        <v>7.6776644582394415E-2</v>
      </c>
      <c r="H92" s="21">
        <f t="shared" si="1"/>
        <v>0</v>
      </c>
      <c r="I92" s="21">
        <f t="shared" si="7"/>
        <v>0.18699044220909294</v>
      </c>
      <c r="J92" s="21">
        <f t="shared" si="8"/>
        <v>0</v>
      </c>
      <c r="K92" s="245">
        <f t="shared" si="2"/>
        <v>0</v>
      </c>
      <c r="L92" s="40">
        <v>0</v>
      </c>
      <c r="M92" s="21">
        <f t="shared" si="9"/>
        <v>0</v>
      </c>
      <c r="N92" s="246">
        <f t="shared" si="3"/>
        <v>0</v>
      </c>
      <c r="O92" s="83">
        <v>0</v>
      </c>
      <c r="P92" s="245">
        <f t="shared" si="4"/>
        <v>0</v>
      </c>
      <c r="Q92" s="247">
        <v>0</v>
      </c>
      <c r="R92" s="21">
        <f>+'2-Incentive ROE'!K56*'1-Project Rev Req'!Q92/100*'1-Project Rev Req'!L92</f>
        <v>0</v>
      </c>
      <c r="S92" s="246">
        <f t="shared" si="5"/>
        <v>0</v>
      </c>
      <c r="T92" s="589"/>
      <c r="U92" s="248">
        <v>0</v>
      </c>
      <c r="V92" s="589">
        <f>+S92+T92+U92</f>
        <v>0</v>
      </c>
      <c r="W92" s="83">
        <v>0</v>
      </c>
      <c r="X92" s="246">
        <f t="shared" si="11"/>
        <v>0</v>
      </c>
    </row>
    <row r="93" spans="1:24" s="213" customFormat="1">
      <c r="A93" s="249"/>
      <c r="B93" s="163"/>
      <c r="C93" s="40">
        <v>0</v>
      </c>
      <c r="D93" s="40">
        <v>0</v>
      </c>
      <c r="E93" s="40">
        <v>0</v>
      </c>
      <c r="F93" s="244">
        <v>0</v>
      </c>
      <c r="G93" s="21">
        <f t="shared" si="10"/>
        <v>7.6776644582394415E-2</v>
      </c>
      <c r="H93" s="21">
        <f t="shared" si="1"/>
        <v>0</v>
      </c>
      <c r="I93" s="21">
        <f t="shared" si="7"/>
        <v>0.18699044220909294</v>
      </c>
      <c r="J93" s="21">
        <f t="shared" si="8"/>
        <v>0</v>
      </c>
      <c r="K93" s="245">
        <f t="shared" si="2"/>
        <v>0</v>
      </c>
      <c r="L93" s="40">
        <v>0</v>
      </c>
      <c r="M93" s="21">
        <f t="shared" si="9"/>
        <v>0</v>
      </c>
      <c r="N93" s="246">
        <f t="shared" si="3"/>
        <v>0</v>
      </c>
      <c r="O93" s="83">
        <v>0</v>
      </c>
      <c r="P93" s="245">
        <f t="shared" si="4"/>
        <v>0</v>
      </c>
      <c r="Q93" s="247">
        <v>0</v>
      </c>
      <c r="R93" s="21">
        <f>+'2-Incentive ROE'!K57*'1-Project Rev Req'!Q93/100*'1-Project Rev Req'!L93</f>
        <v>0</v>
      </c>
      <c r="S93" s="246">
        <f t="shared" si="5"/>
        <v>0</v>
      </c>
      <c r="T93" s="589"/>
      <c r="U93" s="248">
        <v>0</v>
      </c>
      <c r="V93" s="589">
        <f t="shared" si="6"/>
        <v>0</v>
      </c>
      <c r="W93" s="83">
        <v>0</v>
      </c>
      <c r="X93" s="246">
        <f t="shared" si="11"/>
        <v>0</v>
      </c>
    </row>
    <row r="94" spans="1:24" s="213" customFormat="1">
      <c r="A94" s="249"/>
      <c r="B94" s="163"/>
      <c r="C94" s="40">
        <v>0</v>
      </c>
      <c r="D94" s="40">
        <v>0</v>
      </c>
      <c r="E94" s="40">
        <v>0</v>
      </c>
      <c r="F94" s="244">
        <v>0</v>
      </c>
      <c r="G94" s="21">
        <f t="shared" si="10"/>
        <v>7.6776644582394415E-2</v>
      </c>
      <c r="H94" s="21">
        <f t="shared" si="1"/>
        <v>0</v>
      </c>
      <c r="I94" s="21">
        <f t="shared" si="7"/>
        <v>0.18699044220909294</v>
      </c>
      <c r="J94" s="21">
        <f t="shared" si="8"/>
        <v>0</v>
      </c>
      <c r="K94" s="245">
        <f t="shared" si="2"/>
        <v>0</v>
      </c>
      <c r="L94" s="40">
        <v>0</v>
      </c>
      <c r="M94" s="21">
        <f t="shared" si="9"/>
        <v>0</v>
      </c>
      <c r="N94" s="246">
        <f t="shared" si="3"/>
        <v>0</v>
      </c>
      <c r="O94" s="83">
        <v>0</v>
      </c>
      <c r="P94" s="245">
        <f t="shared" si="4"/>
        <v>0</v>
      </c>
      <c r="Q94" s="247">
        <v>0</v>
      </c>
      <c r="R94" s="21">
        <f>+'2-Incentive ROE'!K58*'1-Project Rev Req'!Q94/100*'1-Project Rev Req'!L94</f>
        <v>0</v>
      </c>
      <c r="S94" s="246">
        <f t="shared" si="5"/>
        <v>0</v>
      </c>
      <c r="T94" s="589"/>
      <c r="U94" s="248">
        <v>0</v>
      </c>
      <c r="V94" s="589">
        <f t="shared" si="6"/>
        <v>0</v>
      </c>
      <c r="W94" s="83">
        <v>0</v>
      </c>
      <c r="X94" s="246">
        <f t="shared" si="11"/>
        <v>0</v>
      </c>
    </row>
    <row r="95" spans="1:24" s="213" customFormat="1">
      <c r="A95" s="250"/>
      <c r="B95" s="251"/>
      <c r="C95" s="251"/>
      <c r="D95" s="251"/>
      <c r="E95" s="251"/>
      <c r="F95" s="251"/>
      <c r="G95" s="252"/>
      <c r="H95" s="187"/>
      <c r="I95" s="253"/>
      <c r="J95" s="251"/>
      <c r="K95" s="254"/>
      <c r="L95" s="251"/>
      <c r="M95" s="251"/>
      <c r="N95" s="254"/>
      <c r="O95" s="251"/>
      <c r="P95" s="255"/>
      <c r="Q95" s="256"/>
      <c r="R95" s="257"/>
      <c r="S95" s="256"/>
      <c r="T95" s="590"/>
      <c r="U95" s="256"/>
      <c r="V95" s="590"/>
      <c r="W95" s="251"/>
      <c r="X95" s="258">
        <f t="shared" si="11"/>
        <v>0</v>
      </c>
    </row>
    <row r="96" spans="1:24" s="213" customFormat="1">
      <c r="A96" s="176" t="s">
        <v>541</v>
      </c>
      <c r="B96" s="200"/>
      <c r="C96" s="168" t="s">
        <v>542</v>
      </c>
      <c r="D96" s="168"/>
      <c r="E96" s="105">
        <f>SUM(E76:E94)</f>
        <v>33130880.185128536</v>
      </c>
      <c r="F96" s="105">
        <f>SUM(F76:F94)</f>
        <v>10968047.743969616</v>
      </c>
      <c r="G96" s="105"/>
      <c r="H96" s="105">
        <f>SUM(H76:H94)</f>
        <v>2543677.8126755073</v>
      </c>
      <c r="I96" s="105"/>
      <c r="J96" s="105">
        <f>SUM(J76:J94)</f>
        <v>6195157.9365936602</v>
      </c>
      <c r="K96" s="105">
        <f>SUM(K76:K94)</f>
        <v>8738835.749269167</v>
      </c>
      <c r="L96" s="105">
        <f>SUM(L76:L94)</f>
        <v>22162832.441158921</v>
      </c>
      <c r="M96" s="170"/>
      <c r="N96" s="105">
        <f>SUM(N76:N94)</f>
        <v>1845833.8202251927</v>
      </c>
      <c r="O96" s="32">
        <f>SUM(O76:O95)</f>
        <v>667774.33464640123</v>
      </c>
      <c r="P96" s="32">
        <f>SUM(P76:P95)</f>
        <v>11252443.904140761</v>
      </c>
      <c r="Q96" s="204"/>
      <c r="R96" s="32">
        <f t="shared" ref="R96:X96" si="12">SUM(R76:R95)</f>
        <v>0</v>
      </c>
      <c r="S96" s="32">
        <f t="shared" si="12"/>
        <v>11252443.904140761</v>
      </c>
      <c r="T96" s="60">
        <f t="shared" si="12"/>
        <v>-2650000</v>
      </c>
      <c r="U96" s="32">
        <f t="shared" si="12"/>
        <v>0</v>
      </c>
      <c r="V96" s="32">
        <f t="shared" si="12"/>
        <v>8602443.9041407611</v>
      </c>
      <c r="W96" s="32">
        <f t="shared" si="12"/>
        <v>0</v>
      </c>
      <c r="X96" s="32">
        <f t="shared" si="12"/>
        <v>8602443.9041407611</v>
      </c>
    </row>
    <row r="97" spans="1:24" s="213" customFormat="1">
      <c r="A97" s="163"/>
      <c r="B97" s="163"/>
      <c r="C97" s="163"/>
      <c r="D97" s="163"/>
      <c r="E97" s="32"/>
      <c r="F97" s="32"/>
      <c r="G97" s="163"/>
      <c r="H97" s="32"/>
      <c r="I97" s="163"/>
      <c r="J97" s="204"/>
      <c r="K97" s="32"/>
      <c r="L97" s="32"/>
      <c r="M97" s="163"/>
      <c r="N97" s="204">
        <f>+J49+J53</f>
        <v>1845833.8202251927</v>
      </c>
      <c r="O97" s="32"/>
      <c r="P97" s="32"/>
      <c r="Q97" s="163"/>
      <c r="R97" s="163"/>
      <c r="S97" s="163"/>
      <c r="T97" s="163"/>
      <c r="U97" s="163"/>
      <c r="V97" s="163"/>
      <c r="W97" s="163"/>
      <c r="X97" s="32"/>
    </row>
    <row r="98" spans="1:24" s="213" customFormat="1">
      <c r="A98" s="259">
        <v>17</v>
      </c>
      <c r="B98" s="163"/>
      <c r="C98" s="163" t="s">
        <v>543</v>
      </c>
      <c r="D98" s="163"/>
      <c r="E98" s="163"/>
      <c r="F98" s="163"/>
      <c r="G98" s="163"/>
      <c r="H98" s="163"/>
      <c r="I98" s="163"/>
      <c r="J98" s="163"/>
      <c r="K98" s="163"/>
      <c r="L98" s="21"/>
      <c r="M98" s="204"/>
      <c r="N98" s="204"/>
      <c r="O98" s="204"/>
      <c r="P98" s="21">
        <f>+P96</f>
        <v>11252443.904140761</v>
      </c>
      <c r="Q98" s="163"/>
      <c r="R98" s="163"/>
      <c r="S98" s="163"/>
      <c r="T98" s="163"/>
      <c r="U98" s="163"/>
      <c r="V98" s="163"/>
      <c r="W98" s="163"/>
      <c r="X98" s="163"/>
    </row>
    <row r="99" spans="1:24" s="213" customFormat="1" ht="15">
      <c r="A99" s="259">
        <v>18</v>
      </c>
      <c r="B99" s="163"/>
      <c r="C99" s="569" t="s">
        <v>1011</v>
      </c>
      <c r="D99" s="163"/>
      <c r="E99" s="163"/>
      <c r="F99" s="163"/>
      <c r="G99" s="163"/>
      <c r="H99" s="163"/>
      <c r="I99" s="163"/>
      <c r="J99" s="163"/>
      <c r="K99" s="200"/>
      <c r="L99" s="200"/>
      <c r="M99" s="200"/>
      <c r="N99" s="200"/>
      <c r="O99" s="200"/>
      <c r="P99" s="163"/>
      <c r="Q99" s="163"/>
      <c r="R99" s="563">
        <v>0</v>
      </c>
      <c r="S99" s="163"/>
      <c r="T99" s="163"/>
      <c r="U99"/>
      <c r="V99" s="163"/>
      <c r="W99" s="163"/>
      <c r="X99" s="163"/>
    </row>
    <row r="100" spans="1:24" s="213" customFormat="1">
      <c r="A100" s="163"/>
      <c r="B100" s="163"/>
      <c r="C100" s="163"/>
      <c r="D100" s="163"/>
      <c r="E100" s="163"/>
      <c r="F100" s="163"/>
      <c r="G100" s="163"/>
      <c r="H100" s="163"/>
      <c r="I100" s="163"/>
      <c r="J100" s="163"/>
      <c r="K100" s="200"/>
      <c r="L100" s="200"/>
      <c r="M100" s="200"/>
      <c r="N100" s="200"/>
      <c r="O100" s="200"/>
      <c r="P100" s="163"/>
      <c r="Q100" s="163"/>
      <c r="R100" s="163"/>
      <c r="S100" s="163"/>
      <c r="T100" s="163"/>
      <c r="U100" s="163"/>
      <c r="V100" s="163"/>
      <c r="W100" s="163"/>
      <c r="X100" s="163"/>
    </row>
    <row r="101" spans="1:24" s="213" customFormat="1">
      <c r="A101" s="163" t="s">
        <v>338</v>
      </c>
      <c r="B101" s="163"/>
      <c r="C101" s="163"/>
      <c r="D101" s="163"/>
      <c r="E101" s="163"/>
      <c r="F101" s="163"/>
      <c r="G101" s="163"/>
      <c r="H101" s="163"/>
      <c r="I101" s="163"/>
      <c r="J101" s="163"/>
      <c r="K101" s="163"/>
      <c r="L101" s="163"/>
      <c r="M101" s="163"/>
      <c r="N101" s="163"/>
      <c r="O101" s="163"/>
      <c r="P101" s="163"/>
      <c r="Q101" s="163"/>
      <c r="R101" s="163"/>
      <c r="S101" s="163"/>
      <c r="T101" s="163"/>
      <c r="U101" s="163"/>
      <c r="V101" s="163"/>
      <c r="W101" s="163"/>
      <c r="X101" s="163"/>
    </row>
    <row r="102" spans="1:24" s="213" customFormat="1" ht="13.5" thickBot="1">
      <c r="A102" s="260" t="s">
        <v>339</v>
      </c>
      <c r="B102" s="163"/>
      <c r="C102" s="163"/>
      <c r="D102" s="163"/>
      <c r="E102" s="163"/>
      <c r="F102" s="163"/>
      <c r="G102" s="163"/>
      <c r="H102" s="163"/>
      <c r="I102" s="163"/>
      <c r="J102" s="163"/>
      <c r="K102" s="163"/>
      <c r="L102" s="163"/>
      <c r="M102" s="163"/>
      <c r="N102" s="163"/>
      <c r="O102" s="163"/>
      <c r="P102" s="163"/>
      <c r="Q102" s="163"/>
      <c r="R102" s="163"/>
      <c r="S102" s="163"/>
      <c r="T102" s="163"/>
      <c r="U102" s="163"/>
      <c r="V102" s="163"/>
      <c r="W102" s="163"/>
      <c r="X102" s="163"/>
    </row>
    <row r="103" spans="1:24" ht="12.75" customHeight="1">
      <c r="A103" s="261" t="s">
        <v>340</v>
      </c>
      <c r="B103" s="213"/>
      <c r="C103" s="599" t="s">
        <v>544</v>
      </c>
      <c r="D103" s="599"/>
      <c r="E103" s="599"/>
      <c r="F103" s="599"/>
      <c r="G103" s="599"/>
      <c r="H103" s="599"/>
      <c r="I103" s="599"/>
      <c r="J103" s="599"/>
      <c r="K103" s="599"/>
      <c r="L103" s="599"/>
      <c r="M103" s="599"/>
      <c r="N103" s="599"/>
      <c r="O103" s="599"/>
      <c r="P103" s="599"/>
      <c r="Q103" s="599"/>
      <c r="R103" s="262"/>
      <c r="S103" s="262"/>
      <c r="T103" s="262"/>
      <c r="U103" s="262"/>
      <c r="V103" s="262"/>
      <c r="W103" s="262"/>
      <c r="X103" s="262"/>
    </row>
    <row r="104" spans="1:24" ht="16.5" customHeight="1">
      <c r="A104" s="261" t="s">
        <v>341</v>
      </c>
      <c r="B104" s="213"/>
      <c r="C104" s="829" t="s">
        <v>545</v>
      </c>
      <c r="D104" s="829"/>
      <c r="E104" s="829"/>
      <c r="F104" s="829"/>
      <c r="G104" s="829"/>
      <c r="H104" s="829"/>
      <c r="I104" s="829"/>
      <c r="J104" s="829"/>
      <c r="K104" s="829"/>
      <c r="L104" s="829"/>
      <c r="M104" s="263"/>
      <c r="N104" s="263"/>
      <c r="O104" s="263"/>
      <c r="P104" s="263"/>
      <c r="Q104" s="263"/>
    </row>
    <row r="105" spans="1:24" ht="13.5" customHeight="1">
      <c r="A105" s="261" t="s">
        <v>342</v>
      </c>
      <c r="B105" s="213"/>
      <c r="C105" s="599" t="s">
        <v>546</v>
      </c>
      <c r="D105" s="599"/>
      <c r="E105" s="599"/>
      <c r="F105" s="599"/>
      <c r="G105" s="599"/>
      <c r="H105" s="599"/>
      <c r="I105" s="599"/>
      <c r="J105" s="599"/>
      <c r="K105" s="599"/>
      <c r="L105" s="599"/>
      <c r="M105" s="599"/>
    </row>
    <row r="106" spans="1:24" ht="13.5" customHeight="1">
      <c r="A106" s="261"/>
      <c r="B106" s="213"/>
      <c r="C106" s="598" t="s">
        <v>547</v>
      </c>
      <c r="D106" s="597"/>
      <c r="E106" s="597"/>
      <c r="F106" s="597"/>
      <c r="G106" s="597"/>
      <c r="H106" s="597"/>
      <c r="I106" s="597"/>
      <c r="J106" s="597"/>
      <c r="K106" s="597"/>
      <c r="L106" s="597"/>
      <c r="M106" s="597"/>
      <c r="N106" s="265"/>
      <c r="O106" s="265"/>
      <c r="P106" s="265"/>
      <c r="Q106" s="265"/>
    </row>
    <row r="107" spans="1:24" ht="12.75" customHeight="1">
      <c r="A107" s="261" t="s">
        <v>343</v>
      </c>
      <c r="B107" s="213"/>
      <c r="C107" s="829" t="s">
        <v>548</v>
      </c>
      <c r="D107" s="829"/>
      <c r="E107" s="829"/>
      <c r="F107" s="829"/>
      <c r="G107" s="829"/>
      <c r="H107" s="829"/>
      <c r="I107" s="829"/>
      <c r="J107" s="829"/>
      <c r="K107" s="829"/>
      <c r="L107" s="829"/>
      <c r="M107" s="829"/>
      <c r="N107" s="266"/>
      <c r="O107" s="266"/>
      <c r="P107" s="266"/>
      <c r="Q107" s="266"/>
    </row>
    <row r="108" spans="1:24">
      <c r="A108" s="261"/>
      <c r="B108" s="213"/>
      <c r="C108" s="598" t="s">
        <v>549</v>
      </c>
      <c r="D108" s="597"/>
      <c r="E108" s="597"/>
      <c r="F108" s="597"/>
      <c r="G108" s="597"/>
      <c r="H108" s="597"/>
      <c r="I108" s="597"/>
      <c r="J108" s="597"/>
      <c r="K108" s="597"/>
      <c r="L108" s="597"/>
      <c r="M108" s="597"/>
      <c r="N108" s="267"/>
      <c r="O108" s="267"/>
      <c r="P108" s="267"/>
      <c r="Q108" s="267"/>
    </row>
    <row r="109" spans="1:24" ht="31.5" customHeight="1">
      <c r="A109" s="261" t="s">
        <v>344</v>
      </c>
      <c r="B109" s="213"/>
      <c r="C109" s="829" t="s">
        <v>550</v>
      </c>
      <c r="D109" s="829"/>
      <c r="E109" s="829"/>
      <c r="F109" s="829"/>
      <c r="G109" s="829"/>
      <c r="H109" s="829"/>
      <c r="I109" s="829"/>
      <c r="J109" s="829"/>
      <c r="K109" s="829"/>
      <c r="L109" s="829"/>
      <c r="M109" s="263"/>
      <c r="N109" s="263"/>
      <c r="O109" s="263"/>
      <c r="P109" s="263"/>
      <c r="Q109" s="263"/>
    </row>
    <row r="110" spans="1:24" ht="15">
      <c r="A110" s="261" t="s">
        <v>345</v>
      </c>
      <c r="B110" s="213"/>
      <c r="C110" s="829" t="s">
        <v>974</v>
      </c>
      <c r="D110" s="831"/>
      <c r="E110" s="831"/>
      <c r="F110" s="831"/>
      <c r="G110" s="831"/>
      <c r="H110" s="831"/>
      <c r="I110" s="831"/>
      <c r="J110" s="831"/>
      <c r="K110" s="831"/>
      <c r="L110" s="831"/>
      <c r="M110" s="597"/>
      <c r="N110" s="265"/>
      <c r="O110" s="265"/>
      <c r="P110" s="265"/>
      <c r="Q110" s="265"/>
    </row>
    <row r="111" spans="1:24" ht="16.5" customHeight="1">
      <c r="A111" s="261" t="s">
        <v>347</v>
      </c>
      <c r="B111" s="213"/>
      <c r="C111" s="598" t="s">
        <v>551</v>
      </c>
      <c r="D111" s="598"/>
      <c r="E111" s="598"/>
      <c r="F111" s="598"/>
      <c r="G111" s="598"/>
      <c r="H111" s="598"/>
      <c r="I111" s="598"/>
      <c r="J111" s="598"/>
      <c r="K111" s="598"/>
      <c r="L111" s="598"/>
      <c r="M111" s="598"/>
      <c r="N111" s="264"/>
      <c r="O111" s="264"/>
      <c r="P111" s="264"/>
      <c r="Q111" s="264"/>
    </row>
    <row r="112" spans="1:24" ht="57" customHeight="1">
      <c r="A112" s="261" t="s">
        <v>349</v>
      </c>
      <c r="B112" s="213"/>
      <c r="C112" s="830" t="s">
        <v>1017</v>
      </c>
      <c r="D112" s="830"/>
      <c r="E112" s="830"/>
      <c r="F112" s="830"/>
      <c r="G112" s="830"/>
      <c r="H112" s="830"/>
      <c r="I112" s="830"/>
      <c r="J112" s="830"/>
      <c r="K112" s="830"/>
      <c r="L112" s="830"/>
      <c r="M112" s="599"/>
    </row>
    <row r="113" spans="1:13">
      <c r="A113" s="261" t="s">
        <v>351</v>
      </c>
      <c r="B113" s="213"/>
      <c r="C113" s="599" t="s">
        <v>552</v>
      </c>
      <c r="D113" s="599"/>
      <c r="E113" s="599"/>
      <c r="F113" s="599"/>
      <c r="G113" s="599"/>
      <c r="H113" s="599"/>
      <c r="I113" s="599"/>
      <c r="J113" s="599"/>
      <c r="K113" s="599"/>
      <c r="L113" s="599"/>
      <c r="M113" s="599"/>
    </row>
    <row r="114" spans="1:13" ht="45" customHeight="1">
      <c r="A114" s="261" t="s">
        <v>353</v>
      </c>
      <c r="C114" s="829" t="s">
        <v>553</v>
      </c>
      <c r="D114" s="829"/>
      <c r="E114" s="829"/>
      <c r="F114" s="829"/>
      <c r="G114" s="829"/>
      <c r="H114" s="829"/>
      <c r="I114" s="829"/>
      <c r="J114" s="829"/>
      <c r="K114" s="829"/>
      <c r="L114" s="829"/>
      <c r="M114" s="599"/>
    </row>
    <row r="115" spans="1:13" ht="48" customHeight="1">
      <c r="A115" s="600" t="s">
        <v>355</v>
      </c>
      <c r="B115" s="569"/>
      <c r="C115" s="828" t="s">
        <v>1155</v>
      </c>
      <c r="D115" s="828"/>
      <c r="E115" s="828"/>
      <c r="F115" s="828"/>
      <c r="G115" s="828"/>
      <c r="H115" s="828"/>
      <c r="I115" s="828"/>
      <c r="J115" s="828"/>
      <c r="K115" s="828"/>
      <c r="L115" s="828"/>
      <c r="M115" s="599"/>
    </row>
  </sheetData>
  <mergeCells count="7">
    <mergeCell ref="C115:L115"/>
    <mergeCell ref="C114:L114"/>
    <mergeCell ref="C104:L104"/>
    <mergeCell ref="C107:M107"/>
    <mergeCell ref="C109:L109"/>
    <mergeCell ref="C112:L112"/>
    <mergeCell ref="C110:L110"/>
  </mergeCells>
  <printOptions horizontalCentered="1"/>
  <pageMargins left="0.25" right="0.25" top="0.5" bottom="0.5" header="0.3" footer="0.3"/>
  <pageSetup scale="57" fitToWidth="2" fitToHeight="2" orientation="landscape" r:id="rId1"/>
  <rowBreaks count="1" manualBreakCount="1">
    <brk id="58" max="22" man="1"/>
  </rowBreaks>
  <colBreaks count="1" manualBreakCount="1">
    <brk id="12" min="58"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63C46-2CC9-44AD-A1D0-9D07575E4719}">
  <sheetPr>
    <pageSetUpPr fitToPage="1"/>
  </sheetPr>
  <dimension ref="A1:L48"/>
  <sheetViews>
    <sheetView zoomScale="80" zoomScaleNormal="80" zoomScaleSheetLayoutView="90" workbookViewId="0">
      <selection activeCell="E13" sqref="E13"/>
    </sheetView>
  </sheetViews>
  <sheetFormatPr defaultColWidth="8.77734375" defaultRowHeight="15"/>
  <cols>
    <col min="1" max="1" width="5.5546875" style="32" customWidth="1"/>
    <col min="2" max="2" width="24.5546875" style="2" customWidth="1"/>
    <col min="3" max="3" width="35.88671875" style="2" customWidth="1"/>
    <col min="4" max="4" width="30.5546875" style="2" customWidth="1"/>
    <col min="5" max="5" width="11.44140625" style="2" customWidth="1"/>
    <col min="6" max="6" width="9" style="2" bestFit="1" customWidth="1"/>
    <col min="7" max="7" width="4.109375" style="2" customWidth="1"/>
    <col min="8" max="8" width="9" style="2" bestFit="1" customWidth="1"/>
    <col min="9" max="9" width="4" style="2" customWidth="1"/>
    <col min="10" max="10" width="12.109375" style="2" customWidth="1"/>
    <col min="11" max="11" width="14" style="85" customWidth="1"/>
  </cols>
  <sheetData>
    <row r="1" spans="1:12">
      <c r="C1" s="166"/>
      <c r="D1" s="166"/>
      <c r="E1" s="166"/>
      <c r="F1" s="166"/>
      <c r="G1" s="165"/>
      <c r="H1" s="166"/>
      <c r="I1" s="166"/>
      <c r="J1" s="166"/>
      <c r="K1" s="167"/>
    </row>
    <row r="2" spans="1:12">
      <c r="B2" s="32"/>
      <c r="C2" s="166"/>
      <c r="D2" s="166"/>
      <c r="E2" s="166"/>
      <c r="F2" s="166"/>
      <c r="G2" s="165"/>
      <c r="H2" s="166"/>
      <c r="I2" s="166"/>
      <c r="J2" s="166"/>
      <c r="K2" s="167"/>
    </row>
    <row r="3" spans="1:12" ht="15.75" customHeight="1">
      <c r="A3" s="832" t="s">
        <v>554</v>
      </c>
      <c r="B3" s="832"/>
      <c r="C3" s="832"/>
      <c r="D3" s="832"/>
      <c r="E3" s="832"/>
      <c r="F3" s="832"/>
      <c r="G3" s="832"/>
      <c r="H3" s="832"/>
      <c r="I3" s="832"/>
      <c r="J3" s="832"/>
      <c r="K3" s="832"/>
      <c r="L3" s="268"/>
    </row>
    <row r="4" spans="1:12" ht="15.75" customHeight="1">
      <c r="A4" s="833" t="s">
        <v>506</v>
      </c>
      <c r="B4" s="833"/>
      <c r="C4" s="833"/>
      <c r="D4" s="833"/>
      <c r="E4" s="833"/>
      <c r="F4" s="833"/>
      <c r="G4" s="833"/>
      <c r="H4" s="833"/>
      <c r="I4" s="833"/>
      <c r="J4" s="833"/>
      <c r="K4" s="833"/>
      <c r="L4" s="268"/>
    </row>
    <row r="5" spans="1:12">
      <c r="A5" s="834" t="str">
        <f>+'Attachment O'!D5</f>
        <v>GridLiance Heartland LLC</v>
      </c>
      <c r="B5" s="834"/>
      <c r="C5" s="834"/>
      <c r="D5" s="834"/>
      <c r="E5" s="834"/>
      <c r="F5" s="834"/>
      <c r="G5" s="834"/>
      <c r="H5" s="834"/>
      <c r="I5" s="834"/>
      <c r="J5" s="834"/>
      <c r="K5" s="834"/>
      <c r="L5" s="269"/>
    </row>
    <row r="6" spans="1:12" ht="15.75">
      <c r="B6" s="270" t="s">
        <v>340</v>
      </c>
      <c r="C6" s="270" t="s">
        <v>341</v>
      </c>
      <c r="D6" s="271" t="s">
        <v>342</v>
      </c>
      <c r="E6" s="270" t="s">
        <v>343</v>
      </c>
      <c r="F6" s="270" t="s">
        <v>344</v>
      </c>
      <c r="G6" s="270" t="s">
        <v>345</v>
      </c>
      <c r="H6" s="270" t="s">
        <v>347</v>
      </c>
      <c r="I6" s="272" t="s">
        <v>349</v>
      </c>
      <c r="J6" s="273" t="s">
        <v>351</v>
      </c>
      <c r="K6" s="273" t="s">
        <v>353</v>
      </c>
    </row>
    <row r="7" spans="1:12">
      <c r="A7" s="32">
        <v>1</v>
      </c>
      <c r="B7" s="2" t="s">
        <v>555</v>
      </c>
      <c r="D7" s="2" t="s">
        <v>556</v>
      </c>
      <c r="K7" s="32">
        <f>+'Attachment O'!I109</f>
        <v>23419812.959203314</v>
      </c>
    </row>
    <row r="9" spans="1:12" ht="15.75" thickBot="1">
      <c r="A9" s="129">
        <f>+A7+1</f>
        <v>2</v>
      </c>
      <c r="B9" s="5" t="s">
        <v>557</v>
      </c>
      <c r="C9" s="10"/>
      <c r="D9" s="10"/>
      <c r="E9" s="10"/>
      <c r="F9" s="10"/>
      <c r="G9" s="10"/>
      <c r="H9" s="10"/>
      <c r="I9" s="10"/>
      <c r="J9" s="94" t="s">
        <v>267</v>
      </c>
    </row>
    <row r="10" spans="1:12">
      <c r="A10" s="129"/>
      <c r="B10" s="12"/>
      <c r="C10" s="10"/>
      <c r="D10" s="10"/>
      <c r="E10" s="10"/>
      <c r="F10" s="10"/>
      <c r="G10" s="10"/>
      <c r="H10" s="11" t="s">
        <v>295</v>
      </c>
      <c r="I10" s="10"/>
      <c r="J10" s="10"/>
    </row>
    <row r="11" spans="1:12" ht="15.75" thickBot="1">
      <c r="A11" s="129"/>
      <c r="B11" s="12"/>
      <c r="C11" s="10"/>
      <c r="D11" s="10"/>
      <c r="E11" s="18" t="s">
        <v>267</v>
      </c>
      <c r="F11" s="18" t="s">
        <v>296</v>
      </c>
      <c r="G11" s="10"/>
      <c r="H11" s="18"/>
      <c r="I11" s="10"/>
      <c r="J11" s="18" t="s">
        <v>297</v>
      </c>
    </row>
    <row r="12" spans="1:12">
      <c r="A12" s="129">
        <f>+A9+1</f>
        <v>3</v>
      </c>
      <c r="B12" s="5" t="s">
        <v>298</v>
      </c>
      <c r="D12" s="4" t="s">
        <v>558</v>
      </c>
      <c r="E12" s="274">
        <v>0</v>
      </c>
      <c r="F12" s="275">
        <f>+'Attachment O'!E230</f>
        <v>0.4</v>
      </c>
      <c r="G12" s="21"/>
      <c r="H12" s="108">
        <f>+'Attachment O'!G230</f>
        <v>2.1866578260869563E-2</v>
      </c>
      <c r="I12" s="21"/>
      <c r="J12" s="276">
        <f>F12*H12</f>
        <v>8.746631304347826E-3</v>
      </c>
    </row>
    <row r="13" spans="1:12">
      <c r="A13" s="129">
        <f>+A12+1</f>
        <v>4</v>
      </c>
      <c r="B13" s="5" t="s">
        <v>559</v>
      </c>
      <c r="D13" s="4" t="s">
        <v>558</v>
      </c>
      <c r="E13" s="274">
        <v>0</v>
      </c>
      <c r="F13" s="275">
        <f>+'Attachment O'!E231</f>
        <v>0</v>
      </c>
      <c r="G13" s="21"/>
      <c r="H13" s="21">
        <v>0</v>
      </c>
      <c r="I13" s="21"/>
      <c r="J13" s="21">
        <f>F13*H13</f>
        <v>0</v>
      </c>
    </row>
    <row r="14" spans="1:12" ht="15" customHeight="1" thickBot="1">
      <c r="A14" s="129">
        <f>+A13+1</f>
        <v>5</v>
      </c>
      <c r="B14" s="5" t="s">
        <v>560</v>
      </c>
      <c r="C14" s="277" t="s">
        <v>561</v>
      </c>
      <c r="D14" s="4" t="s">
        <v>562</v>
      </c>
      <c r="E14" s="564">
        <v>0</v>
      </c>
      <c r="F14" s="275">
        <f>+'Attachment O'!E232</f>
        <v>0.6</v>
      </c>
      <c r="G14" s="21"/>
      <c r="H14" s="278">
        <f>+'Attachment O'!G232+0.01</f>
        <v>0.1152</v>
      </c>
      <c r="I14" s="21"/>
      <c r="J14" s="279">
        <f>F14*H14</f>
        <v>6.9120000000000001E-2</v>
      </c>
    </row>
    <row r="15" spans="1:12">
      <c r="A15" s="129">
        <f>+A14+1</f>
        <v>6</v>
      </c>
      <c r="B15" s="12" t="s">
        <v>305</v>
      </c>
      <c r="D15" s="4" t="s">
        <v>563</v>
      </c>
      <c r="E15" s="42">
        <f>SUM(E12:E14)</f>
        <v>0</v>
      </c>
      <c r="F15" s="21" t="s">
        <v>9</v>
      </c>
      <c r="G15" s="21"/>
      <c r="H15" s="21"/>
      <c r="I15" s="21"/>
      <c r="J15" s="276">
        <f>SUM(J12:J14)</f>
        <v>7.786663130434783E-2</v>
      </c>
    </row>
    <row r="16" spans="1:12">
      <c r="A16" s="129">
        <f t="shared" ref="A16:A40" si="0">+A15+1</f>
        <v>7</v>
      </c>
      <c r="B16" s="12" t="s">
        <v>564</v>
      </c>
      <c r="C16" s="4"/>
      <c r="D16" s="4" t="s">
        <v>565</v>
      </c>
      <c r="E16" s="42"/>
      <c r="F16" s="10"/>
      <c r="G16" s="10"/>
      <c r="H16" s="10"/>
      <c r="I16" s="10"/>
      <c r="J16" s="49"/>
      <c r="K16" s="32">
        <f>+J15*K7</f>
        <v>1823621.9409110718</v>
      </c>
    </row>
    <row r="17" spans="1:11">
      <c r="A17" s="129"/>
    </row>
    <row r="18" spans="1:11">
      <c r="A18" s="129">
        <f>+A16+1</f>
        <v>8</v>
      </c>
      <c r="B18" s="12" t="s">
        <v>217</v>
      </c>
      <c r="C18" s="10"/>
      <c r="D18" s="10"/>
      <c r="E18" s="10"/>
      <c r="F18" s="10"/>
      <c r="G18" s="4"/>
      <c r="H18" s="100"/>
      <c r="I18" s="10"/>
      <c r="J18" s="4"/>
    </row>
    <row r="19" spans="1:11">
      <c r="A19" s="129">
        <f t="shared" si="0"/>
        <v>9</v>
      </c>
      <c r="B19" s="74" t="s">
        <v>1022</v>
      </c>
      <c r="C19" s="10"/>
      <c r="D19" s="280" t="str">
        <f>"Attachment O-GLH, Page 3, Line "&amp;+'Attachment O'!A159</f>
        <v>Attachment O-GLH, Page 3, Line 21</v>
      </c>
      <c r="E19" s="75">
        <f>'Attachment O'!D159</f>
        <v>0.25700499999999993</v>
      </c>
      <c r="F19" s="75"/>
      <c r="G19" s="4"/>
      <c r="H19" s="100"/>
      <c r="I19" s="10"/>
      <c r="J19" s="4"/>
    </row>
    <row r="20" spans="1:11">
      <c r="A20" s="129">
        <f t="shared" si="0"/>
        <v>10</v>
      </c>
      <c r="B20" s="4" t="s">
        <v>218</v>
      </c>
      <c r="C20" s="10"/>
      <c r="D20" s="601"/>
      <c r="E20" s="75">
        <f>IF(J15&gt;0,(E19/(1-E19))*(1-J12/J15),0)</f>
        <v>0.30704923830044689</v>
      </c>
      <c r="F20" s="10"/>
      <c r="G20" s="4"/>
      <c r="H20" s="100"/>
      <c r="I20" s="10"/>
      <c r="J20" s="4"/>
    </row>
    <row r="21" spans="1:11">
      <c r="A21" s="129">
        <f t="shared" si="0"/>
        <v>11</v>
      </c>
      <c r="B21" s="10" t="s">
        <v>566</v>
      </c>
      <c r="C21" s="10"/>
      <c r="D21" s="10"/>
      <c r="E21" s="10"/>
      <c r="F21" s="10"/>
      <c r="G21" s="4"/>
      <c r="H21" s="100"/>
      <c r="I21" s="10"/>
      <c r="J21" s="4"/>
    </row>
    <row r="22" spans="1:11">
      <c r="A22" s="129">
        <f t="shared" si="0"/>
        <v>12</v>
      </c>
      <c r="B22" s="12" t="s">
        <v>567</v>
      </c>
      <c r="C22" s="10"/>
      <c r="D22" s="10"/>
      <c r="E22" s="10"/>
      <c r="F22" s="10"/>
      <c r="G22" s="4"/>
      <c r="H22" s="100"/>
      <c r="I22" s="10"/>
      <c r="J22" s="4"/>
    </row>
    <row r="23" spans="1:11">
      <c r="A23" s="129">
        <f t="shared" si="0"/>
        <v>13</v>
      </c>
      <c r="B23" s="74" t="str">
        <f>"      1 / (1 - T)  =  (from line "&amp;A19&amp;")"</f>
        <v xml:space="preserve">      1 / (1 - T)  =  (from line 9)</v>
      </c>
      <c r="C23" s="10"/>
      <c r="D23" s="10"/>
      <c r="E23" s="75">
        <f>IF(E19&gt;0,1/(1-E19),0)</f>
        <v>1.3459040774164024</v>
      </c>
      <c r="F23" s="10"/>
      <c r="G23" s="4"/>
      <c r="H23" s="100"/>
      <c r="I23" s="10"/>
      <c r="J23" s="4"/>
    </row>
    <row r="24" spans="1:11">
      <c r="A24" s="129">
        <f t="shared" si="0"/>
        <v>14</v>
      </c>
      <c r="B24" s="12" t="s">
        <v>568</v>
      </c>
      <c r="C24" s="10"/>
      <c r="D24" s="280" t="str">
        <f>"Attachment O-GLH, Page 3, Line "&amp;+'Attachment O'!A164</f>
        <v>Attachment O-GLH, Page 3, Line 24</v>
      </c>
      <c r="E24" s="56">
        <f>+'Attachment O'!D164</f>
        <v>0</v>
      </c>
      <c r="F24" s="10"/>
      <c r="G24" s="4"/>
      <c r="H24" s="100"/>
      <c r="I24" s="10"/>
      <c r="J24" s="4"/>
    </row>
    <row r="25" spans="1:11">
      <c r="A25" s="129">
        <f t="shared" si="0"/>
        <v>15</v>
      </c>
      <c r="B25" s="12" t="s">
        <v>569</v>
      </c>
      <c r="C25" s="10"/>
      <c r="D25" s="280" t="str">
        <f>"Attachment O-GLH, Page 3, Line "&amp;+'Attachment O'!A165</f>
        <v>Attachment O-GLH, Page 3, Line 24a</v>
      </c>
      <c r="E25" s="56">
        <f>+'Attachment O'!D165</f>
        <v>0</v>
      </c>
      <c r="F25" s="10"/>
      <c r="G25" s="4"/>
      <c r="H25" s="32"/>
      <c r="I25" s="10"/>
      <c r="J25" s="4"/>
    </row>
    <row r="26" spans="1:11">
      <c r="A26" s="129">
        <f t="shared" si="0"/>
        <v>16</v>
      </c>
      <c r="B26" s="12" t="s">
        <v>570</v>
      </c>
      <c r="C26" s="10"/>
      <c r="D26" s="280" t="str">
        <f>"Attachment O-GLH, Page 3, Line "&amp;+'Attachment O'!A166</f>
        <v>Attachment O-GLH, Page 3, Line 24b</v>
      </c>
      <c r="E26" s="56">
        <f>+'Attachment O'!D166</f>
        <v>-311439.83550000004</v>
      </c>
      <c r="F26" s="10"/>
      <c r="G26" s="4"/>
      <c r="H26" s="100"/>
      <c r="I26" s="10"/>
      <c r="J26" s="4"/>
    </row>
    <row r="27" spans="1:11">
      <c r="A27" s="129">
        <f t="shared" si="0"/>
        <v>17</v>
      </c>
      <c r="B27" s="74" t="str">
        <f>"Income Tax Calculation"</f>
        <v>Income Tax Calculation</v>
      </c>
      <c r="C27" s="76"/>
      <c r="D27" s="76" t="s">
        <v>571</v>
      </c>
      <c r="E27" s="66">
        <f>+E20*K16</f>
        <v>559941.72790472722</v>
      </c>
      <c r="F27" s="22"/>
      <c r="G27" s="22" t="s">
        <v>83</v>
      </c>
      <c r="H27" s="24"/>
      <c r="I27" s="22"/>
      <c r="J27" s="66">
        <f>+E20*K16</f>
        <v>559941.72790472722</v>
      </c>
    </row>
    <row r="28" spans="1:11">
      <c r="A28" s="129">
        <f t="shared" si="0"/>
        <v>18</v>
      </c>
      <c r="B28" s="4" t="str">
        <f>"ITC adjustment"</f>
        <v>ITC adjustment</v>
      </c>
      <c r="C28" s="76"/>
      <c r="D28" s="76" t="s">
        <v>572</v>
      </c>
      <c r="E28" s="56">
        <f>+E23*E24</f>
        <v>0</v>
      </c>
      <c r="F28" s="22"/>
      <c r="G28" s="1" t="s">
        <v>119</v>
      </c>
      <c r="H28" s="21">
        <f>+'Attachment O'!I168</f>
        <v>0</v>
      </c>
      <c r="I28" s="22"/>
      <c r="J28" s="56">
        <f>+'Attachment O'!N168</f>
        <v>0</v>
      </c>
    </row>
    <row r="29" spans="1:11">
      <c r="A29" s="129">
        <f t="shared" si="0"/>
        <v>19</v>
      </c>
      <c r="B29" s="4" t="str">
        <f>"Excess Deferred Income Tax Adjustment"</f>
        <v>Excess Deferred Income Tax Adjustment</v>
      </c>
      <c r="C29" s="76"/>
      <c r="D29" s="76" t="s">
        <v>573</v>
      </c>
      <c r="E29" s="56">
        <f>+E23*E25</f>
        <v>0</v>
      </c>
      <c r="F29" s="22"/>
      <c r="G29" s="1" t="s">
        <v>119</v>
      </c>
      <c r="H29" s="21">
        <f>H28</f>
        <v>0</v>
      </c>
      <c r="I29" s="22"/>
      <c r="J29" s="56">
        <f>+'Attachment O'!N169</f>
        <v>0</v>
      </c>
    </row>
    <row r="30" spans="1:11" ht="15.75" thickBot="1">
      <c r="A30" s="129">
        <f t="shared" si="0"/>
        <v>20</v>
      </c>
      <c r="B30" s="4" t="str">
        <f>"Permanent Differences Tax Adjustment"</f>
        <v>Permanent Differences Tax Adjustment</v>
      </c>
      <c r="C30" s="76"/>
      <c r="D30" s="76" t="s">
        <v>574</v>
      </c>
      <c r="E30" s="281">
        <f>+E23*E26</f>
        <v>-419168.14446934371</v>
      </c>
      <c r="F30" s="22"/>
      <c r="G30" s="1" t="s">
        <v>119</v>
      </c>
      <c r="H30" s="21">
        <f>H29</f>
        <v>0</v>
      </c>
      <c r="I30" s="22"/>
      <c r="J30" s="281">
        <f>+'Attachment O'!N170</f>
        <v>0</v>
      </c>
    </row>
    <row r="31" spans="1:11">
      <c r="A31" s="129">
        <f t="shared" si="0"/>
        <v>21</v>
      </c>
      <c r="B31" s="78" t="str">
        <f>"Total Income Taxes"</f>
        <v>Total Income Taxes</v>
      </c>
      <c r="C31" s="4"/>
      <c r="D31" s="4" t="s">
        <v>575</v>
      </c>
      <c r="E31" s="66">
        <f>SUM(E27:E30)</f>
        <v>140773.58343538351</v>
      </c>
      <c r="F31" s="22"/>
      <c r="G31" s="22" t="s">
        <v>9</v>
      </c>
      <c r="H31" s="24" t="s">
        <v>9</v>
      </c>
      <c r="I31" s="22"/>
      <c r="J31" s="66">
        <f>SUM(J27:J30)</f>
        <v>559941.72790472722</v>
      </c>
      <c r="K31" s="32">
        <f>+J31</f>
        <v>559941.72790472722</v>
      </c>
    </row>
    <row r="32" spans="1:11">
      <c r="A32" s="129"/>
      <c r="K32" s="565"/>
    </row>
    <row r="33" spans="1:11">
      <c r="A33" s="129">
        <f>+A31+1</f>
        <v>22</v>
      </c>
      <c r="B33" s="4" t="s">
        <v>576</v>
      </c>
      <c r="K33" s="32">
        <f>+K31+K16</f>
        <v>2383563.6688157991</v>
      </c>
    </row>
    <row r="34" spans="1:11">
      <c r="A34" s="129"/>
      <c r="K34" s="565"/>
    </row>
    <row r="35" spans="1:11">
      <c r="A35" s="129">
        <f>+A33+1</f>
        <v>23</v>
      </c>
      <c r="B35" s="2" t="s">
        <v>577</v>
      </c>
      <c r="D35" s="2" t="s">
        <v>578</v>
      </c>
      <c r="K35" s="32">
        <f>+'Attachment O'!I174</f>
        <v>1683103.0631558518</v>
      </c>
    </row>
    <row r="36" spans="1:11">
      <c r="A36" s="129">
        <f t="shared" si="0"/>
        <v>24</v>
      </c>
      <c r="B36" s="2" t="s">
        <v>579</v>
      </c>
      <c r="D36" s="2" t="s">
        <v>580</v>
      </c>
      <c r="K36" s="32">
        <f>+'Attachment O'!I171</f>
        <v>162730.75706934097</v>
      </c>
    </row>
    <row r="37" spans="1:11">
      <c r="A37" s="129">
        <f t="shared" si="0"/>
        <v>25</v>
      </c>
      <c r="B37" s="4" t="s">
        <v>581</v>
      </c>
      <c r="D37" s="2" t="s">
        <v>582</v>
      </c>
      <c r="K37" s="187">
        <f>SUM(K35:K36)</f>
        <v>1845833.8202251927</v>
      </c>
    </row>
    <row r="38" spans="1:11">
      <c r="A38" s="129">
        <f t="shared" si="0"/>
        <v>26</v>
      </c>
      <c r="B38" s="4" t="s">
        <v>583</v>
      </c>
      <c r="D38" s="2" t="s">
        <v>584</v>
      </c>
      <c r="K38" s="32">
        <f>+K33-K37</f>
        <v>537729.84859060636</v>
      </c>
    </row>
    <row r="39" spans="1:11">
      <c r="A39" s="129">
        <f t="shared" si="0"/>
        <v>27</v>
      </c>
      <c r="B39" s="2" t="s">
        <v>555</v>
      </c>
      <c r="D39" s="2" t="s">
        <v>585</v>
      </c>
      <c r="K39" s="282">
        <f>+K7</f>
        <v>23419812.959203314</v>
      </c>
    </row>
    <row r="40" spans="1:11">
      <c r="A40" s="129">
        <f t="shared" si="0"/>
        <v>28</v>
      </c>
      <c r="B40" s="2" t="s">
        <v>586</v>
      </c>
      <c r="D40" s="2" t="s">
        <v>587</v>
      </c>
      <c r="K40" s="283">
        <f>IF(K39=0,0,K38/K39)</f>
        <v>2.2960467255964741E-2</v>
      </c>
    </row>
    <row r="42" spans="1:11">
      <c r="A42" s="32" t="s">
        <v>588</v>
      </c>
    </row>
    <row r="43" spans="1:11">
      <c r="A43" s="105" t="s">
        <v>340</v>
      </c>
      <c r="B43" s="284" t="s">
        <v>589</v>
      </c>
    </row>
    <row r="44" spans="1:11">
      <c r="A44" s="105"/>
      <c r="B44" s="162" t="s">
        <v>590</v>
      </c>
    </row>
    <row r="45" spans="1:11">
      <c r="A45" s="105"/>
      <c r="B45" s="162" t="s">
        <v>591</v>
      </c>
    </row>
    <row r="46" spans="1:11">
      <c r="A46" s="105"/>
      <c r="B46" s="162" t="s">
        <v>592</v>
      </c>
    </row>
    <row r="47" spans="1:11">
      <c r="A47" s="105" t="s">
        <v>341</v>
      </c>
      <c r="B47" s="162" t="s">
        <v>593</v>
      </c>
    </row>
    <row r="48" spans="1:11">
      <c r="B48" s="162" t="s">
        <v>594</v>
      </c>
    </row>
  </sheetData>
  <mergeCells count="3">
    <mergeCell ref="A3:K3"/>
    <mergeCell ref="A4:K4"/>
    <mergeCell ref="A5:K5"/>
  </mergeCells>
  <pageMargins left="0.25" right="0.25" top="0.75" bottom="0.75" header="0.3" footer="0.3"/>
  <pageSetup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DC97F-817D-4C08-994B-181037B40E12}">
  <sheetPr>
    <pageSetUpPr fitToPage="1"/>
  </sheetPr>
  <dimension ref="A1:N49"/>
  <sheetViews>
    <sheetView zoomScale="80" zoomScaleNormal="80" zoomScaleSheetLayoutView="100" workbookViewId="0">
      <selection activeCell="G16" sqref="G16"/>
    </sheetView>
  </sheetViews>
  <sheetFormatPr defaultColWidth="8.88671875" defaultRowHeight="12.75"/>
  <cols>
    <col min="1" max="1" width="6" style="163" customWidth="1"/>
    <col min="2" max="2" width="27" style="163" customWidth="1"/>
    <col min="3" max="3" width="27.33203125" style="163" bestFit="1" customWidth="1"/>
    <col min="4" max="4" width="15" style="163" customWidth="1"/>
    <col min="5" max="6" width="23" style="163" customWidth="1"/>
    <col min="7" max="7" width="21" style="163" customWidth="1"/>
    <col min="8" max="8" width="18.109375" style="163" customWidth="1"/>
    <col min="9" max="9" width="18.5546875" style="163" customWidth="1"/>
    <col min="10" max="10" width="13.88671875" style="163" customWidth="1"/>
    <col min="11" max="11" width="7" style="163" customWidth="1"/>
    <col min="12" max="12" width="13.5546875" style="163" customWidth="1"/>
    <col min="13" max="16384" width="8.88671875" style="163"/>
  </cols>
  <sheetData>
    <row r="1" spans="1:14">
      <c r="E1" s="210"/>
    </row>
    <row r="2" spans="1:14">
      <c r="D2" s="166"/>
      <c r="E2" s="165" t="s">
        <v>595</v>
      </c>
      <c r="F2" s="166"/>
      <c r="G2" s="166"/>
      <c r="I2" s="166"/>
      <c r="K2" s="166" t="s">
        <v>596</v>
      </c>
      <c r="L2" s="166"/>
    </row>
    <row r="3" spans="1:14">
      <c r="D3" s="166"/>
      <c r="E3" s="285" t="s">
        <v>597</v>
      </c>
      <c r="F3" s="170"/>
      <c r="G3" s="170"/>
      <c r="I3" s="170"/>
      <c r="J3" s="170"/>
      <c r="K3" s="170"/>
      <c r="L3" s="166"/>
    </row>
    <row r="4" spans="1:14">
      <c r="C4" s="168"/>
      <c r="D4" s="168"/>
      <c r="E4" s="17" t="str">
        <f>+'Attachment O'!D5</f>
        <v>GridLiance Heartland LLC</v>
      </c>
      <c r="F4" s="168"/>
      <c r="G4" s="168"/>
      <c r="I4" s="168"/>
      <c r="J4" s="168"/>
      <c r="K4" s="168"/>
      <c r="L4" s="168"/>
    </row>
    <row r="5" spans="1:14">
      <c r="A5" s="165"/>
      <c r="C5" s="168"/>
      <c r="D5" s="168"/>
      <c r="E5" s="178"/>
      <c r="F5" s="168"/>
      <c r="G5" s="168"/>
      <c r="I5" s="168"/>
      <c r="J5" s="168"/>
      <c r="K5" s="168"/>
      <c r="L5" s="168"/>
    </row>
    <row r="6" spans="1:14">
      <c r="A6" s="165"/>
      <c r="C6" s="168"/>
      <c r="D6" s="168"/>
      <c r="E6" s="168"/>
      <c r="F6" s="168"/>
      <c r="G6" s="168"/>
      <c r="H6" s="172"/>
      <c r="I6" s="168"/>
      <c r="J6" s="168"/>
      <c r="K6" s="168"/>
      <c r="L6" s="168"/>
    </row>
    <row r="7" spans="1:14">
      <c r="A7" s="165"/>
      <c r="E7" s="212"/>
      <c r="I7" s="168"/>
      <c r="J7" s="168"/>
      <c r="K7" s="168"/>
      <c r="L7" s="168"/>
    </row>
    <row r="8" spans="1:14" s="213" customFormat="1" ht="15" customHeight="1">
      <c r="B8" s="286"/>
      <c r="C8" s="286"/>
      <c r="D8" s="286"/>
      <c r="E8" s="287"/>
      <c r="F8" s="288"/>
      <c r="G8" s="289"/>
      <c r="H8" s="290"/>
    </row>
    <row r="9" spans="1:14" s="213" customFormat="1">
      <c r="A9" s="287"/>
      <c r="B9" s="286" t="s">
        <v>598</v>
      </c>
      <c r="C9" s="286"/>
      <c r="D9" s="286"/>
      <c r="F9" s="291" t="s">
        <v>599</v>
      </c>
      <c r="G9" s="292"/>
      <c r="H9" s="293"/>
    </row>
    <row r="10" spans="1:14" s="213" customFormat="1">
      <c r="A10" s="294">
        <v>1</v>
      </c>
      <c r="B10" s="796">
        <v>2020</v>
      </c>
      <c r="C10" s="286"/>
      <c r="D10" s="295"/>
      <c r="E10" s="295"/>
      <c r="F10" s="295"/>
      <c r="G10" s="295"/>
      <c r="H10" s="295"/>
    </row>
    <row r="11" spans="1:14" s="213" customFormat="1">
      <c r="A11" s="294"/>
      <c r="B11" s="296" t="s">
        <v>340</v>
      </c>
      <c r="C11" s="297" t="s">
        <v>341</v>
      </c>
      <c r="D11" s="298" t="s">
        <v>342</v>
      </c>
      <c r="E11" s="298" t="s">
        <v>343</v>
      </c>
      <c r="F11" s="298" t="s">
        <v>344</v>
      </c>
      <c r="G11" s="298" t="s">
        <v>345</v>
      </c>
      <c r="H11" s="298" t="s">
        <v>347</v>
      </c>
      <c r="M11" s="299"/>
      <c r="N11" s="299"/>
    </row>
    <row r="12" spans="1:14" s="213" customFormat="1">
      <c r="A12" s="294"/>
      <c r="B12" s="295"/>
      <c r="C12" s="300"/>
      <c r="D12" s="301"/>
      <c r="E12" s="301"/>
      <c r="F12" s="301" t="s">
        <v>600</v>
      </c>
      <c r="G12" s="302"/>
      <c r="H12" s="302"/>
    </row>
    <row r="13" spans="1:14" s="213" customFormat="1">
      <c r="A13" s="294"/>
      <c r="B13" s="301" t="s">
        <v>601</v>
      </c>
      <c r="C13" s="301"/>
      <c r="D13" s="301" t="s">
        <v>602</v>
      </c>
      <c r="E13" s="301"/>
      <c r="F13" s="301" t="s">
        <v>603</v>
      </c>
      <c r="G13" s="301" t="s">
        <v>604</v>
      </c>
      <c r="H13" s="303" t="s">
        <v>605</v>
      </c>
    </row>
    <row r="14" spans="1:14" s="213" customFormat="1">
      <c r="A14" s="294"/>
      <c r="B14" s="301" t="s">
        <v>606</v>
      </c>
      <c r="C14" s="301"/>
      <c r="D14" s="301" t="s">
        <v>607</v>
      </c>
      <c r="E14" s="301"/>
      <c r="F14" s="301" t="s">
        <v>608</v>
      </c>
      <c r="G14" s="301" t="s">
        <v>609</v>
      </c>
      <c r="H14" s="303" t="s">
        <v>610</v>
      </c>
    </row>
    <row r="15" spans="1:14" s="213" customFormat="1" ht="15.75">
      <c r="A15" s="294"/>
      <c r="B15" s="298" t="s">
        <v>611</v>
      </c>
      <c r="C15" s="298" t="s">
        <v>612</v>
      </c>
      <c r="D15" s="298" t="s">
        <v>613</v>
      </c>
      <c r="E15" s="299" t="s">
        <v>614</v>
      </c>
      <c r="F15" s="301" t="s">
        <v>615</v>
      </c>
      <c r="G15" s="298" t="s">
        <v>616</v>
      </c>
      <c r="H15" s="298" t="s">
        <v>617</v>
      </c>
    </row>
    <row r="16" spans="1:14" s="213" customFormat="1">
      <c r="A16" s="294">
        <v>2</v>
      </c>
      <c r="B16" s="566"/>
      <c r="C16" s="575" t="s">
        <v>1150</v>
      </c>
      <c r="D16" s="779">
        <v>4022215</v>
      </c>
      <c r="E16" s="780">
        <v>3154366.7126641399</v>
      </c>
      <c r="F16" s="781">
        <f t="shared" ref="F16:F21" si="0">D16-E16</f>
        <v>867848.28733586008</v>
      </c>
      <c r="G16" s="782">
        <f>F16*(E47*24)</f>
        <v>64865.460562017433</v>
      </c>
      <c r="H16" s="783">
        <f t="shared" ref="H16:H21" si="1">+F16+G16</f>
        <v>932713.74789787747</v>
      </c>
    </row>
    <row r="17" spans="1:14" s="213" customFormat="1">
      <c r="A17" s="294" t="s">
        <v>618</v>
      </c>
      <c r="B17" s="304"/>
      <c r="C17" s="304"/>
      <c r="D17" s="784">
        <v>0</v>
      </c>
      <c r="E17" s="785">
        <v>0</v>
      </c>
      <c r="F17" s="786">
        <f t="shared" si="0"/>
        <v>0</v>
      </c>
      <c r="G17" s="787">
        <f>F17*($E$47*24)</f>
        <v>0</v>
      </c>
      <c r="H17" s="786">
        <f t="shared" si="1"/>
        <v>0</v>
      </c>
    </row>
    <row r="18" spans="1:14" s="213" customFormat="1">
      <c r="A18" s="294" t="s">
        <v>619</v>
      </c>
      <c r="B18" s="304"/>
      <c r="C18" s="304"/>
      <c r="D18" s="784">
        <v>0</v>
      </c>
      <c r="E18" s="785">
        <v>0</v>
      </c>
      <c r="F18" s="786">
        <f t="shared" si="0"/>
        <v>0</v>
      </c>
      <c r="G18" s="787">
        <v>0</v>
      </c>
      <c r="H18" s="786">
        <f t="shared" si="1"/>
        <v>0</v>
      </c>
    </row>
    <row r="19" spans="1:14" s="213" customFormat="1">
      <c r="A19" s="294" t="s">
        <v>620</v>
      </c>
      <c r="B19" s="304"/>
      <c r="C19" s="304"/>
      <c r="D19" s="784">
        <v>0</v>
      </c>
      <c r="E19" s="785">
        <v>0</v>
      </c>
      <c r="F19" s="786">
        <f t="shared" si="0"/>
        <v>0</v>
      </c>
      <c r="G19" s="787">
        <v>0</v>
      </c>
      <c r="H19" s="786">
        <f t="shared" si="1"/>
        <v>0</v>
      </c>
    </row>
    <row r="20" spans="1:14" s="213" customFormat="1">
      <c r="A20" s="294" t="s">
        <v>621</v>
      </c>
      <c r="B20" s="304"/>
      <c r="C20" s="304"/>
      <c r="D20" s="784">
        <v>0</v>
      </c>
      <c r="E20" s="785">
        <v>0</v>
      </c>
      <c r="F20" s="786">
        <f t="shared" si="0"/>
        <v>0</v>
      </c>
      <c r="G20" s="787">
        <v>0</v>
      </c>
      <c r="H20" s="786">
        <f t="shared" si="1"/>
        <v>0</v>
      </c>
    </row>
    <row r="21" spans="1:14" s="213" customFormat="1">
      <c r="A21" s="294"/>
      <c r="B21" s="305"/>
      <c r="C21" s="305"/>
      <c r="D21" s="788">
        <v>0</v>
      </c>
      <c r="E21" s="789">
        <v>0</v>
      </c>
      <c r="F21" s="790">
        <f t="shared" si="0"/>
        <v>0</v>
      </c>
      <c r="G21" s="791">
        <v>0</v>
      </c>
      <c r="H21" s="790">
        <f t="shared" si="1"/>
        <v>0</v>
      </c>
    </row>
    <row r="22" spans="1:14" s="213" customFormat="1">
      <c r="A22" s="294"/>
      <c r="B22" s="286"/>
      <c r="C22" s="306"/>
      <c r="D22" s="792"/>
      <c r="E22" s="792"/>
      <c r="F22" s="792"/>
      <c r="G22" s="792"/>
      <c r="H22" s="793"/>
      <c r="J22" s="306"/>
      <c r="K22" s="306"/>
    </row>
    <row r="23" spans="1:14" s="213" customFormat="1">
      <c r="A23" s="294">
        <v>3</v>
      </c>
      <c r="B23" s="308" t="s">
        <v>21</v>
      </c>
      <c r="C23" s="306"/>
      <c r="D23" s="792">
        <f>SUM(D16:D21)</f>
        <v>4022215</v>
      </c>
      <c r="E23" s="792">
        <f t="shared" ref="E23" si="2">SUM(E16:E21)</f>
        <v>3154366.7126641399</v>
      </c>
      <c r="F23" s="792">
        <f>SUM(F16:F21)</f>
        <v>867848.28733586008</v>
      </c>
      <c r="G23" s="792">
        <f>SUM(G16:G21)</f>
        <v>64865.460562017433</v>
      </c>
      <c r="H23" s="792">
        <f>SUM(H16:H21)</f>
        <v>932713.74789787747</v>
      </c>
      <c r="J23" s="306"/>
      <c r="K23" s="306"/>
    </row>
    <row r="24" spans="1:14" s="213" customFormat="1">
      <c r="A24" s="294"/>
      <c r="B24" s="286"/>
      <c r="C24" s="306"/>
      <c r="D24" s="306"/>
      <c r="E24" s="306"/>
      <c r="F24" s="306"/>
      <c r="G24" s="306"/>
      <c r="H24" s="306"/>
      <c r="I24" s="307"/>
      <c r="J24" s="306"/>
      <c r="K24" s="306"/>
    </row>
    <row r="25" spans="1:14" s="213" customFormat="1">
      <c r="A25" s="308"/>
      <c r="B25" s="286"/>
      <c r="C25" s="306"/>
      <c r="D25" s="306"/>
      <c r="E25" s="306"/>
      <c r="F25" s="306"/>
      <c r="G25" s="306"/>
      <c r="H25" s="306"/>
      <c r="I25" s="307"/>
      <c r="J25" s="306"/>
      <c r="K25" s="306"/>
    </row>
    <row r="26" spans="1:14" s="213" customFormat="1" ht="15">
      <c r="A26" s="308"/>
      <c r="B26" s="309"/>
      <c r="C26" s="2"/>
      <c r="D26" s="2"/>
      <c r="E26" s="2"/>
      <c r="F26" s="32"/>
      <c r="G26" s="32"/>
      <c r="H26" s="2"/>
      <c r="I26" s="310"/>
      <c r="J26" s="21"/>
      <c r="K26" s="311"/>
      <c r="L26" s="311"/>
    </row>
    <row r="27" spans="1:14" s="213" customFormat="1">
      <c r="A27" s="308"/>
      <c r="B27" s="2" t="s">
        <v>975</v>
      </c>
      <c r="C27" s="2"/>
      <c r="D27" s="2"/>
      <c r="E27" s="2"/>
      <c r="F27" s="2"/>
      <c r="G27" s="2"/>
      <c r="H27" s="2"/>
      <c r="I27" s="286"/>
      <c r="J27" s="286"/>
      <c r="K27" s="286"/>
      <c r="L27" s="286"/>
      <c r="M27" s="286"/>
      <c r="N27" s="286"/>
    </row>
    <row r="28" spans="1:14" s="213" customFormat="1">
      <c r="A28" s="308"/>
      <c r="B28" s="2" t="s">
        <v>622</v>
      </c>
      <c r="C28" s="2"/>
      <c r="D28" s="2"/>
      <c r="E28" s="2"/>
      <c r="F28" s="2"/>
      <c r="G28" s="2"/>
      <c r="H28" s="2"/>
      <c r="I28" s="286"/>
      <c r="J28" s="286"/>
      <c r="K28" s="286"/>
      <c r="L28" s="286"/>
      <c r="M28" s="286"/>
      <c r="N28" s="286"/>
    </row>
    <row r="29" spans="1:14" s="213" customFormat="1">
      <c r="A29" s="308"/>
      <c r="B29" s="2" t="s">
        <v>623</v>
      </c>
      <c r="C29" s="2"/>
      <c r="D29" s="2"/>
      <c r="E29" s="2"/>
      <c r="F29" s="2"/>
      <c r="G29" s="2"/>
      <c r="H29" s="2"/>
      <c r="I29" s="286"/>
      <c r="J29" s="286"/>
      <c r="K29" s="286"/>
      <c r="L29" s="286"/>
      <c r="M29" s="286"/>
      <c r="N29" s="286"/>
    </row>
    <row r="30" spans="1:14" s="213" customFormat="1">
      <c r="A30" s="308"/>
      <c r="B30" s="2"/>
      <c r="C30" s="2"/>
      <c r="D30" s="2"/>
      <c r="E30" s="2"/>
      <c r="F30" s="2"/>
      <c r="G30" s="2"/>
      <c r="H30" s="2"/>
      <c r="I30" s="286"/>
      <c r="J30" s="286"/>
      <c r="K30" s="286"/>
      <c r="L30" s="286"/>
      <c r="M30" s="286"/>
      <c r="N30" s="286"/>
    </row>
    <row r="31" spans="1:14" s="213" customFormat="1" ht="57.75" customHeight="1">
      <c r="A31" s="312"/>
      <c r="B31" s="835" t="s">
        <v>1000</v>
      </c>
      <c r="C31" s="835"/>
      <c r="D31" s="835"/>
      <c r="E31" s="835"/>
      <c r="F31" s="835"/>
      <c r="G31" s="835"/>
      <c r="H31" s="835"/>
      <c r="I31" s="835"/>
      <c r="J31" s="835"/>
      <c r="K31" s="312"/>
      <c r="L31" s="312"/>
      <c r="M31" s="312"/>
      <c r="N31" s="312"/>
    </row>
    <row r="32" spans="1:14">
      <c r="A32" s="165"/>
      <c r="E32" s="212"/>
      <c r="F32" s="212"/>
      <c r="G32" s="212"/>
      <c r="I32" s="168"/>
      <c r="J32" s="168"/>
      <c r="K32" s="313"/>
      <c r="L32" s="313"/>
      <c r="M32" s="213"/>
      <c r="N32" s="213"/>
    </row>
    <row r="33" spans="1:12">
      <c r="A33" s="314"/>
      <c r="B33" s="14"/>
      <c r="C33" s="14"/>
      <c r="D33" s="14"/>
      <c r="E33" s="14"/>
      <c r="F33" s="14"/>
      <c r="G33" s="14"/>
      <c r="H33" s="14"/>
      <c r="I33" s="14"/>
      <c r="J33" s="14"/>
      <c r="L33" s="213"/>
    </row>
    <row r="34" spans="1:12">
      <c r="A34" s="314" t="s">
        <v>624</v>
      </c>
      <c r="K34" s="213"/>
      <c r="L34" s="213"/>
    </row>
    <row r="35" spans="1:12">
      <c r="K35" s="213"/>
      <c r="L35" s="213"/>
    </row>
    <row r="36" spans="1:12">
      <c r="B36" s="14" t="s">
        <v>329</v>
      </c>
      <c r="C36" s="14" t="s">
        <v>330</v>
      </c>
      <c r="D36" s="14" t="s">
        <v>331</v>
      </c>
      <c r="E36" s="14" t="s">
        <v>332</v>
      </c>
      <c r="K36" s="213"/>
      <c r="L36" s="213"/>
    </row>
    <row r="37" spans="1:12" ht="25.5">
      <c r="A37" s="315">
        <v>4</v>
      </c>
      <c r="B37" s="316" t="s">
        <v>625</v>
      </c>
      <c r="C37" s="210" t="s">
        <v>626</v>
      </c>
      <c r="D37" s="210" t="s">
        <v>598</v>
      </c>
      <c r="E37" s="317" t="s">
        <v>627</v>
      </c>
      <c r="K37" s="213"/>
      <c r="L37" s="213"/>
    </row>
    <row r="38" spans="1:12">
      <c r="A38" s="315">
        <v>5</v>
      </c>
      <c r="C38" s="316" t="s">
        <v>628</v>
      </c>
      <c r="D38" s="244" t="s">
        <v>1157</v>
      </c>
      <c r="E38" s="794">
        <v>4.1000000000000003E-3</v>
      </c>
      <c r="F38" s="21"/>
      <c r="G38" s="21"/>
      <c r="H38" s="21"/>
      <c r="K38" s="213"/>
      <c r="L38" s="213"/>
    </row>
    <row r="39" spans="1:12">
      <c r="A39" s="315">
        <v>6</v>
      </c>
      <c r="C39" s="316" t="s">
        <v>629</v>
      </c>
      <c r="D39" s="244" t="s">
        <v>1157</v>
      </c>
      <c r="E39" s="794">
        <v>4.0000000000000001E-3</v>
      </c>
      <c r="F39" s="21"/>
      <c r="G39" s="21"/>
      <c r="H39" s="21"/>
      <c r="K39" s="213"/>
      <c r="L39" s="213"/>
    </row>
    <row r="40" spans="1:12">
      <c r="A40" s="315">
        <v>7</v>
      </c>
      <c r="C40" s="316" t="s">
        <v>630</v>
      </c>
      <c r="D40" s="244" t="s">
        <v>1157</v>
      </c>
      <c r="E40" s="794">
        <v>2.8999999999999998E-3</v>
      </c>
      <c r="F40" s="21"/>
      <c r="G40" s="21"/>
      <c r="H40" s="21"/>
      <c r="K40" s="213"/>
      <c r="L40" s="213"/>
    </row>
    <row r="41" spans="1:12">
      <c r="A41" s="315">
        <v>8</v>
      </c>
      <c r="C41" s="316" t="s">
        <v>631</v>
      </c>
      <c r="D41" s="244" t="s">
        <v>1157</v>
      </c>
      <c r="E41" s="794">
        <v>2.7000000000000001E-3</v>
      </c>
      <c r="F41" s="21"/>
      <c r="G41" s="21"/>
      <c r="H41" s="21"/>
      <c r="K41" s="213"/>
      <c r="L41" s="213"/>
    </row>
    <row r="42" spans="1:12">
      <c r="A42" s="315">
        <v>9</v>
      </c>
      <c r="C42" s="316" t="s">
        <v>632</v>
      </c>
      <c r="D42" s="244" t="s">
        <v>1158</v>
      </c>
      <c r="E42" s="794">
        <v>2.7000000000000001E-3</v>
      </c>
      <c r="F42" s="21"/>
      <c r="G42" s="21"/>
      <c r="H42" s="21"/>
      <c r="K42" s="213"/>
      <c r="L42" s="213"/>
    </row>
    <row r="43" spans="1:12">
      <c r="A43" s="315">
        <v>10</v>
      </c>
      <c r="C43" s="316" t="s">
        <v>629</v>
      </c>
      <c r="D43" s="244" t="s">
        <v>1158</v>
      </c>
      <c r="E43" s="794">
        <v>2.7000000000000001E-3</v>
      </c>
      <c r="F43" s="21"/>
      <c r="G43" s="21"/>
      <c r="H43" s="21"/>
      <c r="K43" s="213"/>
      <c r="L43" s="213"/>
    </row>
    <row r="44" spans="1:12">
      <c r="A44" s="315">
        <v>11</v>
      </c>
      <c r="C44" s="316" t="s">
        <v>630</v>
      </c>
      <c r="D44" s="244" t="s">
        <v>1158</v>
      </c>
      <c r="E44" s="794">
        <v>2.7000000000000001E-3</v>
      </c>
      <c r="F44" s="21"/>
      <c r="G44" s="21"/>
      <c r="H44" s="21"/>
      <c r="K44" s="213"/>
      <c r="L44" s="213"/>
    </row>
    <row r="45" spans="1:12">
      <c r="A45" s="315">
        <v>12</v>
      </c>
      <c r="C45" s="163" t="s">
        <v>633</v>
      </c>
      <c r="D45" s="21"/>
      <c r="E45" s="795">
        <f>SUM(E38:E44)</f>
        <v>2.1800000000000003E-2</v>
      </c>
      <c r="F45" s="21"/>
      <c r="G45" s="21"/>
      <c r="H45" s="21"/>
      <c r="K45" s="213"/>
      <c r="L45" s="213"/>
    </row>
    <row r="46" spans="1:12">
      <c r="A46" s="315"/>
      <c r="C46" s="316"/>
      <c r="D46" s="21"/>
      <c r="E46" s="283"/>
      <c r="F46" s="21"/>
      <c r="G46" s="21"/>
      <c r="H46" s="21"/>
      <c r="K46" s="213"/>
      <c r="L46" s="213"/>
    </row>
    <row r="47" spans="1:12">
      <c r="A47" s="315">
        <v>13</v>
      </c>
      <c r="B47" s="264" t="s">
        <v>634</v>
      </c>
      <c r="C47" s="163" t="s">
        <v>635</v>
      </c>
      <c r="D47" s="21"/>
      <c r="E47" s="283">
        <f>E45/7</f>
        <v>3.1142857142857148E-3</v>
      </c>
      <c r="F47" s="21"/>
      <c r="G47" s="21"/>
      <c r="H47" s="21"/>
      <c r="K47" s="213"/>
      <c r="L47" s="213"/>
    </row>
    <row r="48" spans="1:12">
      <c r="A48" s="105"/>
      <c r="D48" s="21"/>
      <c r="E48" s="21"/>
      <c r="F48" s="21"/>
      <c r="G48" s="21"/>
      <c r="H48" s="21"/>
      <c r="K48" s="213"/>
      <c r="L48" s="213"/>
    </row>
    <row r="49" spans="1:12">
      <c r="A49" s="318"/>
      <c r="C49" s="2"/>
      <c r="D49" s="319"/>
      <c r="E49" s="319"/>
      <c r="F49" s="319"/>
      <c r="G49" s="319"/>
      <c r="H49" s="319"/>
      <c r="I49" s="319"/>
      <c r="K49" s="213"/>
      <c r="L49" s="213"/>
    </row>
  </sheetData>
  <mergeCells count="1">
    <mergeCell ref="B31:J31"/>
  </mergeCells>
  <pageMargins left="0.25" right="0.25" top="0.75" bottom="0.75" header="0.3" footer="0.3"/>
  <pageSetup scale="54"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D2141-010B-4F91-A985-781887E8B66B}">
  <sheetPr>
    <pageSetUpPr fitToPage="1"/>
  </sheetPr>
  <dimension ref="A1:Q74"/>
  <sheetViews>
    <sheetView topLeftCell="A28" zoomScale="80" zoomScaleNormal="80" zoomScaleSheetLayoutView="70" workbookViewId="0">
      <selection activeCell="M16" sqref="M16"/>
    </sheetView>
  </sheetViews>
  <sheetFormatPr defaultColWidth="8.88671875" defaultRowHeight="15"/>
  <cols>
    <col min="1" max="1" width="5.88671875" style="320" customWidth="1"/>
    <col min="2" max="2" width="29" style="2" bestFit="1" customWidth="1"/>
    <col min="3" max="3" width="13" style="2" customWidth="1"/>
    <col min="4" max="4" width="14.6640625" style="2" customWidth="1"/>
    <col min="5" max="5" width="16.6640625" style="2" customWidth="1"/>
    <col min="6" max="6" width="16.88671875" style="2" customWidth="1"/>
    <col min="7" max="7" width="17.44140625" style="2" customWidth="1"/>
    <col min="8" max="8" width="17.6640625" style="2" customWidth="1"/>
    <col min="9" max="9" width="13.6640625" style="2" customWidth="1"/>
    <col min="10" max="10" width="11.88671875" style="2" customWidth="1"/>
    <col min="11" max="11" width="14.109375" style="2" customWidth="1"/>
    <col min="12" max="12" width="12.109375" style="2" customWidth="1"/>
    <col min="13" max="13" width="15.5546875" style="2" customWidth="1"/>
    <col min="14" max="14" width="13.88671875" style="2" customWidth="1"/>
    <col min="15" max="15" width="10.109375" style="2" customWidth="1"/>
    <col min="16" max="16" width="10.88671875" style="2" customWidth="1"/>
    <col min="17" max="17" width="8.88671875" style="322"/>
    <col min="18" max="16384" width="8.88671875" style="2"/>
  </cols>
  <sheetData>
    <row r="1" spans="1:17">
      <c r="C1" s="321"/>
      <c r="E1" s="321"/>
      <c r="F1" s="321"/>
      <c r="G1" s="165" t="s">
        <v>636</v>
      </c>
      <c r="H1" s="321"/>
      <c r="I1" s="321"/>
      <c r="J1" s="321"/>
    </row>
    <row r="2" spans="1:17">
      <c r="A2" s="174"/>
      <c r="C2" s="321"/>
      <c r="D2" s="321"/>
      <c r="E2" s="321"/>
      <c r="F2" s="321"/>
      <c r="G2" s="323" t="s">
        <v>637</v>
      </c>
      <c r="H2" s="321"/>
      <c r="I2" s="321"/>
      <c r="J2" s="321"/>
      <c r="L2" s="324"/>
      <c r="O2" s="166" t="s">
        <v>638</v>
      </c>
    </row>
    <row r="3" spans="1:17">
      <c r="A3" s="174"/>
      <c r="C3" s="321"/>
      <c r="D3" s="321"/>
      <c r="E3" s="321"/>
      <c r="F3" s="321"/>
      <c r="G3" s="17" t="str">
        <f>+'Attachment O'!D5</f>
        <v>GridLiance Heartland LLC</v>
      </c>
      <c r="H3" s="321"/>
      <c r="I3" s="321"/>
      <c r="J3" s="321"/>
    </row>
    <row r="4" spans="1:17">
      <c r="A4" s="174"/>
      <c r="C4" s="321"/>
      <c r="D4" s="321"/>
      <c r="E4" s="321"/>
      <c r="F4" s="321"/>
      <c r="G4" s="321"/>
      <c r="H4" s="321"/>
      <c r="I4" s="321"/>
      <c r="J4" s="321"/>
    </row>
    <row r="5" spans="1:17" ht="15" customHeight="1">
      <c r="A5" s="174"/>
      <c r="B5" s="325"/>
      <c r="C5" s="838" t="s">
        <v>639</v>
      </c>
      <c r="D5" s="839"/>
      <c r="E5" s="839"/>
      <c r="F5" s="839"/>
      <c r="G5" s="840"/>
      <c r="H5" s="326" t="s">
        <v>640</v>
      </c>
      <c r="I5" s="326" t="s">
        <v>641</v>
      </c>
      <c r="J5" s="838" t="s">
        <v>642</v>
      </c>
      <c r="K5" s="839"/>
      <c r="L5" s="841" t="s">
        <v>643</v>
      </c>
      <c r="M5" s="842"/>
      <c r="N5" s="842"/>
      <c r="O5" s="842"/>
      <c r="P5" s="843"/>
    </row>
    <row r="6" spans="1:17">
      <c r="A6" s="174"/>
      <c r="B6" s="325"/>
    </row>
    <row r="7" spans="1:17" s="330" customFormat="1" ht="42" customHeight="1">
      <c r="A7" s="327" t="s">
        <v>644</v>
      </c>
      <c r="B7" s="328" t="s">
        <v>645</v>
      </c>
      <c r="C7" s="328" t="s">
        <v>646</v>
      </c>
      <c r="D7" s="802" t="s">
        <v>75</v>
      </c>
      <c r="E7" s="802" t="s">
        <v>647</v>
      </c>
      <c r="F7" s="802" t="s">
        <v>648</v>
      </c>
      <c r="G7" s="803" t="s">
        <v>649</v>
      </c>
      <c r="H7" s="802" t="s">
        <v>650</v>
      </c>
      <c r="I7" s="802" t="s">
        <v>651</v>
      </c>
      <c r="J7" s="802" t="s">
        <v>137</v>
      </c>
      <c r="K7" s="802" t="s">
        <v>652</v>
      </c>
      <c r="L7" s="802" t="s">
        <v>646</v>
      </c>
      <c r="M7" s="802" t="s">
        <v>75</v>
      </c>
      <c r="N7" s="328" t="s">
        <v>647</v>
      </c>
      <c r="O7" s="328" t="s">
        <v>648</v>
      </c>
      <c r="P7" s="328" t="s">
        <v>649</v>
      </c>
      <c r="Q7" s="329"/>
    </row>
    <row r="8" spans="1:17" s="69" customFormat="1">
      <c r="A8" s="174"/>
      <c r="B8" s="331" t="s">
        <v>329</v>
      </c>
      <c r="C8" s="331" t="s">
        <v>330</v>
      </c>
      <c r="D8" s="331" t="s">
        <v>331</v>
      </c>
      <c r="E8" s="328" t="s">
        <v>332</v>
      </c>
      <c r="F8" s="328" t="s">
        <v>653</v>
      </c>
      <c r="G8" s="328" t="s">
        <v>654</v>
      </c>
      <c r="H8" s="328" t="s">
        <v>655</v>
      </c>
      <c r="I8" s="332" t="s">
        <v>656</v>
      </c>
      <c r="J8" s="332" t="s">
        <v>657</v>
      </c>
      <c r="K8" s="332" t="s">
        <v>658</v>
      </c>
      <c r="L8" s="332" t="s">
        <v>659</v>
      </c>
      <c r="M8" s="332" t="s">
        <v>660</v>
      </c>
      <c r="N8" s="332" t="s">
        <v>661</v>
      </c>
      <c r="O8" s="332" t="s">
        <v>662</v>
      </c>
      <c r="P8" s="332" t="s">
        <v>663</v>
      </c>
      <c r="Q8" s="333"/>
    </row>
    <row r="9" spans="1:17" s="69" customFormat="1" ht="29.25" customHeight="1">
      <c r="A9" s="174"/>
      <c r="B9" s="334" t="s">
        <v>664</v>
      </c>
      <c r="C9" s="331" t="s">
        <v>665</v>
      </c>
      <c r="D9" s="331" t="s">
        <v>666</v>
      </c>
      <c r="E9" s="331" t="s">
        <v>667</v>
      </c>
      <c r="F9" s="328" t="s">
        <v>668</v>
      </c>
      <c r="G9" s="331">
        <v>356.1</v>
      </c>
      <c r="H9" s="331" t="s">
        <v>669</v>
      </c>
      <c r="I9" s="331" t="s">
        <v>670</v>
      </c>
      <c r="J9" s="328" t="s">
        <v>1149</v>
      </c>
      <c r="K9" s="331" t="s">
        <v>671</v>
      </c>
      <c r="L9" s="331" t="s">
        <v>672</v>
      </c>
      <c r="M9" s="331" t="s">
        <v>673</v>
      </c>
      <c r="N9" s="331" t="s">
        <v>674</v>
      </c>
      <c r="O9" s="328" t="s">
        <v>675</v>
      </c>
      <c r="P9" s="331">
        <v>356.1</v>
      </c>
      <c r="Q9" s="333"/>
    </row>
    <row r="10" spans="1:17">
      <c r="A10" s="174">
        <v>1</v>
      </c>
      <c r="B10" s="335" t="s">
        <v>676</v>
      </c>
      <c r="C10" s="576">
        <v>0</v>
      </c>
      <c r="D10" s="577">
        <v>36116780.098628595</v>
      </c>
      <c r="E10" s="576">
        <v>0</v>
      </c>
      <c r="F10" s="576">
        <v>0</v>
      </c>
      <c r="G10" s="576">
        <v>0</v>
      </c>
      <c r="H10" s="576">
        <v>0</v>
      </c>
      <c r="I10" s="576">
        <v>0</v>
      </c>
      <c r="J10" s="577">
        <v>356263.75</v>
      </c>
      <c r="K10" s="577">
        <v>320045.96192168997</v>
      </c>
      <c r="L10" s="576">
        <v>0</v>
      </c>
      <c r="M10" s="577">
        <v>12811417.149049232</v>
      </c>
      <c r="N10" s="576">
        <v>0</v>
      </c>
      <c r="O10" s="576">
        <v>0</v>
      </c>
      <c r="P10" s="576">
        <v>0</v>
      </c>
    </row>
    <row r="11" spans="1:17">
      <c r="A11" s="174">
        <v>2</v>
      </c>
      <c r="B11" s="335" t="s">
        <v>677</v>
      </c>
      <c r="C11" s="576">
        <v>0</v>
      </c>
      <c r="D11" s="577">
        <v>36216299.558628596</v>
      </c>
      <c r="E11" s="576">
        <v>0</v>
      </c>
      <c r="F11" s="576">
        <v>0</v>
      </c>
      <c r="G11" s="576">
        <v>0</v>
      </c>
      <c r="H11" s="576">
        <v>0</v>
      </c>
      <c r="I11" s="576">
        <v>0</v>
      </c>
      <c r="J11" s="577">
        <v>356263.75</v>
      </c>
      <c r="K11" s="577">
        <v>217713.800570255</v>
      </c>
      <c r="L11" s="576">
        <v>0</v>
      </c>
      <c r="M11" s="577">
        <v>12871777.648313614</v>
      </c>
      <c r="N11" s="576">
        <v>0</v>
      </c>
      <c r="O11" s="576">
        <v>0</v>
      </c>
      <c r="P11" s="576">
        <v>0</v>
      </c>
    </row>
    <row r="12" spans="1:17">
      <c r="A12" s="174">
        <v>3</v>
      </c>
      <c r="B12" s="321" t="s">
        <v>678</v>
      </c>
      <c r="C12" s="576">
        <v>0</v>
      </c>
      <c r="D12" s="577">
        <v>36473861.748628594</v>
      </c>
      <c r="E12" s="576">
        <v>0</v>
      </c>
      <c r="F12" s="576">
        <v>0</v>
      </c>
      <c r="G12" s="576">
        <v>0</v>
      </c>
      <c r="H12" s="576">
        <v>0</v>
      </c>
      <c r="I12" s="576">
        <v>0</v>
      </c>
      <c r="J12" s="577">
        <v>356263.75</v>
      </c>
      <c r="K12" s="577">
        <v>198714.97255215503</v>
      </c>
      <c r="L12" s="576">
        <v>0</v>
      </c>
      <c r="M12" s="577">
        <v>12932567.417894661</v>
      </c>
      <c r="N12" s="576">
        <v>0</v>
      </c>
      <c r="O12" s="576">
        <v>0</v>
      </c>
      <c r="P12" s="576">
        <v>0</v>
      </c>
    </row>
    <row r="13" spans="1:17">
      <c r="A13" s="174">
        <v>4</v>
      </c>
      <c r="B13" s="321" t="s">
        <v>679</v>
      </c>
      <c r="C13" s="576">
        <v>0</v>
      </c>
      <c r="D13" s="577">
        <v>36473861.748628594</v>
      </c>
      <c r="E13" s="576">
        <v>0</v>
      </c>
      <c r="F13" s="576">
        <v>0</v>
      </c>
      <c r="G13" s="576">
        <v>0</v>
      </c>
      <c r="H13" s="576">
        <v>0</v>
      </c>
      <c r="I13" s="576">
        <v>0</v>
      </c>
      <c r="J13" s="577">
        <v>356263.75</v>
      </c>
      <c r="K13" s="577">
        <v>179716.14453405316</v>
      </c>
      <c r="L13" s="576">
        <v>0</v>
      </c>
      <c r="M13" s="577">
        <v>12993357.187475709</v>
      </c>
      <c r="N13" s="576">
        <v>0</v>
      </c>
      <c r="O13" s="576">
        <v>0</v>
      </c>
      <c r="P13" s="576">
        <v>0</v>
      </c>
    </row>
    <row r="14" spans="1:17">
      <c r="A14" s="174">
        <v>5</v>
      </c>
      <c r="B14" s="321" t="s">
        <v>680</v>
      </c>
      <c r="C14" s="576">
        <v>0</v>
      </c>
      <c r="D14" s="577">
        <v>36473861.748628594</v>
      </c>
      <c r="E14" s="576">
        <v>0</v>
      </c>
      <c r="F14" s="576">
        <v>0</v>
      </c>
      <c r="G14" s="576">
        <v>0</v>
      </c>
      <c r="H14" s="576">
        <v>0</v>
      </c>
      <c r="I14" s="576">
        <v>0</v>
      </c>
      <c r="J14" s="577">
        <v>356263.75</v>
      </c>
      <c r="K14" s="577">
        <v>160717.31651595203</v>
      </c>
      <c r="L14" s="576">
        <v>0</v>
      </c>
      <c r="M14" s="577">
        <v>13054146.957056757</v>
      </c>
      <c r="N14" s="576">
        <v>0</v>
      </c>
      <c r="O14" s="576">
        <v>0</v>
      </c>
      <c r="P14" s="576">
        <v>0</v>
      </c>
    </row>
    <row r="15" spans="1:17">
      <c r="A15" s="174">
        <v>6</v>
      </c>
      <c r="B15" s="321" t="s">
        <v>681</v>
      </c>
      <c r="C15" s="576">
        <v>0</v>
      </c>
      <c r="D15" s="577">
        <v>36473861.748628594</v>
      </c>
      <c r="E15" s="576">
        <v>0</v>
      </c>
      <c r="F15" s="576">
        <v>0</v>
      </c>
      <c r="G15" s="576">
        <v>0</v>
      </c>
      <c r="H15" s="576">
        <v>0</v>
      </c>
      <c r="I15" s="576">
        <v>0</v>
      </c>
      <c r="J15" s="577">
        <v>356263.75</v>
      </c>
      <c r="K15" s="577">
        <v>141718.48849785089</v>
      </c>
      <c r="L15" s="576">
        <v>0</v>
      </c>
      <c r="M15" s="577">
        <v>13114936.726637805</v>
      </c>
      <c r="N15" s="576">
        <v>0</v>
      </c>
      <c r="O15" s="576">
        <v>0</v>
      </c>
      <c r="P15" s="576">
        <v>0</v>
      </c>
    </row>
    <row r="16" spans="1:17">
      <c r="A16" s="174">
        <v>7</v>
      </c>
      <c r="B16" s="321" t="s">
        <v>682</v>
      </c>
      <c r="C16" s="576">
        <v>0</v>
      </c>
      <c r="D16" s="577">
        <v>36673861.748628594</v>
      </c>
      <c r="E16" s="576">
        <v>0</v>
      </c>
      <c r="F16" s="576">
        <v>0</v>
      </c>
      <c r="G16" s="576">
        <v>0</v>
      </c>
      <c r="H16" s="576">
        <v>0</v>
      </c>
      <c r="I16" s="576">
        <v>0</v>
      </c>
      <c r="J16" s="577">
        <v>356263.75</v>
      </c>
      <c r="K16" s="577">
        <v>122719.66047974976</v>
      </c>
      <c r="L16" s="576">
        <v>0</v>
      </c>
      <c r="M16" s="577">
        <v>13176059.829552187</v>
      </c>
      <c r="N16" s="576">
        <v>0</v>
      </c>
      <c r="O16" s="576">
        <v>0</v>
      </c>
      <c r="P16" s="576">
        <v>0</v>
      </c>
    </row>
    <row r="17" spans="1:17">
      <c r="A17" s="174">
        <v>8</v>
      </c>
      <c r="B17" s="321" t="s">
        <v>683</v>
      </c>
      <c r="C17" s="576">
        <v>0</v>
      </c>
      <c r="D17" s="577">
        <v>36673861.748628594</v>
      </c>
      <c r="E17" s="576">
        <v>0</v>
      </c>
      <c r="F17" s="576">
        <v>0</v>
      </c>
      <c r="G17" s="576">
        <v>0</v>
      </c>
      <c r="H17" s="576">
        <v>0</v>
      </c>
      <c r="I17" s="576">
        <v>0</v>
      </c>
      <c r="J17" s="577">
        <v>356263.75</v>
      </c>
      <c r="K17" s="577">
        <v>103720.83246164862</v>
      </c>
      <c r="L17" s="576">
        <v>0</v>
      </c>
      <c r="M17" s="577">
        <v>13237182.932466568</v>
      </c>
      <c r="N17" s="576">
        <v>0</v>
      </c>
      <c r="O17" s="576">
        <v>0</v>
      </c>
      <c r="P17" s="576">
        <v>0</v>
      </c>
    </row>
    <row r="18" spans="1:17">
      <c r="A18" s="174">
        <v>9</v>
      </c>
      <c r="B18" s="321" t="s">
        <v>684</v>
      </c>
      <c r="C18" s="576">
        <v>0</v>
      </c>
      <c r="D18" s="577">
        <v>37623861.748628594</v>
      </c>
      <c r="E18" s="576">
        <v>0</v>
      </c>
      <c r="F18" s="576">
        <v>0</v>
      </c>
      <c r="G18" s="576">
        <v>0</v>
      </c>
      <c r="H18" s="576">
        <v>0</v>
      </c>
      <c r="I18" s="576">
        <v>0</v>
      </c>
      <c r="J18" s="577">
        <v>356263.75</v>
      </c>
      <c r="K18" s="577">
        <v>84722.004443547485</v>
      </c>
      <c r="L18" s="576">
        <v>0</v>
      </c>
      <c r="M18" s="577">
        <v>13299889.368714282</v>
      </c>
      <c r="N18" s="576">
        <v>0</v>
      </c>
      <c r="O18" s="576">
        <v>0</v>
      </c>
      <c r="P18" s="576">
        <v>0</v>
      </c>
    </row>
    <row r="19" spans="1:17">
      <c r="A19" s="174">
        <v>10</v>
      </c>
      <c r="B19" s="321" t="s">
        <v>685</v>
      </c>
      <c r="C19" s="576">
        <v>0</v>
      </c>
      <c r="D19" s="577">
        <v>38623861.748628594</v>
      </c>
      <c r="E19" s="576">
        <v>0</v>
      </c>
      <c r="F19" s="576">
        <v>0</v>
      </c>
      <c r="G19" s="576">
        <v>0</v>
      </c>
      <c r="H19" s="576">
        <v>0</v>
      </c>
      <c r="I19" s="576">
        <v>0</v>
      </c>
      <c r="J19" s="577">
        <v>356263.75</v>
      </c>
      <c r="K19" s="577">
        <v>141812.8460217641</v>
      </c>
      <c r="L19" s="576">
        <v>0</v>
      </c>
      <c r="M19" s="577">
        <v>13364262.471628664</v>
      </c>
      <c r="N19" s="576">
        <v>0</v>
      </c>
      <c r="O19" s="576">
        <v>0</v>
      </c>
      <c r="P19" s="576">
        <v>0</v>
      </c>
    </row>
    <row r="20" spans="1:17">
      <c r="A20" s="174">
        <v>11</v>
      </c>
      <c r="B20" s="321" t="s">
        <v>686</v>
      </c>
      <c r="C20" s="576">
        <v>0</v>
      </c>
      <c r="D20" s="577">
        <v>49460468.356303141</v>
      </c>
      <c r="E20" s="576">
        <v>0</v>
      </c>
      <c r="F20" s="576">
        <v>0</v>
      </c>
      <c r="G20" s="576">
        <v>0</v>
      </c>
      <c r="H20" s="576">
        <v>0</v>
      </c>
      <c r="I20" s="576">
        <v>0</v>
      </c>
      <c r="J20" s="577">
        <v>356263.75</v>
      </c>
      <c r="K20" s="577">
        <v>155423.87640208486</v>
      </c>
      <c r="L20" s="576">
        <v>0</v>
      </c>
      <c r="M20" s="577">
        <v>13446696.585555837</v>
      </c>
      <c r="N20" s="576">
        <v>0</v>
      </c>
      <c r="O20" s="576">
        <v>0</v>
      </c>
      <c r="P20" s="576">
        <v>0</v>
      </c>
    </row>
    <row r="21" spans="1:17">
      <c r="A21" s="174">
        <v>12</v>
      </c>
      <c r="B21" s="321" t="s">
        <v>687</v>
      </c>
      <c r="C21" s="576">
        <v>0</v>
      </c>
      <c r="D21" s="577">
        <v>49610468.356303141</v>
      </c>
      <c r="E21" s="576">
        <v>0</v>
      </c>
      <c r="F21" s="576">
        <v>0</v>
      </c>
      <c r="G21" s="576">
        <v>0</v>
      </c>
      <c r="H21" s="576">
        <v>0</v>
      </c>
      <c r="I21" s="576">
        <v>0</v>
      </c>
      <c r="J21" s="577">
        <v>356263.75</v>
      </c>
      <c r="K21" s="577">
        <v>136425.04838398373</v>
      </c>
      <c r="L21" s="576">
        <v>0</v>
      </c>
      <c r="M21" s="577">
        <v>13529380.699483011</v>
      </c>
      <c r="N21" s="576">
        <v>0</v>
      </c>
      <c r="O21" s="576">
        <v>0</v>
      </c>
      <c r="P21" s="576">
        <v>0</v>
      </c>
    </row>
    <row r="22" spans="1:17">
      <c r="A22" s="174">
        <v>13</v>
      </c>
      <c r="B22" s="321" t="s">
        <v>688</v>
      </c>
      <c r="C22" s="576">
        <v>0</v>
      </c>
      <c r="D22" s="577">
        <v>50987411.656303145</v>
      </c>
      <c r="E22" s="576">
        <v>0</v>
      </c>
      <c r="F22" s="576">
        <v>0</v>
      </c>
      <c r="G22" s="576">
        <v>0</v>
      </c>
      <c r="H22" s="576">
        <v>0</v>
      </c>
      <c r="I22" s="576">
        <v>0</v>
      </c>
      <c r="J22" s="577">
        <v>356263.75</v>
      </c>
      <c r="K22" s="577">
        <v>220264.98895153045</v>
      </c>
      <c r="L22" s="576">
        <v>0</v>
      </c>
      <c r="M22" s="577">
        <v>13614359.718910182</v>
      </c>
      <c r="N22" s="576">
        <v>0</v>
      </c>
      <c r="O22" s="576">
        <v>0</v>
      </c>
      <c r="P22" s="576">
        <v>0</v>
      </c>
    </row>
    <row r="23" spans="1:17" ht="15.75" thickBot="1">
      <c r="A23" s="174">
        <v>14</v>
      </c>
      <c r="B23" s="337" t="s">
        <v>689</v>
      </c>
      <c r="C23" s="338">
        <f>SUM(C10:C22)/13</f>
        <v>0</v>
      </c>
      <c r="D23" s="81">
        <f t="shared" ref="D23" si="0">SUM(D10:D22)/13</f>
        <v>39837101.693476573</v>
      </c>
      <c r="E23" s="338">
        <f t="shared" ref="E23:P23" si="1">SUM(E10:E22)/13</f>
        <v>0</v>
      </c>
      <c r="F23" s="338">
        <f t="shared" si="1"/>
        <v>0</v>
      </c>
      <c r="G23" s="338">
        <f t="shared" si="1"/>
        <v>0</v>
      </c>
      <c r="H23" s="338">
        <f t="shared" si="1"/>
        <v>0</v>
      </c>
      <c r="I23" s="338">
        <f t="shared" si="1"/>
        <v>0</v>
      </c>
      <c r="J23" s="81">
        <f t="shared" si="1"/>
        <v>356263.75</v>
      </c>
      <c r="K23" s="81">
        <f t="shared" si="1"/>
        <v>167978.14936432813</v>
      </c>
      <c r="L23" s="81">
        <f t="shared" si="1"/>
        <v>0</v>
      </c>
      <c r="M23" s="81">
        <f t="shared" si="1"/>
        <v>13188156.514826041</v>
      </c>
      <c r="N23" s="81">
        <f t="shared" si="1"/>
        <v>0</v>
      </c>
      <c r="O23" s="338">
        <f t="shared" si="1"/>
        <v>0</v>
      </c>
      <c r="P23" s="338">
        <f t="shared" si="1"/>
        <v>0</v>
      </c>
    </row>
    <row r="24" spans="1:17" ht="15.75" thickTop="1">
      <c r="A24" s="174"/>
      <c r="B24" s="321"/>
      <c r="C24" s="339"/>
      <c r="D24" s="340"/>
      <c r="E24" s="340"/>
      <c r="F24" s="340"/>
      <c r="G24" s="339"/>
      <c r="H24" s="339"/>
      <c r="I24" s="339"/>
    </row>
    <row r="25" spans="1:17">
      <c r="A25" s="174"/>
      <c r="B25" s="341"/>
      <c r="C25" s="841" t="s">
        <v>690</v>
      </c>
      <c r="D25" s="842"/>
      <c r="E25" s="842"/>
      <c r="F25" s="842"/>
      <c r="G25" s="842"/>
      <c r="H25" s="842"/>
      <c r="I25" s="843"/>
    </row>
    <row r="26" spans="1:17" ht="87" customHeight="1">
      <c r="A26" s="174" t="s">
        <v>644</v>
      </c>
      <c r="B26" s="331" t="s">
        <v>645</v>
      </c>
      <c r="C26" s="332" t="s">
        <v>691</v>
      </c>
      <c r="D26" s="332" t="s">
        <v>692</v>
      </c>
      <c r="E26" s="342" t="s">
        <v>400</v>
      </c>
      <c r="F26" s="342" t="s">
        <v>400</v>
      </c>
      <c r="G26" s="342" t="s">
        <v>400</v>
      </c>
      <c r="H26" s="342" t="s">
        <v>400</v>
      </c>
      <c r="I26" s="332" t="s">
        <v>693</v>
      </c>
    </row>
    <row r="27" spans="1:17" s="69" customFormat="1">
      <c r="A27" s="174"/>
      <c r="B27" s="331" t="s">
        <v>329</v>
      </c>
      <c r="C27" s="332" t="s">
        <v>330</v>
      </c>
      <c r="D27" s="332" t="s">
        <v>331</v>
      </c>
      <c r="E27" s="342" t="s">
        <v>332</v>
      </c>
      <c r="F27" s="342" t="s">
        <v>653</v>
      </c>
      <c r="G27" s="342" t="s">
        <v>654</v>
      </c>
      <c r="H27" s="342" t="s">
        <v>655</v>
      </c>
      <c r="I27" s="332" t="s">
        <v>656</v>
      </c>
      <c r="Q27" s="333"/>
    </row>
    <row r="28" spans="1:17" s="69" customFormat="1" ht="63.75" customHeight="1">
      <c r="A28" s="174"/>
      <c r="B28" s="334" t="s">
        <v>664</v>
      </c>
      <c r="C28" s="328" t="s">
        <v>694</v>
      </c>
      <c r="D28" s="332" t="s">
        <v>695</v>
      </c>
      <c r="E28" s="332"/>
      <c r="F28" s="332"/>
      <c r="G28" s="332"/>
      <c r="H28" s="332"/>
      <c r="I28" s="332" t="s">
        <v>696</v>
      </c>
      <c r="Q28" s="333"/>
    </row>
    <row r="29" spans="1:17">
      <c r="A29" s="174">
        <v>15</v>
      </c>
      <c r="B29" s="335" t="s">
        <v>676</v>
      </c>
      <c r="C29" s="336">
        <v>0</v>
      </c>
      <c r="D29" s="336">
        <v>0</v>
      </c>
      <c r="E29" s="343">
        <v>0</v>
      </c>
      <c r="F29" s="343">
        <v>0</v>
      </c>
      <c r="G29" s="343">
        <v>0</v>
      </c>
      <c r="H29" s="343">
        <v>0</v>
      </c>
      <c r="I29" s="336">
        <v>0</v>
      </c>
    </row>
    <row r="30" spans="1:17">
      <c r="A30" s="174">
        <v>16</v>
      </c>
      <c r="B30" s="335" t="s">
        <v>677</v>
      </c>
      <c r="C30" s="336">
        <v>0</v>
      </c>
      <c r="D30" s="336">
        <f t="shared" ref="D30:D41" si="2">+D29</f>
        <v>0</v>
      </c>
      <c r="E30" s="343">
        <v>0</v>
      </c>
      <c r="F30" s="343">
        <v>0</v>
      </c>
      <c r="G30" s="343">
        <v>0</v>
      </c>
      <c r="H30" s="343">
        <v>0</v>
      </c>
      <c r="I30" s="336">
        <v>0</v>
      </c>
    </row>
    <row r="31" spans="1:17">
      <c r="A31" s="174">
        <v>17</v>
      </c>
      <c r="B31" s="321" t="s">
        <v>678</v>
      </c>
      <c r="C31" s="336">
        <v>0</v>
      </c>
      <c r="D31" s="336">
        <f t="shared" si="2"/>
        <v>0</v>
      </c>
      <c r="E31" s="343">
        <v>0</v>
      </c>
      <c r="F31" s="343">
        <v>0</v>
      </c>
      <c r="G31" s="343">
        <v>0</v>
      </c>
      <c r="H31" s="343">
        <v>0</v>
      </c>
      <c r="I31" s="336">
        <v>0</v>
      </c>
    </row>
    <row r="32" spans="1:17">
      <c r="A32" s="174">
        <v>18</v>
      </c>
      <c r="B32" s="321" t="s">
        <v>679</v>
      </c>
      <c r="C32" s="336">
        <v>0</v>
      </c>
      <c r="D32" s="336">
        <f t="shared" si="2"/>
        <v>0</v>
      </c>
      <c r="E32" s="343">
        <v>0</v>
      </c>
      <c r="F32" s="343">
        <v>0</v>
      </c>
      <c r="G32" s="343">
        <v>0</v>
      </c>
      <c r="H32" s="343">
        <v>0</v>
      </c>
      <c r="I32" s="336">
        <v>0</v>
      </c>
    </row>
    <row r="33" spans="1:17">
      <c r="A33" s="174">
        <v>19</v>
      </c>
      <c r="B33" s="321" t="s">
        <v>680</v>
      </c>
      <c r="C33" s="336">
        <v>0</v>
      </c>
      <c r="D33" s="336">
        <f t="shared" si="2"/>
        <v>0</v>
      </c>
      <c r="E33" s="343">
        <v>0</v>
      </c>
      <c r="F33" s="343">
        <v>0</v>
      </c>
      <c r="G33" s="343">
        <v>0</v>
      </c>
      <c r="H33" s="343">
        <v>0</v>
      </c>
      <c r="I33" s="336">
        <v>0</v>
      </c>
    </row>
    <row r="34" spans="1:17">
      <c r="A34" s="174">
        <v>20</v>
      </c>
      <c r="B34" s="321" t="s">
        <v>681</v>
      </c>
      <c r="C34" s="336">
        <v>0</v>
      </c>
      <c r="D34" s="336">
        <f t="shared" si="2"/>
        <v>0</v>
      </c>
      <c r="E34" s="343">
        <v>0</v>
      </c>
      <c r="F34" s="343">
        <v>0</v>
      </c>
      <c r="G34" s="343">
        <v>0</v>
      </c>
      <c r="H34" s="343">
        <v>0</v>
      </c>
      <c r="I34" s="336">
        <v>0</v>
      </c>
    </row>
    <row r="35" spans="1:17">
      <c r="A35" s="174">
        <v>21</v>
      </c>
      <c r="B35" s="321" t="s">
        <v>682</v>
      </c>
      <c r="C35" s="336">
        <v>0</v>
      </c>
      <c r="D35" s="336">
        <f t="shared" si="2"/>
        <v>0</v>
      </c>
      <c r="E35" s="343">
        <v>0</v>
      </c>
      <c r="F35" s="343">
        <v>0</v>
      </c>
      <c r="G35" s="343">
        <v>0</v>
      </c>
      <c r="H35" s="343">
        <v>0</v>
      </c>
      <c r="I35" s="336">
        <v>0</v>
      </c>
    </row>
    <row r="36" spans="1:17">
      <c r="A36" s="174">
        <v>22</v>
      </c>
      <c r="B36" s="321" t="s">
        <v>683</v>
      </c>
      <c r="C36" s="336">
        <v>0</v>
      </c>
      <c r="D36" s="336">
        <f t="shared" si="2"/>
        <v>0</v>
      </c>
      <c r="E36" s="343">
        <v>0</v>
      </c>
      <c r="F36" s="343">
        <v>0</v>
      </c>
      <c r="G36" s="343">
        <v>0</v>
      </c>
      <c r="H36" s="343">
        <v>0</v>
      </c>
      <c r="I36" s="336">
        <v>0</v>
      </c>
    </row>
    <row r="37" spans="1:17">
      <c r="A37" s="174">
        <v>23</v>
      </c>
      <c r="B37" s="321" t="s">
        <v>684</v>
      </c>
      <c r="C37" s="336">
        <v>0</v>
      </c>
      <c r="D37" s="336">
        <f t="shared" si="2"/>
        <v>0</v>
      </c>
      <c r="E37" s="343">
        <v>0</v>
      </c>
      <c r="F37" s="343">
        <v>0</v>
      </c>
      <c r="G37" s="343">
        <v>0</v>
      </c>
      <c r="H37" s="343">
        <v>0</v>
      </c>
      <c r="I37" s="336">
        <v>0</v>
      </c>
    </row>
    <row r="38" spans="1:17">
      <c r="A38" s="174">
        <v>24</v>
      </c>
      <c r="B38" s="321" t="s">
        <v>685</v>
      </c>
      <c r="C38" s="336">
        <v>0</v>
      </c>
      <c r="D38" s="336">
        <f t="shared" si="2"/>
        <v>0</v>
      </c>
      <c r="E38" s="343">
        <v>0</v>
      </c>
      <c r="F38" s="343">
        <v>0</v>
      </c>
      <c r="G38" s="343">
        <v>0</v>
      </c>
      <c r="H38" s="343">
        <v>0</v>
      </c>
      <c r="I38" s="336">
        <v>0</v>
      </c>
    </row>
    <row r="39" spans="1:17">
      <c r="A39" s="174">
        <v>25</v>
      </c>
      <c r="B39" s="321" t="s">
        <v>686</v>
      </c>
      <c r="C39" s="336">
        <v>0</v>
      </c>
      <c r="D39" s="336">
        <f t="shared" si="2"/>
        <v>0</v>
      </c>
      <c r="E39" s="343">
        <v>0</v>
      </c>
      <c r="F39" s="343">
        <v>0</v>
      </c>
      <c r="G39" s="343">
        <v>0</v>
      </c>
      <c r="H39" s="343">
        <v>0</v>
      </c>
      <c r="I39" s="336">
        <v>0</v>
      </c>
    </row>
    <row r="40" spans="1:17">
      <c r="A40" s="174">
        <v>26</v>
      </c>
      <c r="B40" s="321" t="s">
        <v>687</v>
      </c>
      <c r="C40" s="336">
        <v>0</v>
      </c>
      <c r="D40" s="336">
        <f t="shared" si="2"/>
        <v>0</v>
      </c>
      <c r="E40" s="343">
        <v>0</v>
      </c>
      <c r="F40" s="343">
        <v>0</v>
      </c>
      <c r="G40" s="343">
        <v>0</v>
      </c>
      <c r="H40" s="343">
        <v>0</v>
      </c>
      <c r="I40" s="336">
        <v>0</v>
      </c>
    </row>
    <row r="41" spans="1:17">
      <c r="A41" s="174">
        <v>27</v>
      </c>
      <c r="B41" s="321" t="s">
        <v>688</v>
      </c>
      <c r="C41" s="336">
        <v>0</v>
      </c>
      <c r="D41" s="336">
        <f t="shared" si="2"/>
        <v>0</v>
      </c>
      <c r="E41" s="343">
        <v>0</v>
      </c>
      <c r="F41" s="343">
        <v>0</v>
      </c>
      <c r="G41" s="343">
        <v>0</v>
      </c>
      <c r="H41" s="343">
        <v>0</v>
      </c>
      <c r="I41" s="336">
        <v>0</v>
      </c>
    </row>
    <row r="42" spans="1:17" ht="15.75" thickBot="1">
      <c r="A42" s="174">
        <v>28</v>
      </c>
      <c r="B42" s="334" t="s">
        <v>697</v>
      </c>
      <c r="C42" s="81">
        <f t="shared" ref="C42:I42" si="3">SUM(C29:C41)/13</f>
        <v>0</v>
      </c>
      <c r="D42" s="81">
        <f t="shared" si="3"/>
        <v>0</v>
      </c>
      <c r="E42" s="344"/>
      <c r="F42" s="344"/>
      <c r="G42" s="344"/>
      <c r="H42" s="344"/>
      <c r="I42" s="338">
        <f t="shared" si="3"/>
        <v>0</v>
      </c>
    </row>
    <row r="43" spans="1:17" ht="15.75" thickTop="1">
      <c r="A43" s="174"/>
      <c r="B43" s="538"/>
      <c r="E43" s="345"/>
      <c r="F43" s="345"/>
      <c r="G43" s="345"/>
      <c r="H43" s="345"/>
      <c r="I43" s="340"/>
    </row>
    <row r="44" spans="1:17" s="69" customFormat="1">
      <c r="A44" s="174"/>
      <c r="B44" s="14"/>
      <c r="C44" s="346"/>
      <c r="D44" s="346"/>
      <c r="E44" s="346"/>
      <c r="F44" s="346"/>
      <c r="G44" s="346"/>
      <c r="H44" s="2"/>
      <c r="I44" s="2"/>
      <c r="J44" s="2"/>
      <c r="Q44" s="333"/>
    </row>
    <row r="45" spans="1:17" s="69" customFormat="1">
      <c r="A45" s="174"/>
      <c r="B45" s="14"/>
      <c r="C45" s="346"/>
      <c r="D45" s="346"/>
      <c r="E45" s="346"/>
      <c r="F45" s="346"/>
      <c r="G45" s="346"/>
      <c r="H45" s="2"/>
      <c r="I45" s="2"/>
      <c r="J45" s="2"/>
      <c r="Q45" s="333"/>
    </row>
    <row r="46" spans="1:17" s="69" customFormat="1">
      <c r="A46" s="174"/>
      <c r="B46" s="14"/>
      <c r="C46" s="346"/>
      <c r="D46" s="346"/>
      <c r="E46" s="346"/>
      <c r="F46" s="346"/>
      <c r="G46" s="165" t="s">
        <v>636</v>
      </c>
      <c r="H46" s="2"/>
      <c r="I46" s="2"/>
      <c r="J46" s="2"/>
      <c r="K46" s="2"/>
      <c r="L46" s="2"/>
      <c r="O46" s="166" t="s">
        <v>698</v>
      </c>
      <c r="Q46" s="333"/>
    </row>
    <row r="47" spans="1:17" s="69" customFormat="1">
      <c r="A47" s="174"/>
      <c r="B47" s="14"/>
      <c r="C47" s="346"/>
      <c r="D47" s="346"/>
      <c r="E47" s="346"/>
      <c r="F47" s="346"/>
      <c r="G47" s="323" t="s">
        <v>637</v>
      </c>
      <c r="H47" s="2"/>
      <c r="I47" s="2"/>
      <c r="J47" s="2"/>
      <c r="K47" s="2"/>
      <c r="L47" s="2"/>
      <c r="Q47" s="333"/>
    </row>
    <row r="48" spans="1:17" s="69" customFormat="1">
      <c r="A48" s="174"/>
      <c r="B48" s="14"/>
      <c r="C48" s="346"/>
      <c r="D48" s="346"/>
      <c r="E48" s="346"/>
      <c r="F48" s="346"/>
      <c r="G48" s="17" t="str">
        <f>+G3</f>
        <v>GridLiance Heartland LLC</v>
      </c>
      <c r="H48" s="2"/>
      <c r="I48" s="2"/>
      <c r="J48" s="2"/>
      <c r="K48" s="2"/>
      <c r="L48" s="2"/>
      <c r="Q48" s="333"/>
    </row>
    <row r="49" spans="1:17" s="69" customFormat="1">
      <c r="A49" s="174"/>
      <c r="B49" s="14"/>
      <c r="C49" s="346"/>
      <c r="D49" s="346"/>
      <c r="E49" s="346"/>
      <c r="F49" s="346"/>
      <c r="G49" s="346"/>
      <c r="H49" s="2"/>
      <c r="I49" s="2"/>
      <c r="J49" s="2"/>
      <c r="K49" s="2"/>
      <c r="L49" s="2"/>
      <c r="Q49" s="333"/>
    </row>
    <row r="50" spans="1:17" s="69" customFormat="1">
      <c r="A50" s="174"/>
      <c r="B50" s="14" t="s">
        <v>699</v>
      </c>
      <c r="C50" s="346"/>
      <c r="D50" s="346"/>
      <c r="E50" s="346"/>
      <c r="F50" s="346"/>
      <c r="G50" s="346"/>
      <c r="H50" s="2"/>
      <c r="I50" s="2"/>
      <c r="J50" s="2"/>
      <c r="L50" s="2"/>
      <c r="Q50" s="333"/>
    </row>
    <row r="51" spans="1:17" s="69" customFormat="1">
      <c r="A51" s="174" t="s">
        <v>644</v>
      </c>
      <c r="B51" s="14" t="s">
        <v>329</v>
      </c>
      <c r="C51" s="14" t="s">
        <v>330</v>
      </c>
      <c r="D51" s="14" t="s">
        <v>331</v>
      </c>
      <c r="E51" s="14" t="s">
        <v>332</v>
      </c>
      <c r="F51" s="14" t="s">
        <v>653</v>
      </c>
      <c r="G51" s="14" t="s">
        <v>654</v>
      </c>
      <c r="H51" s="14" t="s">
        <v>655</v>
      </c>
      <c r="I51" s="14" t="s">
        <v>656</v>
      </c>
      <c r="J51" s="2"/>
      <c r="K51" s="2"/>
      <c r="L51" s="2"/>
      <c r="Q51" s="333"/>
    </row>
    <row r="52" spans="1:17" s="69" customFormat="1" ht="107.25" customHeight="1">
      <c r="A52" s="174">
        <f>+A42+1</f>
        <v>29</v>
      </c>
      <c r="B52" s="347" t="s">
        <v>700</v>
      </c>
      <c r="C52" s="348"/>
      <c r="D52" s="349" t="s">
        <v>701</v>
      </c>
      <c r="E52" s="349" t="s">
        <v>702</v>
      </c>
      <c r="F52" s="349" t="s">
        <v>703</v>
      </c>
      <c r="G52" s="349" t="s">
        <v>704</v>
      </c>
      <c r="H52" s="350" t="s">
        <v>705</v>
      </c>
      <c r="I52" s="350" t="s">
        <v>706</v>
      </c>
      <c r="J52" s="347"/>
      <c r="K52" s="347"/>
      <c r="L52" s="347"/>
      <c r="Q52" s="333"/>
    </row>
    <row r="53" spans="1:17" s="69" customFormat="1">
      <c r="A53" s="174" t="s">
        <v>244</v>
      </c>
      <c r="B53" s="2"/>
      <c r="C53" s="351" t="s">
        <v>707</v>
      </c>
      <c r="D53" s="352">
        <v>0</v>
      </c>
      <c r="E53" s="352">
        <v>0</v>
      </c>
      <c r="F53" s="352">
        <v>0</v>
      </c>
      <c r="G53" s="352">
        <v>0</v>
      </c>
      <c r="H53" s="352">
        <v>0</v>
      </c>
      <c r="I53" s="353">
        <f t="shared" ref="I53:I58" si="4">+H53*E53*D53*F53*G53</f>
        <v>0</v>
      </c>
      <c r="J53" s="2"/>
      <c r="K53" s="2"/>
      <c r="L53" s="2"/>
      <c r="Q53" s="333"/>
    </row>
    <row r="54" spans="1:17" s="69" customFormat="1">
      <c r="A54" s="174" t="s">
        <v>246</v>
      </c>
      <c r="B54" s="2"/>
      <c r="C54" s="351" t="s">
        <v>708</v>
      </c>
      <c r="D54" s="70">
        <v>0</v>
      </c>
      <c r="E54" s="352">
        <v>0</v>
      </c>
      <c r="F54" s="352">
        <v>0</v>
      </c>
      <c r="G54" s="352">
        <v>0</v>
      </c>
      <c r="H54" s="352">
        <v>0</v>
      </c>
      <c r="I54" s="353">
        <f t="shared" si="4"/>
        <v>0</v>
      </c>
      <c r="J54" s="2"/>
      <c r="K54" s="2"/>
      <c r="L54" s="2"/>
      <c r="Q54" s="333"/>
    </row>
    <row r="55" spans="1:17" s="69" customFormat="1">
      <c r="A55" s="174" t="s">
        <v>709</v>
      </c>
      <c r="B55" s="2"/>
      <c r="C55" s="351" t="s">
        <v>710</v>
      </c>
      <c r="D55" s="70"/>
      <c r="E55" s="352"/>
      <c r="F55" s="354"/>
      <c r="G55" s="354"/>
      <c r="H55" s="352"/>
      <c r="I55" s="353">
        <f t="shared" si="4"/>
        <v>0</v>
      </c>
      <c r="J55" s="2"/>
      <c r="K55" s="2"/>
      <c r="L55" s="2"/>
      <c r="Q55" s="333"/>
    </row>
    <row r="56" spans="1:17" s="69" customFormat="1">
      <c r="A56" s="174" t="s">
        <v>711</v>
      </c>
      <c r="B56" s="2"/>
      <c r="C56" s="351" t="s">
        <v>712</v>
      </c>
      <c r="D56" s="70"/>
      <c r="E56" s="352"/>
      <c r="F56" s="354"/>
      <c r="G56" s="354"/>
      <c r="H56" s="352"/>
      <c r="I56" s="353">
        <f t="shared" si="4"/>
        <v>0</v>
      </c>
      <c r="J56" s="2"/>
      <c r="K56" s="2"/>
      <c r="L56" s="2"/>
      <c r="Q56" s="333"/>
    </row>
    <row r="57" spans="1:17" s="69" customFormat="1">
      <c r="A57" s="174" t="s">
        <v>713</v>
      </c>
      <c r="B57" s="2"/>
      <c r="C57" s="351" t="s">
        <v>714</v>
      </c>
      <c r="D57" s="70"/>
      <c r="E57" s="352"/>
      <c r="F57" s="354"/>
      <c r="G57" s="354"/>
      <c r="H57" s="352"/>
      <c r="I57" s="353">
        <f t="shared" si="4"/>
        <v>0</v>
      </c>
      <c r="J57" s="2"/>
      <c r="K57" s="2"/>
      <c r="L57" s="2"/>
      <c r="Q57" s="333"/>
    </row>
    <row r="58" spans="1:17" s="69" customFormat="1">
      <c r="A58" s="174" t="s">
        <v>715</v>
      </c>
      <c r="B58" s="2"/>
      <c r="C58" s="355" t="s">
        <v>714</v>
      </c>
      <c r="D58" s="356">
        <v>0</v>
      </c>
      <c r="E58" s="357">
        <v>0</v>
      </c>
      <c r="F58" s="358"/>
      <c r="G58" s="358"/>
      <c r="H58" s="357"/>
      <c r="I58" s="359">
        <f t="shared" si="4"/>
        <v>0</v>
      </c>
      <c r="J58" s="2"/>
      <c r="K58" s="2"/>
      <c r="L58" s="2"/>
      <c r="Q58" s="333"/>
    </row>
    <row r="59" spans="1:17" s="69" customFormat="1">
      <c r="A59" s="174">
        <v>31</v>
      </c>
      <c r="B59" s="2"/>
      <c r="C59" s="347" t="s">
        <v>21</v>
      </c>
      <c r="D59" s="32">
        <f>SUM(D53:D58)</f>
        <v>0</v>
      </c>
      <c r="E59" s="105"/>
      <c r="H59" s="105"/>
      <c r="I59" s="353">
        <f>SUM(I53:I58)</f>
        <v>0</v>
      </c>
      <c r="J59" s="2"/>
      <c r="K59" s="2"/>
      <c r="L59" s="2"/>
      <c r="Q59" s="333"/>
    </row>
    <row r="60" spans="1:17" s="69" customFormat="1">
      <c r="A60" s="360"/>
      <c r="B60" s="361"/>
      <c r="C60" s="362"/>
      <c r="D60" s="362"/>
      <c r="E60" s="362"/>
      <c r="F60" s="362"/>
      <c r="G60" s="362"/>
      <c r="H60" s="2"/>
      <c r="I60" s="2"/>
      <c r="J60" s="2"/>
      <c r="K60" s="2"/>
      <c r="Q60" s="333"/>
    </row>
    <row r="61" spans="1:17" s="69" customFormat="1">
      <c r="A61" s="360"/>
      <c r="B61" s="361"/>
      <c r="C61" s="362"/>
      <c r="D61" s="362"/>
      <c r="E61" s="362"/>
      <c r="F61" s="362"/>
      <c r="G61" s="362"/>
      <c r="H61" s="2"/>
      <c r="I61" s="2"/>
      <c r="J61" s="2"/>
      <c r="K61" s="2"/>
      <c r="Q61" s="333"/>
    </row>
    <row r="62" spans="1:17" s="69" customFormat="1">
      <c r="A62" s="360"/>
      <c r="B62" s="361"/>
      <c r="C62" s="362"/>
      <c r="D62" s="362"/>
      <c r="E62" s="362"/>
      <c r="F62" s="362"/>
      <c r="G62" s="362"/>
      <c r="H62" s="2"/>
      <c r="I62" s="2">
        <v>0</v>
      </c>
      <c r="J62" s="2"/>
      <c r="K62" s="2"/>
      <c r="Q62" s="333"/>
    </row>
    <row r="63" spans="1:17">
      <c r="A63" s="174" t="s">
        <v>716</v>
      </c>
    </row>
    <row r="64" spans="1:17" ht="15" customHeight="1">
      <c r="A64" s="174" t="s">
        <v>340</v>
      </c>
      <c r="B64" s="844" t="s">
        <v>717</v>
      </c>
      <c r="C64" s="844"/>
      <c r="D64" s="844"/>
      <c r="E64" s="844"/>
      <c r="F64" s="844"/>
      <c r="G64" s="844"/>
      <c r="H64" s="844"/>
      <c r="I64" s="844"/>
      <c r="J64" s="844"/>
      <c r="K64" s="844"/>
      <c r="L64" s="146"/>
      <c r="M64" s="146"/>
      <c r="N64" s="146"/>
    </row>
    <row r="65" spans="1:14" ht="15" customHeight="1">
      <c r="A65" s="174" t="s">
        <v>341</v>
      </c>
      <c r="B65" s="844" t="s">
        <v>718</v>
      </c>
      <c r="C65" s="844"/>
      <c r="D65" s="844"/>
      <c r="E65" s="844"/>
      <c r="F65" s="844"/>
      <c r="G65" s="844"/>
      <c r="H65" s="844"/>
      <c r="I65" s="844"/>
      <c r="J65" s="844"/>
      <c r="K65" s="844"/>
      <c r="L65" s="324"/>
      <c r="M65" s="146"/>
      <c r="N65" s="146"/>
    </row>
    <row r="66" spans="1:14" ht="15" customHeight="1">
      <c r="A66" s="174" t="s">
        <v>342</v>
      </c>
      <c r="B66" s="836" t="s">
        <v>719</v>
      </c>
      <c r="C66" s="836"/>
      <c r="D66" s="836"/>
      <c r="E66" s="836"/>
      <c r="F66" s="836"/>
      <c r="G66" s="836"/>
      <c r="H66" s="836"/>
      <c r="I66" s="836"/>
      <c r="J66" s="836"/>
      <c r="K66" s="836"/>
      <c r="L66" s="836"/>
      <c r="M66" s="836"/>
      <c r="N66" s="836"/>
    </row>
    <row r="67" spans="1:14">
      <c r="A67" s="174"/>
      <c r="B67" s="836"/>
      <c r="C67" s="836"/>
      <c r="D67" s="836"/>
      <c r="E67" s="836"/>
      <c r="F67" s="836"/>
      <c r="G67" s="836"/>
      <c r="H67" s="836"/>
      <c r="I67" s="836"/>
      <c r="J67" s="836"/>
      <c r="K67" s="836"/>
      <c r="L67" s="836"/>
      <c r="M67" s="836"/>
      <c r="N67" s="836"/>
    </row>
    <row r="68" spans="1:14">
      <c r="A68" s="174" t="s">
        <v>343</v>
      </c>
      <c r="B68" s="162" t="s">
        <v>720</v>
      </c>
      <c r="C68" s="162"/>
      <c r="D68" s="162"/>
      <c r="E68" s="162"/>
      <c r="F68" s="162"/>
      <c r="G68" s="162"/>
      <c r="H68" s="162"/>
      <c r="I68" s="162"/>
      <c r="J68" s="162"/>
      <c r="K68" s="162"/>
      <c r="L68" s="162"/>
      <c r="M68" s="162"/>
      <c r="N68" s="162"/>
    </row>
    <row r="69" spans="1:14" ht="30.75" customHeight="1">
      <c r="A69" s="363" t="s">
        <v>344</v>
      </c>
      <c r="B69" s="817" t="s">
        <v>721</v>
      </c>
      <c r="C69" s="817"/>
      <c r="D69" s="817"/>
      <c r="E69" s="817"/>
      <c r="F69" s="817"/>
      <c r="G69" s="817"/>
      <c r="H69" s="817"/>
      <c r="I69" s="817"/>
      <c r="J69" s="817"/>
      <c r="K69" s="817"/>
      <c r="L69" s="817"/>
      <c r="M69" s="817"/>
      <c r="N69" s="817"/>
    </row>
    <row r="70" spans="1:14" ht="15" customHeight="1">
      <c r="A70" s="174" t="s">
        <v>345</v>
      </c>
      <c r="B70" s="837" t="s">
        <v>722</v>
      </c>
      <c r="C70" s="817"/>
      <c r="D70" s="817"/>
      <c r="E70" s="817"/>
      <c r="F70" s="817"/>
      <c r="G70" s="817"/>
      <c r="H70" s="817"/>
      <c r="I70" s="817"/>
      <c r="J70" s="817"/>
      <c r="K70" s="817"/>
      <c r="L70" s="146"/>
      <c r="M70" s="146"/>
      <c r="N70" s="146"/>
    </row>
    <row r="71" spans="1:14" ht="61.9" customHeight="1">
      <c r="A71" s="363" t="s">
        <v>347</v>
      </c>
      <c r="B71" s="817" t="s">
        <v>723</v>
      </c>
      <c r="C71" s="817"/>
      <c r="D71" s="817"/>
      <c r="E71" s="817"/>
      <c r="F71" s="817"/>
      <c r="G71" s="817"/>
      <c r="H71" s="817"/>
      <c r="I71" s="817"/>
      <c r="J71" s="817"/>
      <c r="K71" s="817"/>
      <c r="L71" s="817"/>
      <c r="M71" s="817"/>
      <c r="N71" s="817"/>
    </row>
    <row r="72" spans="1:14" ht="15" customHeight="1">
      <c r="A72" s="174"/>
      <c r="B72" s="364"/>
      <c r="C72" s="364"/>
      <c r="D72" s="364"/>
      <c r="E72" s="364"/>
      <c r="F72" s="364"/>
      <c r="G72" s="364"/>
      <c r="H72" s="364"/>
      <c r="I72" s="364"/>
      <c r="J72" s="364"/>
      <c r="K72" s="364"/>
    </row>
    <row r="73" spans="1:14">
      <c r="C73" s="364"/>
      <c r="D73" s="364"/>
      <c r="E73" s="364"/>
      <c r="F73" s="364"/>
      <c r="G73" s="364"/>
      <c r="H73" s="364"/>
      <c r="I73" s="364"/>
      <c r="J73" s="364"/>
      <c r="K73" s="364"/>
    </row>
    <row r="74" spans="1:14">
      <c r="C74" s="364"/>
      <c r="D74" s="364"/>
      <c r="E74" s="364"/>
      <c r="F74" s="364"/>
      <c r="G74" s="364"/>
      <c r="H74" s="364"/>
      <c r="I74" s="364"/>
      <c r="J74" s="364"/>
      <c r="K74" s="364"/>
    </row>
  </sheetData>
  <mergeCells count="10">
    <mergeCell ref="B66:N67"/>
    <mergeCell ref="B69:N69"/>
    <mergeCell ref="B70:K70"/>
    <mergeCell ref="B71:N71"/>
    <mergeCell ref="C5:G5"/>
    <mergeCell ref="J5:K5"/>
    <mergeCell ref="L5:P5"/>
    <mergeCell ref="C25:I25"/>
    <mergeCell ref="B64:K64"/>
    <mergeCell ref="B65:K65"/>
  </mergeCells>
  <pageMargins left="0.25" right="0.25" top="0.75" bottom="0.75" header="0.3" footer="0.3"/>
  <pageSetup scale="46" fitToHeight="0" orientation="landscape" r:id="rId1"/>
  <rowBreaks count="1" manualBreakCount="1">
    <brk id="44"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BD383-32F2-4374-9ABE-F9DA96B005C2}">
  <sheetPr>
    <pageSetUpPr fitToPage="1"/>
  </sheetPr>
  <dimension ref="A1:O87"/>
  <sheetViews>
    <sheetView topLeftCell="A28" zoomScale="80" zoomScaleNormal="80" workbookViewId="0">
      <selection activeCell="I64" sqref="I64"/>
    </sheetView>
  </sheetViews>
  <sheetFormatPr defaultColWidth="14" defaultRowHeight="12.75"/>
  <cols>
    <col min="1" max="1" width="7.88671875" style="175" customWidth="1"/>
    <col min="2" max="2" width="21" style="2" customWidth="1"/>
    <col min="3" max="6" width="17.88671875" style="2" customWidth="1"/>
    <col min="7" max="7" width="17" style="2" customWidth="1"/>
    <col min="8" max="12" width="17.88671875" style="2" customWidth="1"/>
    <col min="13" max="13" width="20.6640625" style="2" customWidth="1"/>
    <col min="14" max="14" width="17.88671875" style="2" customWidth="1"/>
    <col min="15" max="15" width="14.109375" style="2" customWidth="1"/>
    <col min="16" max="16384" width="14" style="2"/>
  </cols>
  <sheetData>
    <row r="1" spans="1:15">
      <c r="A1" s="845" t="s">
        <v>724</v>
      </c>
      <c r="B1" s="845"/>
      <c r="C1" s="845"/>
      <c r="D1" s="845"/>
      <c r="E1" s="845"/>
      <c r="F1" s="845"/>
      <c r="G1" s="845"/>
      <c r="H1" s="845"/>
      <c r="I1" s="845"/>
      <c r="J1" s="845"/>
      <c r="K1" s="845"/>
      <c r="L1" s="845"/>
      <c r="M1" s="845"/>
      <c r="N1" s="845"/>
    </row>
    <row r="2" spans="1:15" ht="15" customHeight="1">
      <c r="A2" s="846" t="s">
        <v>725</v>
      </c>
      <c r="B2" s="846"/>
      <c r="C2" s="846"/>
      <c r="D2" s="846"/>
      <c r="E2" s="846"/>
      <c r="F2" s="846"/>
      <c r="G2" s="846"/>
      <c r="H2" s="846"/>
      <c r="I2" s="846"/>
      <c r="J2" s="846"/>
      <c r="K2" s="846"/>
      <c r="L2" s="846"/>
      <c r="M2" s="846"/>
      <c r="N2" s="846"/>
    </row>
    <row r="3" spans="1:15">
      <c r="A3" s="834" t="str">
        <f>+'Attachment O'!D5</f>
        <v>GridLiance Heartland LLC</v>
      </c>
      <c r="B3" s="834"/>
      <c r="C3" s="834"/>
      <c r="D3" s="834"/>
      <c r="E3" s="834"/>
      <c r="F3" s="834"/>
      <c r="G3" s="834"/>
      <c r="H3" s="834"/>
      <c r="I3" s="834"/>
      <c r="J3" s="834"/>
      <c r="K3" s="834"/>
      <c r="L3" s="834"/>
      <c r="M3" s="834"/>
      <c r="N3" s="834"/>
    </row>
    <row r="4" spans="1:15">
      <c r="B4" s="10"/>
    </row>
    <row r="6" spans="1:15" s="367" customFormat="1" ht="85.5" customHeight="1">
      <c r="A6" s="365" t="s">
        <v>492</v>
      </c>
      <c r="B6" s="366" t="s">
        <v>645</v>
      </c>
      <c r="C6" s="806" t="s">
        <v>726</v>
      </c>
      <c r="D6" s="806" t="s">
        <v>727</v>
      </c>
      <c r="E6" s="806" t="s">
        <v>728</v>
      </c>
      <c r="F6" s="806" t="s">
        <v>729</v>
      </c>
      <c r="G6" s="806" t="s">
        <v>730</v>
      </c>
      <c r="H6" s="806" t="s">
        <v>731</v>
      </c>
      <c r="I6" s="806" t="s">
        <v>732</v>
      </c>
      <c r="J6" s="806" t="s">
        <v>733</v>
      </c>
      <c r="K6" s="806" t="s">
        <v>734</v>
      </c>
      <c r="L6" s="806" t="s">
        <v>735</v>
      </c>
      <c r="M6" s="806" t="s">
        <v>736</v>
      </c>
      <c r="N6" s="807" t="s">
        <v>983</v>
      </c>
      <c r="O6" s="808"/>
    </row>
    <row r="7" spans="1:15" ht="42" customHeight="1">
      <c r="B7" s="368" t="s">
        <v>737</v>
      </c>
      <c r="C7" s="369">
        <v>1</v>
      </c>
      <c r="D7" s="369" t="s">
        <v>153</v>
      </c>
      <c r="E7" s="369">
        <v>2</v>
      </c>
      <c r="F7" s="369">
        <v>3</v>
      </c>
      <c r="G7" s="369">
        <v>4</v>
      </c>
      <c r="H7" s="369">
        <v>5</v>
      </c>
      <c r="I7" s="369" t="s">
        <v>164</v>
      </c>
      <c r="J7" s="369">
        <v>7</v>
      </c>
      <c r="K7" s="369" t="s">
        <v>178</v>
      </c>
      <c r="L7" s="369" t="s">
        <v>181</v>
      </c>
      <c r="M7" s="369">
        <v>9</v>
      </c>
      <c r="N7" s="369" t="s">
        <v>151</v>
      </c>
      <c r="O7" s="369"/>
    </row>
    <row r="8" spans="1:15" s="372" customFormat="1">
      <c r="A8" s="175"/>
      <c r="B8" s="368"/>
      <c r="C8" s="369" t="s">
        <v>329</v>
      </c>
      <c r="D8" s="323" t="s">
        <v>330</v>
      </c>
      <c r="E8" s="323" t="s">
        <v>331</v>
      </c>
      <c r="F8" s="370" t="s">
        <v>332</v>
      </c>
      <c r="G8" s="370" t="s">
        <v>653</v>
      </c>
      <c r="H8" s="370" t="s">
        <v>654</v>
      </c>
      <c r="I8" s="370" t="s">
        <v>655</v>
      </c>
      <c r="J8" s="371" t="s">
        <v>656</v>
      </c>
      <c r="K8" s="371" t="s">
        <v>657</v>
      </c>
      <c r="L8" s="14" t="s">
        <v>658</v>
      </c>
      <c r="M8" s="14" t="s">
        <v>659</v>
      </c>
      <c r="N8" s="14" t="s">
        <v>660</v>
      </c>
      <c r="O8" s="14"/>
    </row>
    <row r="9" spans="1:15" ht="34.5" customHeight="1">
      <c r="B9" s="373" t="s">
        <v>738</v>
      </c>
      <c r="C9" s="369" t="s">
        <v>739</v>
      </c>
      <c r="D9" s="369" t="s">
        <v>740</v>
      </c>
      <c r="E9" s="369" t="s">
        <v>741</v>
      </c>
      <c r="F9" s="369" t="s">
        <v>742</v>
      </c>
      <c r="G9" s="368" t="s">
        <v>743</v>
      </c>
      <c r="H9" s="368" t="s">
        <v>743</v>
      </c>
      <c r="I9" s="368" t="s">
        <v>743</v>
      </c>
      <c r="J9" s="369"/>
      <c r="K9" s="369" t="s">
        <v>740</v>
      </c>
      <c r="L9" s="369" t="str">
        <f>+K9</f>
        <v>321.97.b</v>
      </c>
      <c r="M9" s="369" t="s">
        <v>744</v>
      </c>
      <c r="N9" s="368" t="s">
        <v>745</v>
      </c>
      <c r="O9" s="374"/>
    </row>
    <row r="10" spans="1:15">
      <c r="A10" s="175" t="s">
        <v>746</v>
      </c>
      <c r="B10" s="375" t="s">
        <v>677</v>
      </c>
      <c r="C10" s="571">
        <v>503104.91649272962</v>
      </c>
      <c r="D10" s="70">
        <v>0</v>
      </c>
      <c r="E10" s="70">
        <v>0</v>
      </c>
      <c r="F10" s="572">
        <v>609050.28683264903</v>
      </c>
      <c r="G10" s="70">
        <v>0</v>
      </c>
      <c r="H10" s="70">
        <v>0</v>
      </c>
      <c r="I10" s="70">
        <v>0</v>
      </c>
      <c r="J10" s="70">
        <v>0</v>
      </c>
      <c r="K10" s="70">
        <v>0</v>
      </c>
      <c r="L10" s="70">
        <v>0</v>
      </c>
      <c r="M10" s="573">
        <v>66911.880821745857</v>
      </c>
      <c r="N10" s="573">
        <v>248225.00000000003</v>
      </c>
    </row>
    <row r="11" spans="1:15">
      <c r="A11" s="175" t="s">
        <v>747</v>
      </c>
      <c r="B11" s="375" t="s">
        <v>678</v>
      </c>
      <c r="C11" s="571">
        <v>503104.91649272962</v>
      </c>
      <c r="D11" s="70">
        <v>0</v>
      </c>
      <c r="E11" s="70">
        <v>0</v>
      </c>
      <c r="F11" s="572">
        <v>609050.28683264903</v>
      </c>
      <c r="G11" s="70">
        <v>0</v>
      </c>
      <c r="H11" s="70">
        <v>0</v>
      </c>
      <c r="I11" s="70">
        <v>0</v>
      </c>
      <c r="J11" s="70">
        <v>0</v>
      </c>
      <c r="K11" s="70">
        <v>0</v>
      </c>
      <c r="L11" s="70">
        <v>0</v>
      </c>
      <c r="M11" s="573">
        <v>66911.880821745857</v>
      </c>
      <c r="N11" s="573">
        <v>248225.00000000003</v>
      </c>
    </row>
    <row r="12" spans="1:15">
      <c r="A12" s="175" t="s">
        <v>748</v>
      </c>
      <c r="B12" s="375" t="s">
        <v>749</v>
      </c>
      <c r="C12" s="571">
        <v>503104.91649272962</v>
      </c>
      <c r="D12" s="70">
        <v>0</v>
      </c>
      <c r="E12" s="70">
        <v>0</v>
      </c>
      <c r="F12" s="572">
        <v>609050.28683264903</v>
      </c>
      <c r="G12" s="70">
        <v>0</v>
      </c>
      <c r="H12" s="70">
        <v>0</v>
      </c>
      <c r="I12" s="70">
        <v>0</v>
      </c>
      <c r="J12" s="70">
        <v>0</v>
      </c>
      <c r="K12" s="70">
        <v>0</v>
      </c>
      <c r="L12" s="70">
        <v>0</v>
      </c>
      <c r="M12" s="573">
        <v>66911.880821745857</v>
      </c>
      <c r="N12" s="573">
        <v>248225.00000000003</v>
      </c>
    </row>
    <row r="13" spans="1:15">
      <c r="A13" s="175" t="s">
        <v>750</v>
      </c>
      <c r="B13" s="375" t="s">
        <v>680</v>
      </c>
      <c r="C13" s="571">
        <v>503104.91649272962</v>
      </c>
      <c r="D13" s="70">
        <v>0</v>
      </c>
      <c r="E13" s="70">
        <v>0</v>
      </c>
      <c r="F13" s="572">
        <v>609050.28683264903</v>
      </c>
      <c r="G13" s="70">
        <v>0</v>
      </c>
      <c r="H13" s="70">
        <v>0</v>
      </c>
      <c r="I13" s="70">
        <v>0</v>
      </c>
      <c r="J13" s="70">
        <v>0</v>
      </c>
      <c r="K13" s="70">
        <v>0</v>
      </c>
      <c r="L13" s="70">
        <v>0</v>
      </c>
      <c r="M13" s="573">
        <v>66911.880821745857</v>
      </c>
      <c r="N13" s="573">
        <v>248225.00000000003</v>
      </c>
    </row>
    <row r="14" spans="1:15">
      <c r="A14" s="175" t="s">
        <v>451</v>
      </c>
      <c r="B14" s="375" t="s">
        <v>681</v>
      </c>
      <c r="C14" s="571">
        <v>503104.91649272962</v>
      </c>
      <c r="D14" s="70">
        <v>0</v>
      </c>
      <c r="E14" s="70">
        <v>0</v>
      </c>
      <c r="F14" s="572">
        <v>609050.28683264903</v>
      </c>
      <c r="G14" s="70">
        <v>0</v>
      </c>
      <c r="H14" s="70">
        <v>0</v>
      </c>
      <c r="I14" s="70">
        <v>0</v>
      </c>
      <c r="J14" s="70">
        <v>0</v>
      </c>
      <c r="K14" s="70">
        <v>0</v>
      </c>
      <c r="L14" s="70">
        <v>0</v>
      </c>
      <c r="M14" s="573">
        <v>66911.880821745857</v>
      </c>
      <c r="N14" s="573">
        <v>248225.00000000003</v>
      </c>
    </row>
    <row r="15" spans="1:15">
      <c r="A15" s="175" t="s">
        <v>454</v>
      </c>
      <c r="B15" s="375" t="s">
        <v>682</v>
      </c>
      <c r="C15" s="571">
        <v>503104.91649272962</v>
      </c>
      <c r="D15" s="70">
        <v>0</v>
      </c>
      <c r="E15" s="70">
        <v>0</v>
      </c>
      <c r="F15" s="572">
        <v>609050.28683264903</v>
      </c>
      <c r="G15" s="70">
        <v>0</v>
      </c>
      <c r="H15" s="70">
        <v>0</v>
      </c>
      <c r="I15" s="70">
        <v>0</v>
      </c>
      <c r="J15" s="70">
        <v>0</v>
      </c>
      <c r="K15" s="70">
        <v>0</v>
      </c>
      <c r="L15" s="70">
        <v>0</v>
      </c>
      <c r="M15" s="573">
        <v>66911.880821745857</v>
      </c>
      <c r="N15" s="573">
        <v>248225.00000000003</v>
      </c>
    </row>
    <row r="16" spans="1:15">
      <c r="A16" s="175" t="s">
        <v>458</v>
      </c>
      <c r="B16" s="375" t="s">
        <v>683</v>
      </c>
      <c r="C16" s="571">
        <v>503104.91649272962</v>
      </c>
      <c r="D16" s="70">
        <v>0</v>
      </c>
      <c r="E16" s="70">
        <v>0</v>
      </c>
      <c r="F16" s="572">
        <v>609050.28683264903</v>
      </c>
      <c r="G16" s="70">
        <v>0</v>
      </c>
      <c r="H16" s="70">
        <v>0</v>
      </c>
      <c r="I16" s="70">
        <v>0</v>
      </c>
      <c r="J16" s="70">
        <v>0</v>
      </c>
      <c r="K16" s="70">
        <v>0</v>
      </c>
      <c r="L16" s="70">
        <v>0</v>
      </c>
      <c r="M16" s="573">
        <v>66911.880821745857</v>
      </c>
      <c r="N16" s="573">
        <v>248225.00000000003</v>
      </c>
    </row>
    <row r="17" spans="1:15">
      <c r="A17" s="175" t="s">
        <v>461</v>
      </c>
      <c r="B17" s="375" t="s">
        <v>751</v>
      </c>
      <c r="C17" s="571">
        <v>503104.91649272962</v>
      </c>
      <c r="D17" s="70">
        <v>0</v>
      </c>
      <c r="E17" s="70">
        <v>0</v>
      </c>
      <c r="F17" s="572">
        <v>609050.28683264903</v>
      </c>
      <c r="G17" s="70">
        <v>0</v>
      </c>
      <c r="H17" s="70">
        <v>0</v>
      </c>
      <c r="I17" s="70">
        <v>0</v>
      </c>
      <c r="J17" s="70">
        <v>0</v>
      </c>
      <c r="K17" s="70">
        <v>0</v>
      </c>
      <c r="L17" s="70">
        <v>0</v>
      </c>
      <c r="M17" s="573">
        <v>66911.880821745857</v>
      </c>
      <c r="N17" s="573">
        <v>248225.00000000003</v>
      </c>
    </row>
    <row r="18" spans="1:15">
      <c r="A18" s="175" t="s">
        <v>464</v>
      </c>
      <c r="B18" s="375" t="s">
        <v>685</v>
      </c>
      <c r="C18" s="571">
        <v>503104.91649272962</v>
      </c>
      <c r="D18" s="70">
        <v>0</v>
      </c>
      <c r="E18" s="70">
        <v>0</v>
      </c>
      <c r="F18" s="572">
        <v>609050.28683264903</v>
      </c>
      <c r="G18" s="70">
        <v>0</v>
      </c>
      <c r="H18" s="70">
        <v>0</v>
      </c>
      <c r="I18" s="70">
        <v>0</v>
      </c>
      <c r="J18" s="70">
        <v>0</v>
      </c>
      <c r="K18" s="70">
        <v>0</v>
      </c>
      <c r="L18" s="70">
        <v>0</v>
      </c>
      <c r="M18" s="573">
        <v>66911.880821745857</v>
      </c>
      <c r="N18" s="573">
        <v>248225.00000000003</v>
      </c>
    </row>
    <row r="19" spans="1:15">
      <c r="A19" s="175" t="s">
        <v>468</v>
      </c>
      <c r="B19" s="375" t="s">
        <v>686</v>
      </c>
      <c r="C19" s="571">
        <v>503104.91649272962</v>
      </c>
      <c r="D19" s="70">
        <v>0</v>
      </c>
      <c r="E19" s="70">
        <v>0</v>
      </c>
      <c r="F19" s="572">
        <v>609050.28683264903</v>
      </c>
      <c r="G19" s="70">
        <v>0</v>
      </c>
      <c r="H19" s="70">
        <v>0</v>
      </c>
      <c r="I19" s="70">
        <v>0</v>
      </c>
      <c r="J19" s="70">
        <v>0</v>
      </c>
      <c r="K19" s="70">
        <v>0</v>
      </c>
      <c r="L19" s="70">
        <v>0</v>
      </c>
      <c r="M19" s="573">
        <v>66911.880821745857</v>
      </c>
      <c r="N19" s="573">
        <v>248225.00000000003</v>
      </c>
    </row>
    <row r="20" spans="1:15">
      <c r="A20" s="175" t="s">
        <v>470</v>
      </c>
      <c r="B20" s="375" t="s">
        <v>687</v>
      </c>
      <c r="C20" s="571">
        <v>503104.91649272962</v>
      </c>
      <c r="D20" s="70">
        <v>0</v>
      </c>
      <c r="E20" s="70">
        <v>0</v>
      </c>
      <c r="F20" s="572">
        <v>609050.28683264903</v>
      </c>
      <c r="G20" s="70">
        <v>0</v>
      </c>
      <c r="H20" s="70">
        <v>0</v>
      </c>
      <c r="I20" s="70">
        <v>0</v>
      </c>
      <c r="J20" s="70">
        <v>0</v>
      </c>
      <c r="K20" s="70">
        <v>0</v>
      </c>
      <c r="L20" s="70">
        <v>0</v>
      </c>
      <c r="M20" s="573">
        <v>66911.880821745857</v>
      </c>
      <c r="N20" s="573">
        <v>248225.00000000003</v>
      </c>
    </row>
    <row r="21" spans="1:15">
      <c r="A21" s="175" t="s">
        <v>473</v>
      </c>
      <c r="B21" s="375" t="s">
        <v>752</v>
      </c>
      <c r="C21" s="571">
        <v>503104.91649272962</v>
      </c>
      <c r="D21" s="70">
        <v>0</v>
      </c>
      <c r="E21" s="70">
        <v>0</v>
      </c>
      <c r="F21" s="572">
        <v>609050.28683264903</v>
      </c>
      <c r="G21" s="70">
        <v>0</v>
      </c>
      <c r="H21" s="70">
        <v>0</v>
      </c>
      <c r="I21" s="70">
        <v>0</v>
      </c>
      <c r="J21" s="70">
        <v>0</v>
      </c>
      <c r="K21" s="70">
        <v>0</v>
      </c>
      <c r="L21" s="70">
        <v>0</v>
      </c>
      <c r="M21" s="573">
        <v>66911.880821745857</v>
      </c>
      <c r="N21" s="573">
        <v>248225.00000000003</v>
      </c>
    </row>
    <row r="22" spans="1:15">
      <c r="A22" s="175" t="s">
        <v>476</v>
      </c>
      <c r="B22" s="376" t="s">
        <v>21</v>
      </c>
      <c r="C22" s="377">
        <f>SUM(C10:C21)</f>
        <v>6037258.9979127543</v>
      </c>
      <c r="D22" s="377">
        <f>SUM(D10:D21)</f>
        <v>0</v>
      </c>
      <c r="E22" s="377">
        <f>SUM(E10:E21)</f>
        <v>0</v>
      </c>
      <c r="F22" s="377">
        <f t="shared" ref="F22:N22" si="0">SUM(F10:F21)</f>
        <v>7308603.4419917902</v>
      </c>
      <c r="G22" s="377">
        <f>SUM(G10:G21)</f>
        <v>0</v>
      </c>
      <c r="H22" s="377">
        <f t="shared" si="0"/>
        <v>0</v>
      </c>
      <c r="I22" s="377">
        <f t="shared" si="0"/>
        <v>0</v>
      </c>
      <c r="J22" s="377">
        <f t="shared" si="0"/>
        <v>0</v>
      </c>
      <c r="K22" s="377">
        <f t="shared" si="0"/>
        <v>0</v>
      </c>
      <c r="L22" s="377">
        <f t="shared" si="0"/>
        <v>0</v>
      </c>
      <c r="M22" s="377">
        <f t="shared" si="0"/>
        <v>802942.56986095023</v>
      </c>
      <c r="N22" s="377">
        <f t="shared" si="0"/>
        <v>2978700.0000000005</v>
      </c>
    </row>
    <row r="23" spans="1:15">
      <c r="B23" s="375"/>
      <c r="C23" s="375"/>
      <c r="D23" s="375"/>
      <c r="E23" s="375"/>
      <c r="F23" s="375"/>
      <c r="G23" s="375"/>
      <c r="H23" s="375"/>
      <c r="I23" s="375"/>
      <c r="J23" s="375"/>
      <c r="N23" s="375"/>
      <c r="O23" s="378"/>
    </row>
    <row r="24" spans="1:15">
      <c r="B24" s="375"/>
      <c r="C24" s="375"/>
      <c r="D24" s="375"/>
      <c r="E24" s="375"/>
      <c r="F24" s="375"/>
      <c r="G24" s="375"/>
      <c r="H24" s="375"/>
      <c r="I24" s="375"/>
      <c r="J24" s="375"/>
      <c r="N24" s="375"/>
      <c r="O24" s="378"/>
    </row>
    <row r="25" spans="1:15" ht="87.75" customHeight="1">
      <c r="C25" s="366" t="s">
        <v>753</v>
      </c>
      <c r="D25" s="367" t="s">
        <v>754</v>
      </c>
      <c r="E25" s="366" t="s">
        <v>755</v>
      </c>
      <c r="F25" s="367" t="s">
        <v>756</v>
      </c>
      <c r="G25" s="806" t="s">
        <v>757</v>
      </c>
      <c r="H25" s="366" t="s">
        <v>758</v>
      </c>
      <c r="I25" s="366" t="s">
        <v>759</v>
      </c>
      <c r="J25" s="366" t="s">
        <v>760</v>
      </c>
      <c r="K25" s="366" t="s">
        <v>761</v>
      </c>
      <c r="L25" s="366" t="s">
        <v>400</v>
      </c>
      <c r="M25" s="366" t="s">
        <v>225</v>
      </c>
      <c r="N25" s="366" t="s">
        <v>762</v>
      </c>
    </row>
    <row r="26" spans="1:15" ht="48.75" customHeight="1">
      <c r="B26" s="379" t="s">
        <v>763</v>
      </c>
      <c r="C26" s="369">
        <v>10</v>
      </c>
      <c r="D26" s="175" t="s">
        <v>194</v>
      </c>
      <c r="E26" s="369">
        <v>13</v>
      </c>
      <c r="F26" s="369">
        <v>14</v>
      </c>
      <c r="G26" s="369">
        <v>16</v>
      </c>
      <c r="H26" s="369">
        <v>17</v>
      </c>
      <c r="I26" s="369">
        <v>18</v>
      </c>
      <c r="J26" s="369">
        <v>19</v>
      </c>
      <c r="K26" s="368">
        <v>24</v>
      </c>
      <c r="L26" s="369"/>
      <c r="M26" s="369" t="s">
        <v>224</v>
      </c>
      <c r="N26" s="369">
        <v>11</v>
      </c>
    </row>
    <row r="27" spans="1:15" s="372" customFormat="1">
      <c r="A27" s="175"/>
      <c r="B27" s="368"/>
      <c r="C27" s="369" t="s">
        <v>329</v>
      </c>
      <c r="D27" s="323" t="s">
        <v>330</v>
      </c>
      <c r="E27" s="323" t="s">
        <v>331</v>
      </c>
      <c r="F27" s="370" t="s">
        <v>332</v>
      </c>
      <c r="G27" s="370" t="s">
        <v>653</v>
      </c>
      <c r="H27" s="370" t="s">
        <v>654</v>
      </c>
      <c r="I27" s="370" t="s">
        <v>655</v>
      </c>
      <c r="J27" s="371" t="s">
        <v>656</v>
      </c>
      <c r="K27" s="371" t="s">
        <v>657</v>
      </c>
      <c r="L27" s="14" t="s">
        <v>658</v>
      </c>
      <c r="M27" s="14" t="s">
        <v>659</v>
      </c>
      <c r="N27" s="14" t="s">
        <v>660</v>
      </c>
    </row>
    <row r="28" spans="1:15" ht="33.75" customHeight="1">
      <c r="B28" s="373" t="s">
        <v>738</v>
      </c>
      <c r="C28" s="369" t="s">
        <v>764</v>
      </c>
      <c r="D28" s="368" t="s">
        <v>765</v>
      </c>
      <c r="E28" s="369" t="s">
        <v>766</v>
      </c>
      <c r="F28" s="369" t="str">
        <f>+E28</f>
        <v>263.i</v>
      </c>
      <c r="G28" s="369" t="str">
        <f>+F28</f>
        <v>263.i</v>
      </c>
      <c r="H28" s="369" t="str">
        <f>+G28</f>
        <v>263.i</v>
      </c>
      <c r="I28" s="369" t="str">
        <f>+H28</f>
        <v>263.i</v>
      </c>
      <c r="J28" s="369"/>
      <c r="K28" s="369" t="s">
        <v>767</v>
      </c>
      <c r="L28" s="369"/>
      <c r="M28" s="369"/>
      <c r="N28" s="369" t="s">
        <v>768</v>
      </c>
    </row>
    <row r="29" spans="1:15">
      <c r="A29" s="175" t="s">
        <v>479</v>
      </c>
      <c r="B29" s="375" t="s">
        <v>677</v>
      </c>
      <c r="C29" s="70">
        <v>0</v>
      </c>
      <c r="D29" s="244">
        <v>0</v>
      </c>
      <c r="E29" s="244">
        <v>0</v>
      </c>
      <c r="F29" s="244">
        <v>0</v>
      </c>
      <c r="G29" s="70">
        <v>11712.818333333335</v>
      </c>
      <c r="H29" s="244">
        <v>0</v>
      </c>
      <c r="I29" s="70">
        <v>0</v>
      </c>
      <c r="J29" s="244">
        <v>0</v>
      </c>
      <c r="K29" s="244">
        <v>0</v>
      </c>
      <c r="L29" s="244">
        <v>0</v>
      </c>
      <c r="M29" s="70">
        <v>-25953.319625000004</v>
      </c>
      <c r="N29" s="244">
        <v>0</v>
      </c>
    </row>
    <row r="30" spans="1:15">
      <c r="A30" s="175" t="s">
        <v>769</v>
      </c>
      <c r="B30" s="375" t="s">
        <v>678</v>
      </c>
      <c r="C30" s="70">
        <v>0</v>
      </c>
      <c r="D30" s="244">
        <v>0</v>
      </c>
      <c r="E30" s="244">
        <v>0</v>
      </c>
      <c r="F30" s="244">
        <v>0</v>
      </c>
      <c r="G30" s="70">
        <v>11712.818333333335</v>
      </c>
      <c r="H30" s="244">
        <v>0</v>
      </c>
      <c r="I30" s="70">
        <v>0</v>
      </c>
      <c r="J30" s="244">
        <v>0</v>
      </c>
      <c r="K30" s="244">
        <v>0</v>
      </c>
      <c r="L30" s="244">
        <v>0</v>
      </c>
      <c r="M30" s="70">
        <f>M$29</f>
        <v>-25953.319625000004</v>
      </c>
      <c r="N30" s="244">
        <v>0</v>
      </c>
    </row>
    <row r="31" spans="1:15">
      <c r="A31" s="175" t="s">
        <v>541</v>
      </c>
      <c r="B31" s="375" t="s">
        <v>749</v>
      </c>
      <c r="C31" s="70">
        <v>0</v>
      </c>
      <c r="D31" s="244">
        <v>0</v>
      </c>
      <c r="E31" s="244">
        <v>0</v>
      </c>
      <c r="F31" s="244">
        <v>0</v>
      </c>
      <c r="G31" s="70">
        <v>11712.818333333335</v>
      </c>
      <c r="H31" s="244">
        <v>0</v>
      </c>
      <c r="I31" s="70">
        <v>0</v>
      </c>
      <c r="J31" s="244">
        <v>0</v>
      </c>
      <c r="K31" s="244">
        <v>0</v>
      </c>
      <c r="L31" s="244">
        <v>0</v>
      </c>
      <c r="M31" s="70">
        <f t="shared" ref="M31:M40" si="1">M$29</f>
        <v>-25953.319625000004</v>
      </c>
      <c r="N31" s="244">
        <v>0</v>
      </c>
    </row>
    <row r="32" spans="1:15">
      <c r="A32" s="175" t="s">
        <v>770</v>
      </c>
      <c r="B32" s="375" t="s">
        <v>680</v>
      </c>
      <c r="C32" s="70">
        <v>0</v>
      </c>
      <c r="D32" s="244">
        <v>0</v>
      </c>
      <c r="E32" s="244">
        <v>0</v>
      </c>
      <c r="F32" s="244">
        <v>0</v>
      </c>
      <c r="G32" s="70">
        <v>11712.818333333335</v>
      </c>
      <c r="H32" s="244">
        <v>0</v>
      </c>
      <c r="I32" s="70">
        <v>0</v>
      </c>
      <c r="J32" s="244">
        <v>0</v>
      </c>
      <c r="K32" s="244">
        <v>0</v>
      </c>
      <c r="L32" s="244">
        <v>0</v>
      </c>
      <c r="M32" s="70">
        <f t="shared" si="1"/>
        <v>-25953.319625000004</v>
      </c>
      <c r="N32" s="244">
        <v>0</v>
      </c>
    </row>
    <row r="33" spans="1:15">
      <c r="A33" s="175" t="s">
        <v>771</v>
      </c>
      <c r="B33" s="375" t="s">
        <v>681</v>
      </c>
      <c r="C33" s="70">
        <v>0</v>
      </c>
      <c r="D33" s="244">
        <v>0</v>
      </c>
      <c r="E33" s="244">
        <v>0</v>
      </c>
      <c r="F33" s="244">
        <v>0</v>
      </c>
      <c r="G33" s="70">
        <v>11712.818333333335</v>
      </c>
      <c r="H33" s="244">
        <v>0</v>
      </c>
      <c r="I33" s="70">
        <v>0</v>
      </c>
      <c r="J33" s="244">
        <v>0</v>
      </c>
      <c r="K33" s="244">
        <v>0</v>
      </c>
      <c r="L33" s="244">
        <v>0</v>
      </c>
      <c r="M33" s="70">
        <f t="shared" si="1"/>
        <v>-25953.319625000004</v>
      </c>
      <c r="N33" s="244">
        <v>0</v>
      </c>
    </row>
    <row r="34" spans="1:15">
      <c r="A34" s="175" t="s">
        <v>772</v>
      </c>
      <c r="B34" s="375" t="s">
        <v>682</v>
      </c>
      <c r="C34" s="70">
        <v>0</v>
      </c>
      <c r="D34" s="244">
        <v>0</v>
      </c>
      <c r="E34" s="244">
        <v>0</v>
      </c>
      <c r="F34" s="244">
        <v>0</v>
      </c>
      <c r="G34" s="70">
        <v>11712.818333333335</v>
      </c>
      <c r="H34" s="244">
        <v>0</v>
      </c>
      <c r="I34" s="70">
        <v>0</v>
      </c>
      <c r="J34" s="244">
        <v>0</v>
      </c>
      <c r="K34" s="244">
        <v>0</v>
      </c>
      <c r="L34" s="244">
        <v>0</v>
      </c>
      <c r="M34" s="70">
        <f t="shared" si="1"/>
        <v>-25953.319625000004</v>
      </c>
      <c r="N34" s="244">
        <v>0</v>
      </c>
    </row>
    <row r="35" spans="1:15">
      <c r="A35" s="175" t="s">
        <v>773</v>
      </c>
      <c r="B35" s="375" t="s">
        <v>683</v>
      </c>
      <c r="C35" s="70">
        <v>0</v>
      </c>
      <c r="D35" s="244">
        <v>0</v>
      </c>
      <c r="E35" s="244">
        <v>0</v>
      </c>
      <c r="F35" s="244">
        <v>0</v>
      </c>
      <c r="G35" s="70">
        <v>11712.818333333335</v>
      </c>
      <c r="H35" s="244">
        <v>0</v>
      </c>
      <c r="I35" s="70">
        <v>0</v>
      </c>
      <c r="J35" s="244">
        <v>0</v>
      </c>
      <c r="K35" s="244">
        <v>0</v>
      </c>
      <c r="L35" s="244">
        <v>0</v>
      </c>
      <c r="M35" s="70">
        <f t="shared" si="1"/>
        <v>-25953.319625000004</v>
      </c>
      <c r="N35" s="244">
        <v>0</v>
      </c>
    </row>
    <row r="36" spans="1:15">
      <c r="A36" s="175" t="s">
        <v>774</v>
      </c>
      <c r="B36" s="375" t="s">
        <v>751</v>
      </c>
      <c r="C36" s="70">
        <v>0</v>
      </c>
      <c r="D36" s="244">
        <v>0</v>
      </c>
      <c r="E36" s="244">
        <v>0</v>
      </c>
      <c r="F36" s="244">
        <v>0</v>
      </c>
      <c r="G36" s="70">
        <v>11712.818333333335</v>
      </c>
      <c r="H36" s="244">
        <v>0</v>
      </c>
      <c r="I36" s="70">
        <v>0</v>
      </c>
      <c r="J36" s="244">
        <v>0</v>
      </c>
      <c r="K36" s="244">
        <v>0</v>
      </c>
      <c r="L36" s="244">
        <v>0</v>
      </c>
      <c r="M36" s="70">
        <f t="shared" si="1"/>
        <v>-25953.319625000004</v>
      </c>
      <c r="N36" s="244">
        <v>0</v>
      </c>
    </row>
    <row r="37" spans="1:15">
      <c r="A37" s="175" t="s">
        <v>775</v>
      </c>
      <c r="B37" s="375" t="s">
        <v>685</v>
      </c>
      <c r="C37" s="70">
        <v>0</v>
      </c>
      <c r="D37" s="244">
        <v>0</v>
      </c>
      <c r="E37" s="244">
        <v>0</v>
      </c>
      <c r="F37" s="244">
        <v>0</v>
      </c>
      <c r="G37" s="70">
        <v>11712.818333333335</v>
      </c>
      <c r="H37" s="244">
        <v>0</v>
      </c>
      <c r="I37" s="70">
        <v>0</v>
      </c>
      <c r="J37" s="244">
        <v>0</v>
      </c>
      <c r="K37" s="244">
        <v>0</v>
      </c>
      <c r="L37" s="244">
        <v>0</v>
      </c>
      <c r="M37" s="70">
        <f t="shared" si="1"/>
        <v>-25953.319625000004</v>
      </c>
      <c r="N37" s="244">
        <v>0</v>
      </c>
    </row>
    <row r="38" spans="1:15">
      <c r="A38" s="175" t="s">
        <v>776</v>
      </c>
      <c r="B38" s="375" t="s">
        <v>686</v>
      </c>
      <c r="C38" s="70">
        <v>0</v>
      </c>
      <c r="D38" s="244">
        <v>0</v>
      </c>
      <c r="E38" s="244">
        <v>0</v>
      </c>
      <c r="F38" s="244">
        <v>0</v>
      </c>
      <c r="G38" s="70">
        <v>11712.818333333335</v>
      </c>
      <c r="H38" s="244">
        <v>0</v>
      </c>
      <c r="I38" s="70">
        <v>0</v>
      </c>
      <c r="J38" s="244">
        <v>0</v>
      </c>
      <c r="K38" s="244">
        <v>0</v>
      </c>
      <c r="L38" s="244">
        <v>0</v>
      </c>
      <c r="M38" s="70">
        <f t="shared" si="1"/>
        <v>-25953.319625000004</v>
      </c>
      <c r="N38" s="244">
        <v>0</v>
      </c>
    </row>
    <row r="39" spans="1:15">
      <c r="A39" s="175" t="s">
        <v>777</v>
      </c>
      <c r="B39" s="375" t="s">
        <v>687</v>
      </c>
      <c r="C39" s="70">
        <v>0</v>
      </c>
      <c r="D39" s="244">
        <v>0</v>
      </c>
      <c r="E39" s="244">
        <v>0</v>
      </c>
      <c r="F39" s="244">
        <v>0</v>
      </c>
      <c r="G39" s="70">
        <v>11712.818333333335</v>
      </c>
      <c r="H39" s="244">
        <v>0</v>
      </c>
      <c r="I39" s="70">
        <v>0</v>
      </c>
      <c r="J39" s="244">
        <v>0</v>
      </c>
      <c r="K39" s="244">
        <v>0</v>
      </c>
      <c r="L39" s="244">
        <v>0</v>
      </c>
      <c r="M39" s="70">
        <f t="shared" si="1"/>
        <v>-25953.319625000004</v>
      </c>
      <c r="N39" s="244">
        <v>0</v>
      </c>
    </row>
    <row r="40" spans="1:15">
      <c r="A40" s="175" t="s">
        <v>778</v>
      </c>
      <c r="B40" s="375" t="s">
        <v>752</v>
      </c>
      <c r="C40" s="70">
        <v>0</v>
      </c>
      <c r="D40" s="244">
        <v>0</v>
      </c>
      <c r="E40" s="244">
        <v>0</v>
      </c>
      <c r="F40" s="244">
        <v>0</v>
      </c>
      <c r="G40" s="70">
        <v>11712.818333333335</v>
      </c>
      <c r="H40" s="244">
        <v>0</v>
      </c>
      <c r="I40" s="70">
        <v>0</v>
      </c>
      <c r="J40" s="244">
        <v>0</v>
      </c>
      <c r="K40" s="244">
        <v>0</v>
      </c>
      <c r="L40" s="244">
        <v>0</v>
      </c>
      <c r="M40" s="70">
        <f t="shared" si="1"/>
        <v>-25953.319625000004</v>
      </c>
      <c r="N40" s="244">
        <v>0</v>
      </c>
    </row>
    <row r="41" spans="1:15">
      <c r="A41" s="175" t="s">
        <v>779</v>
      </c>
      <c r="B41" s="376" t="s">
        <v>21</v>
      </c>
      <c r="C41" s="377">
        <f t="shared" ref="C41:N41" si="2">SUM(C29:C40)</f>
        <v>0</v>
      </c>
      <c r="D41" s="377">
        <f t="shared" si="2"/>
        <v>0</v>
      </c>
      <c r="E41" s="377">
        <f t="shared" si="2"/>
        <v>0</v>
      </c>
      <c r="F41" s="377">
        <f t="shared" si="2"/>
        <v>0</v>
      </c>
      <c r="G41" s="380">
        <f t="shared" si="2"/>
        <v>140553.81999999998</v>
      </c>
      <c r="H41" s="377">
        <f t="shared" si="2"/>
        <v>0</v>
      </c>
      <c r="I41" s="377">
        <f t="shared" si="2"/>
        <v>0</v>
      </c>
      <c r="J41" s="377">
        <f t="shared" si="2"/>
        <v>0</v>
      </c>
      <c r="K41" s="377">
        <f t="shared" si="2"/>
        <v>0</v>
      </c>
      <c r="L41" s="377">
        <f t="shared" si="2"/>
        <v>0</v>
      </c>
      <c r="M41" s="380">
        <f t="shared" si="2"/>
        <v>-311439.83550000004</v>
      </c>
      <c r="N41" s="377">
        <f t="shared" si="2"/>
        <v>0</v>
      </c>
    </row>
    <row r="42" spans="1:15">
      <c r="B42" s="375"/>
      <c r="C42" s="375"/>
      <c r="D42" s="375"/>
      <c r="E42" s="375"/>
      <c r="F42" s="375"/>
      <c r="G42" s="375"/>
      <c r="H42" s="375"/>
      <c r="I42" s="375"/>
      <c r="J42" s="375"/>
      <c r="N42" s="375"/>
      <c r="O42" s="378"/>
    </row>
    <row r="43" spans="1:15">
      <c r="B43" s="375"/>
      <c r="C43" s="375"/>
      <c r="D43" s="375"/>
      <c r="E43" s="375"/>
      <c r="F43" s="375"/>
      <c r="G43" s="375"/>
      <c r="H43" s="375"/>
      <c r="I43" s="375"/>
      <c r="J43" s="375"/>
      <c r="N43" s="375"/>
      <c r="O43" s="378"/>
    </row>
    <row r="44" spans="1:15">
      <c r="A44" s="381"/>
      <c r="B44" s="375"/>
      <c r="C44" s="375"/>
      <c r="D44" s="375"/>
      <c r="E44" s="375"/>
      <c r="F44" s="375"/>
      <c r="G44" s="375"/>
      <c r="H44" s="375"/>
      <c r="I44" s="375"/>
      <c r="J44" s="375"/>
      <c r="N44" s="375"/>
      <c r="O44" s="375"/>
    </row>
    <row r="45" spans="1:15">
      <c r="A45" s="381">
        <f>+A41+1</f>
        <v>27</v>
      </c>
      <c r="B45" s="5" t="s">
        <v>780</v>
      </c>
      <c r="C45" s="10"/>
      <c r="F45" s="10"/>
      <c r="G45" s="10"/>
      <c r="H45" s="10"/>
      <c r="I45" s="10"/>
      <c r="J45" s="10"/>
      <c r="K45" s="11"/>
      <c r="L45" s="10"/>
      <c r="N45" s="375"/>
      <c r="O45" s="375"/>
    </row>
    <row r="46" spans="1:15">
      <c r="A46" s="381"/>
      <c r="B46" s="5"/>
      <c r="C46" s="10"/>
      <c r="F46" s="10"/>
      <c r="G46" s="10"/>
      <c r="H46" s="10"/>
      <c r="I46" s="10"/>
      <c r="J46" s="10"/>
      <c r="K46" s="11"/>
      <c r="L46" s="10"/>
      <c r="N46" s="375"/>
      <c r="O46" s="375"/>
    </row>
    <row r="47" spans="1:15">
      <c r="A47" s="381"/>
      <c r="B47" s="5"/>
      <c r="C47" s="10"/>
      <c r="F47" s="10"/>
      <c r="G47" s="10"/>
      <c r="H47" s="10"/>
      <c r="I47" s="10"/>
      <c r="J47" s="10"/>
      <c r="K47" s="11"/>
      <c r="L47" s="10"/>
      <c r="N47" s="375"/>
      <c r="O47" s="375"/>
    </row>
    <row r="48" spans="1:15">
      <c r="A48" s="381"/>
      <c r="C48" s="369" t="s">
        <v>329</v>
      </c>
      <c r="D48" s="323" t="s">
        <v>330</v>
      </c>
      <c r="E48" s="323" t="s">
        <v>331</v>
      </c>
      <c r="F48" s="370" t="s">
        <v>332</v>
      </c>
      <c r="G48" s="370" t="s">
        <v>653</v>
      </c>
      <c r="H48" s="370" t="s">
        <v>654</v>
      </c>
      <c r="I48" s="370" t="s">
        <v>655</v>
      </c>
      <c r="J48" s="371" t="s">
        <v>656</v>
      </c>
      <c r="K48" s="371" t="s">
        <v>657</v>
      </c>
      <c r="L48" s="14" t="s">
        <v>658</v>
      </c>
      <c r="M48" s="14" t="s">
        <v>659</v>
      </c>
      <c r="N48" s="375"/>
      <c r="O48" s="375"/>
    </row>
    <row r="49" spans="1:15">
      <c r="A49" s="381">
        <f>+A45+1</f>
        <v>28</v>
      </c>
      <c r="B49" s="5"/>
      <c r="C49" s="10"/>
      <c r="D49" s="37" t="s">
        <v>781</v>
      </c>
      <c r="E49" s="37"/>
      <c r="F49" s="37"/>
      <c r="G49" s="37"/>
      <c r="H49" s="37"/>
      <c r="I49" s="37"/>
      <c r="J49" s="70">
        <v>0</v>
      </c>
      <c r="N49" s="375"/>
      <c r="O49" s="375"/>
    </row>
    <row r="50" spans="1:15">
      <c r="A50" s="381"/>
      <c r="B50" s="5"/>
      <c r="C50" s="10"/>
      <c r="D50" s="37"/>
      <c r="E50" s="37"/>
      <c r="F50" s="37"/>
      <c r="G50" s="37"/>
      <c r="H50" s="37"/>
      <c r="I50" s="37"/>
      <c r="J50" s="32"/>
      <c r="N50" s="375"/>
      <c r="O50" s="375"/>
    </row>
    <row r="51" spans="1:15">
      <c r="A51" s="381">
        <f>+A49+1</f>
        <v>29</v>
      </c>
      <c r="B51" s="5"/>
      <c r="C51" s="10"/>
      <c r="D51" s="37" t="s">
        <v>782</v>
      </c>
      <c r="E51" s="37"/>
      <c r="F51" s="37"/>
      <c r="G51" s="37"/>
      <c r="H51" s="37"/>
      <c r="I51" s="37"/>
      <c r="J51" s="83">
        <v>0</v>
      </c>
      <c r="N51" s="375"/>
      <c r="O51" s="375"/>
    </row>
    <row r="52" spans="1:15">
      <c r="A52" s="381"/>
      <c r="B52" s="5"/>
      <c r="C52" s="10"/>
      <c r="D52" s="37"/>
      <c r="E52" s="37"/>
      <c r="F52" s="37"/>
      <c r="G52" s="37"/>
      <c r="H52" s="37"/>
      <c r="I52" s="37"/>
      <c r="J52" s="32"/>
      <c r="N52" s="375"/>
      <c r="O52" s="375"/>
    </row>
    <row r="53" spans="1:15">
      <c r="A53" s="381"/>
      <c r="B53" s="5"/>
      <c r="C53" s="10"/>
      <c r="D53" s="37"/>
      <c r="E53" s="37"/>
      <c r="F53" s="37"/>
      <c r="G53" s="37"/>
      <c r="H53" s="37"/>
      <c r="I53" s="37"/>
      <c r="J53" s="32"/>
      <c r="N53" s="375"/>
      <c r="O53" s="375"/>
    </row>
    <row r="54" spans="1:15">
      <c r="A54" s="381">
        <f>+A51+1</f>
        <v>30</v>
      </c>
      <c r="B54" s="5"/>
      <c r="C54" s="10"/>
      <c r="D54" s="382" t="s">
        <v>783</v>
      </c>
      <c r="E54" s="39"/>
      <c r="F54" s="37"/>
      <c r="G54" s="37"/>
      <c r="H54" s="37"/>
      <c r="I54" s="37"/>
      <c r="J54" s="83">
        <v>0</v>
      </c>
      <c r="N54" s="375"/>
      <c r="O54" s="375"/>
    </row>
    <row r="55" spans="1:15">
      <c r="A55" s="381">
        <f t="shared" ref="A55:A57" si="3">+A54+1</f>
        <v>31</v>
      </c>
      <c r="B55" s="5"/>
      <c r="C55" s="10"/>
      <c r="D55" s="37" t="s">
        <v>784</v>
      </c>
      <c r="E55" s="37"/>
      <c r="F55" s="37"/>
      <c r="G55" s="37"/>
      <c r="H55" s="37"/>
      <c r="I55" s="37"/>
      <c r="J55" s="383">
        <f>+F63</f>
        <v>0</v>
      </c>
      <c r="N55" s="375"/>
      <c r="O55" s="375"/>
    </row>
    <row r="56" spans="1:15" ht="13.5" thickBot="1">
      <c r="A56" s="381">
        <f t="shared" si="3"/>
        <v>32</v>
      </c>
      <c r="B56" s="5"/>
      <c r="C56" s="10"/>
      <c r="D56" s="37" t="s">
        <v>785</v>
      </c>
      <c r="E56" s="37"/>
      <c r="F56" s="37" t="s">
        <v>786</v>
      </c>
      <c r="G56" s="37"/>
      <c r="H56" s="37"/>
      <c r="I56" s="37"/>
      <c r="J56" s="91">
        <v>0</v>
      </c>
      <c r="N56" s="375"/>
      <c r="O56" s="375"/>
    </row>
    <row r="57" spans="1:15">
      <c r="A57" s="381">
        <f t="shared" si="3"/>
        <v>33</v>
      </c>
      <c r="B57" s="5"/>
      <c r="C57" s="10"/>
      <c r="D57" s="37" t="s">
        <v>787</v>
      </c>
      <c r="F57" s="39" t="s">
        <v>788</v>
      </c>
      <c r="G57" s="39"/>
      <c r="H57" s="189"/>
      <c r="I57" s="39"/>
      <c r="J57" s="32">
        <f>+J54-J55-J56</f>
        <v>0</v>
      </c>
      <c r="N57" s="375"/>
      <c r="O57" s="375"/>
    </row>
    <row r="58" spans="1:15">
      <c r="A58" s="381"/>
      <c r="B58" s="5"/>
      <c r="C58" s="10"/>
      <c r="J58" s="21"/>
      <c r="N58" s="375"/>
      <c r="O58" s="375"/>
    </row>
    <row r="59" spans="1:15">
      <c r="A59" s="381"/>
      <c r="B59" s="5"/>
      <c r="C59" s="10"/>
      <c r="F59" s="10"/>
      <c r="G59" s="10"/>
      <c r="H59" s="10"/>
      <c r="I59" s="10"/>
      <c r="J59" s="21"/>
      <c r="K59" s="11"/>
      <c r="L59" s="10"/>
      <c r="N59" s="375"/>
      <c r="O59" s="375"/>
    </row>
    <row r="60" spans="1:15">
      <c r="A60" s="381"/>
      <c r="B60" s="12"/>
      <c r="C60" s="10"/>
      <c r="F60" s="10"/>
      <c r="G60" s="11"/>
      <c r="H60" s="10"/>
      <c r="I60" s="11" t="s">
        <v>789</v>
      </c>
      <c r="J60" s="10"/>
      <c r="K60" s="10"/>
      <c r="L60" s="10"/>
      <c r="N60" s="21"/>
      <c r="O60" s="556"/>
    </row>
    <row r="61" spans="1:15" ht="13.5" thickBot="1">
      <c r="A61" s="381"/>
      <c r="B61" s="12"/>
      <c r="C61" s="10"/>
      <c r="F61" s="18" t="s">
        <v>267</v>
      </c>
      <c r="G61" s="18" t="s">
        <v>296</v>
      </c>
      <c r="H61" s="10"/>
      <c r="I61" s="86"/>
      <c r="J61" s="10"/>
      <c r="K61" s="18" t="s">
        <v>297</v>
      </c>
      <c r="L61" s="10"/>
      <c r="N61" s="375"/>
      <c r="O61" s="804"/>
    </row>
    <row r="62" spans="1:15">
      <c r="A62" s="381">
        <f>+A57+1</f>
        <v>34</v>
      </c>
      <c r="B62" s="5" t="s">
        <v>298</v>
      </c>
      <c r="C62" s="4" t="s">
        <v>980</v>
      </c>
      <c r="F62" s="768">
        <v>0.4</v>
      </c>
      <c r="G62" s="21">
        <f>IFERROR(F62/F65,0)</f>
        <v>0.4</v>
      </c>
      <c r="H62" s="21"/>
      <c r="I62" s="384">
        <v>2.1866578260869563E-2</v>
      </c>
      <c r="J62" s="21"/>
      <c r="K62" s="108">
        <f>G62*I62</f>
        <v>8.746631304347826E-3</v>
      </c>
      <c r="L62" s="109" t="s">
        <v>300</v>
      </c>
      <c r="N62" s="385"/>
      <c r="O62" s="805"/>
    </row>
    <row r="63" spans="1:15">
      <c r="A63" s="381">
        <f t="shared" ref="A63:A65" si="4">+A62+1</f>
        <v>35</v>
      </c>
      <c r="B63" s="5" t="s">
        <v>791</v>
      </c>
      <c r="C63" s="4" t="s">
        <v>792</v>
      </c>
      <c r="F63" s="768">
        <v>0</v>
      </c>
      <c r="G63" s="21">
        <f>+F63*F65</f>
        <v>0</v>
      </c>
      <c r="H63" s="21"/>
      <c r="I63" s="386">
        <v>0</v>
      </c>
      <c r="J63" s="21"/>
      <c r="K63" s="108">
        <f>G63*I63</f>
        <v>0</v>
      </c>
      <c r="L63" s="10"/>
      <c r="N63" s="375"/>
      <c r="O63" s="804"/>
    </row>
    <row r="64" spans="1:15" ht="13.5" thickBot="1">
      <c r="A64" s="381">
        <f t="shared" si="4"/>
        <v>36</v>
      </c>
      <c r="B64" s="5" t="s">
        <v>303</v>
      </c>
      <c r="C64" s="4" t="s">
        <v>793</v>
      </c>
      <c r="F64" s="767">
        <v>0.6</v>
      </c>
      <c r="G64" s="21">
        <f>IFERROR(F64/F65,0)</f>
        <v>0.6</v>
      </c>
      <c r="H64" s="591"/>
      <c r="I64" s="386">
        <v>0.1052</v>
      </c>
      <c r="J64" s="592"/>
      <c r="K64" s="112">
        <f>G64*I64</f>
        <v>6.3119999999999996E-2</v>
      </c>
      <c r="L64" s="10"/>
      <c r="N64" s="375"/>
      <c r="O64" s="375"/>
    </row>
    <row r="65" spans="1:15">
      <c r="A65" s="381">
        <f t="shared" si="4"/>
        <v>37</v>
      </c>
      <c r="B65" s="12" t="s">
        <v>305</v>
      </c>
      <c r="C65" s="4" t="s">
        <v>794</v>
      </c>
      <c r="F65" s="105">
        <f>SUM(F62:F64)</f>
        <v>1</v>
      </c>
      <c r="G65" s="21" t="s">
        <v>9</v>
      </c>
      <c r="H65" s="10"/>
      <c r="I65" s="548"/>
      <c r="J65" s="10"/>
      <c r="K65" s="108">
        <f>SUM(K62:K64)</f>
        <v>7.1866631304347825E-2</v>
      </c>
      <c r="L65" s="109" t="s">
        <v>307</v>
      </c>
      <c r="N65" s="375"/>
      <c r="O65" s="375"/>
    </row>
    <row r="66" spans="1:15">
      <c r="A66" s="381"/>
      <c r="G66" s="21"/>
    </row>
    <row r="67" spans="1:15" ht="17.25" customHeight="1">
      <c r="A67" s="2" t="s">
        <v>795</v>
      </c>
    </row>
    <row r="68" spans="1:15">
      <c r="A68" s="175" t="s">
        <v>340</v>
      </c>
      <c r="B68" s="2" t="s">
        <v>796</v>
      </c>
    </row>
    <row r="69" spans="1:15">
      <c r="A69" s="175" t="s">
        <v>341</v>
      </c>
      <c r="B69" s="2" t="s">
        <v>797</v>
      </c>
    </row>
    <row r="70" spans="1:15" s="154" customFormat="1">
      <c r="A70" s="387" t="s">
        <v>342</v>
      </c>
      <c r="B70" s="154" t="s">
        <v>798</v>
      </c>
    </row>
    <row r="71" spans="1:15" s="154" customFormat="1">
      <c r="A71" s="388" t="s">
        <v>343</v>
      </c>
      <c r="B71" s="154" t="s">
        <v>799</v>
      </c>
    </row>
    <row r="72" spans="1:15" s="154" customFormat="1">
      <c r="A72" s="388"/>
    </row>
    <row r="73" spans="1:15" s="154" customFormat="1">
      <c r="A73" s="537"/>
      <c r="B73" s="154" t="s">
        <v>800</v>
      </c>
      <c r="D73" s="154" t="s">
        <v>801</v>
      </c>
    </row>
    <row r="74" spans="1:15" s="154" customFormat="1">
      <c r="A74" s="537"/>
      <c r="B74" s="154" t="s">
        <v>802</v>
      </c>
      <c r="D74" s="154" t="s">
        <v>803</v>
      </c>
    </row>
    <row r="75" spans="1:15" s="154" customFormat="1">
      <c r="A75" s="388"/>
      <c r="C75" s="136"/>
      <c r="D75" s="382"/>
      <c r="E75" s="382"/>
      <c r="F75" s="382"/>
      <c r="G75" s="382"/>
      <c r="H75" s="382"/>
      <c r="I75" s="382"/>
    </row>
    <row r="76" spans="1:15" s="154" customFormat="1">
      <c r="A76" s="388"/>
      <c r="C76" s="136"/>
      <c r="D76" s="382"/>
      <c r="E76" s="382"/>
      <c r="F76" s="382"/>
      <c r="G76" s="382"/>
      <c r="H76" s="382"/>
      <c r="I76" s="382"/>
    </row>
    <row r="77" spans="1:15">
      <c r="A77" s="381"/>
      <c r="C77" s="36"/>
      <c r="D77" s="37"/>
      <c r="E77" s="37"/>
      <c r="F77" s="37"/>
      <c r="G77" s="37"/>
      <c r="H77" s="37"/>
      <c r="I77" s="37"/>
    </row>
    <row r="78" spans="1:15">
      <c r="A78" s="381"/>
      <c r="C78" s="39"/>
      <c r="D78" s="37"/>
      <c r="E78" s="37"/>
      <c r="F78" s="37"/>
      <c r="G78" s="37"/>
      <c r="H78" s="37"/>
      <c r="I78" s="37"/>
    </row>
    <row r="79" spans="1:15">
      <c r="A79" s="381"/>
      <c r="C79" s="39"/>
      <c r="D79" s="37"/>
      <c r="E79" s="37"/>
      <c r="F79" s="37"/>
      <c r="G79" s="37"/>
      <c r="H79" s="37"/>
      <c r="I79" s="37"/>
    </row>
    <row r="80" spans="1:15">
      <c r="A80" s="381"/>
      <c r="C80" s="39"/>
      <c r="D80" s="37"/>
      <c r="E80" s="37"/>
      <c r="F80" s="37"/>
      <c r="G80" s="37"/>
      <c r="H80" s="37"/>
      <c r="I80" s="37"/>
    </row>
    <row r="81" spans="1:9">
      <c r="A81" s="381"/>
      <c r="C81" s="39"/>
      <c r="D81" s="37"/>
      <c r="E81" s="39"/>
      <c r="F81" s="37"/>
      <c r="G81" s="37"/>
      <c r="H81" s="37"/>
      <c r="I81" s="37"/>
    </row>
    <row r="82" spans="1:9">
      <c r="A82" s="381"/>
      <c r="C82" s="39"/>
      <c r="D82" s="37"/>
      <c r="E82" s="37"/>
      <c r="F82" s="37"/>
      <c r="G82" s="37"/>
      <c r="H82" s="37"/>
      <c r="I82" s="37"/>
    </row>
    <row r="83" spans="1:9">
      <c r="A83" s="381"/>
      <c r="C83" s="39"/>
      <c r="D83" s="37"/>
      <c r="E83" s="37"/>
      <c r="F83" s="37"/>
      <c r="G83" s="37"/>
      <c r="H83" s="37"/>
      <c r="I83" s="37"/>
    </row>
    <row r="84" spans="1:9">
      <c r="A84" s="381"/>
      <c r="C84" s="39"/>
      <c r="D84" s="37"/>
      <c r="E84" s="39"/>
      <c r="F84" s="39"/>
      <c r="G84" s="39"/>
      <c r="H84" s="189"/>
      <c r="I84" s="39"/>
    </row>
    <row r="85" spans="1:9">
      <c r="A85" s="381"/>
    </row>
    <row r="86" spans="1:9">
      <c r="A86" s="381"/>
    </row>
    <row r="87" spans="1:9">
      <c r="A87" s="381"/>
    </row>
  </sheetData>
  <mergeCells count="3">
    <mergeCell ref="A1:N1"/>
    <mergeCell ref="A2:N2"/>
    <mergeCell ref="A3:N3"/>
  </mergeCells>
  <pageMargins left="0.25" right="0.25" top="0.5" bottom="0.5" header="0.3" footer="0.3"/>
  <pageSetup scale="4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74DEF-3D35-4F9D-8A64-5242E290BDB8}">
  <sheetPr>
    <pageSetUpPr fitToPage="1"/>
  </sheetPr>
  <dimension ref="A1:G73"/>
  <sheetViews>
    <sheetView topLeftCell="A7" zoomScale="145" zoomScaleNormal="145" zoomScaleSheetLayoutView="85" workbookViewId="0">
      <selection activeCell="C40" sqref="C40"/>
    </sheetView>
  </sheetViews>
  <sheetFormatPr defaultColWidth="8.88671875" defaultRowHeight="12.75"/>
  <cols>
    <col min="1" max="1" width="32.88671875" style="36" customWidth="1"/>
    <col min="2" max="2" width="28.44140625" style="2" bestFit="1" customWidth="1"/>
    <col min="3" max="3" width="13" style="108" bestFit="1" customWidth="1"/>
    <col min="4" max="4" width="6.6640625" style="2" bestFit="1" customWidth="1"/>
    <col min="5" max="5" width="5.88671875" style="2" bestFit="1" customWidth="1"/>
    <col min="6" max="6" width="9.6640625" style="2" bestFit="1" customWidth="1"/>
    <col min="7" max="16384" width="8.88671875" style="2"/>
  </cols>
  <sheetData>
    <row r="1" spans="1:7" ht="15" customHeight="1">
      <c r="A1" s="845" t="s">
        <v>804</v>
      </c>
      <c r="B1" s="845"/>
      <c r="C1" s="845"/>
      <c r="D1" s="845"/>
      <c r="E1" s="845"/>
      <c r="F1" s="845"/>
      <c r="G1" s="845"/>
    </row>
    <row r="2" spans="1:7" ht="15" customHeight="1">
      <c r="A2" s="847" t="s">
        <v>805</v>
      </c>
      <c r="B2" s="847"/>
      <c r="C2" s="847"/>
      <c r="D2" s="847"/>
      <c r="E2" s="847"/>
      <c r="F2" s="847"/>
      <c r="G2" s="847"/>
    </row>
    <row r="3" spans="1:7" ht="15" customHeight="1">
      <c r="A3" s="848" t="str">
        <f>+'Attachment O'!D5</f>
        <v>GridLiance Heartland LLC</v>
      </c>
      <c r="B3" s="848"/>
      <c r="C3" s="848"/>
      <c r="D3" s="848"/>
      <c r="E3" s="848"/>
      <c r="F3" s="848"/>
      <c r="G3" s="848"/>
    </row>
    <row r="5" spans="1:7" ht="15">
      <c r="A5" s="389" t="s">
        <v>806</v>
      </c>
      <c r="B5" s="390" t="s">
        <v>807</v>
      </c>
      <c r="C5" s="390" t="s">
        <v>808</v>
      </c>
    </row>
    <row r="6" spans="1:7" ht="15">
      <c r="A6" s="391"/>
      <c r="B6" s="391"/>
      <c r="C6" s="391"/>
    </row>
    <row r="7" spans="1:7" ht="15">
      <c r="A7" s="389" t="s">
        <v>809</v>
      </c>
      <c r="B7" s="392"/>
      <c r="C7" s="393"/>
    </row>
    <row r="8" spans="1:7" ht="15">
      <c r="A8" s="394">
        <v>350</v>
      </c>
      <c r="B8" s="392" t="s">
        <v>810</v>
      </c>
      <c r="C8" s="395" t="s">
        <v>334</v>
      </c>
    </row>
    <row r="9" spans="1:7" ht="15">
      <c r="A9" s="394">
        <v>352</v>
      </c>
      <c r="B9" s="392" t="s">
        <v>811</v>
      </c>
      <c r="C9" s="395">
        <v>1.5396999999999999E-2</v>
      </c>
    </row>
    <row r="10" spans="1:7" ht="15">
      <c r="A10" s="394">
        <v>353</v>
      </c>
      <c r="B10" s="392" t="s">
        <v>812</v>
      </c>
      <c r="C10" s="395">
        <v>2.0285000000000001E-2</v>
      </c>
      <c r="D10" s="275"/>
      <c r="E10" s="275"/>
    </row>
    <row r="11" spans="1:7" ht="15">
      <c r="A11" s="394">
        <v>354</v>
      </c>
      <c r="B11" s="392" t="s">
        <v>813</v>
      </c>
      <c r="C11" s="395">
        <v>1.8846999999999999E-2</v>
      </c>
      <c r="D11" s="275"/>
      <c r="E11" s="275"/>
    </row>
    <row r="12" spans="1:7" ht="15">
      <c r="A12" s="394">
        <v>355</v>
      </c>
      <c r="B12" s="392" t="s">
        <v>814</v>
      </c>
      <c r="C12" s="395">
        <v>2.1496000000000001E-2</v>
      </c>
      <c r="D12" s="275"/>
      <c r="E12" s="275"/>
    </row>
    <row r="13" spans="1:7" ht="15">
      <c r="A13" s="394">
        <v>356</v>
      </c>
      <c r="B13" s="392" t="s">
        <v>815</v>
      </c>
      <c r="C13" s="395">
        <v>2.0972999999999999E-2</v>
      </c>
      <c r="D13" s="275"/>
      <c r="E13" s="275"/>
    </row>
    <row r="14" spans="1:7" ht="15">
      <c r="A14" s="394">
        <v>357</v>
      </c>
      <c r="B14" s="392" t="s">
        <v>816</v>
      </c>
      <c r="C14" s="395">
        <v>1.3665E-2</v>
      </c>
      <c r="D14" s="275"/>
      <c r="E14" s="275"/>
    </row>
    <row r="15" spans="1:7" ht="15">
      <c r="A15" s="394">
        <v>358</v>
      </c>
      <c r="B15" s="392" t="s">
        <v>817</v>
      </c>
      <c r="C15" s="395">
        <v>1.8415999999999998E-2</v>
      </c>
      <c r="D15" s="275"/>
      <c r="E15" s="275"/>
    </row>
    <row r="16" spans="1:7" ht="15">
      <c r="A16" s="394">
        <v>359</v>
      </c>
      <c r="B16" s="392" t="s">
        <v>818</v>
      </c>
      <c r="C16" s="395">
        <v>0</v>
      </c>
      <c r="D16" s="275"/>
      <c r="E16" s="275"/>
    </row>
    <row r="17" spans="1:5" ht="15">
      <c r="A17" s="394"/>
      <c r="B17" s="392"/>
      <c r="C17" s="395"/>
      <c r="D17" s="275"/>
      <c r="E17" s="275"/>
    </row>
    <row r="18" spans="1:5" ht="15">
      <c r="A18" s="396" t="s">
        <v>819</v>
      </c>
      <c r="B18" s="392"/>
      <c r="C18" s="397"/>
      <c r="D18" s="275"/>
      <c r="E18" s="275"/>
    </row>
    <row r="19" spans="1:5" ht="15">
      <c r="A19" s="394">
        <v>302</v>
      </c>
      <c r="B19" s="392" t="s">
        <v>820</v>
      </c>
      <c r="C19" s="395" t="s">
        <v>334</v>
      </c>
      <c r="D19" s="275"/>
      <c r="E19" s="275"/>
    </row>
    <row r="20" spans="1:5" ht="15">
      <c r="A20" s="394">
        <v>303</v>
      </c>
      <c r="B20" s="392" t="s">
        <v>821</v>
      </c>
      <c r="C20" s="395">
        <v>0.2</v>
      </c>
      <c r="D20" s="275"/>
      <c r="E20" s="275"/>
    </row>
    <row r="21" spans="1:5" ht="15">
      <c r="A21" s="394">
        <v>390</v>
      </c>
      <c r="B21" s="398" t="s">
        <v>811</v>
      </c>
      <c r="C21" s="395">
        <v>2.1194000000000001E-2</v>
      </c>
      <c r="D21" s="275"/>
      <c r="E21" s="275"/>
    </row>
    <row r="22" spans="1:5" ht="15">
      <c r="A22" s="394">
        <v>391</v>
      </c>
      <c r="B22" s="398" t="s">
        <v>822</v>
      </c>
      <c r="C22" s="395">
        <v>5.0671000000000001E-2</v>
      </c>
      <c r="D22" s="275"/>
      <c r="E22" s="275"/>
    </row>
    <row r="23" spans="1:5" ht="15">
      <c r="A23" s="394">
        <v>391</v>
      </c>
      <c r="B23" s="398" t="s">
        <v>823</v>
      </c>
      <c r="C23" s="395">
        <v>0.25</v>
      </c>
      <c r="D23" s="275"/>
      <c r="E23" s="275"/>
    </row>
    <row r="24" spans="1:5" ht="15">
      <c r="A24" s="394">
        <v>392</v>
      </c>
      <c r="B24" s="398" t="s">
        <v>824</v>
      </c>
      <c r="C24" s="395">
        <v>0.109667</v>
      </c>
      <c r="D24" s="275"/>
      <c r="E24" s="275"/>
    </row>
    <row r="25" spans="1:5" ht="15">
      <c r="A25" s="394">
        <v>392</v>
      </c>
      <c r="B25" s="398" t="s">
        <v>825</v>
      </c>
      <c r="C25" s="395">
        <v>8.4139000000000005E-2</v>
      </c>
      <c r="D25" s="275"/>
      <c r="E25" s="275"/>
    </row>
    <row r="26" spans="1:5" ht="15">
      <c r="A26" s="394">
        <v>392</v>
      </c>
      <c r="B26" s="398" t="s">
        <v>826</v>
      </c>
      <c r="C26" s="395">
        <v>6.9486000000000006E-2</v>
      </c>
      <c r="D26" s="275"/>
      <c r="E26" s="275"/>
    </row>
    <row r="27" spans="1:5" ht="15">
      <c r="A27" s="394">
        <v>392</v>
      </c>
      <c r="B27" s="398" t="s">
        <v>827</v>
      </c>
      <c r="C27" s="395">
        <v>7.2363999999999998E-2</v>
      </c>
      <c r="D27" s="275"/>
      <c r="E27" s="275"/>
    </row>
    <row r="28" spans="1:5" ht="15">
      <c r="A28" s="394">
        <v>393</v>
      </c>
      <c r="B28" s="398" t="s">
        <v>828</v>
      </c>
      <c r="C28" s="395">
        <v>0.05</v>
      </c>
    </row>
    <row r="29" spans="1:5" ht="15">
      <c r="A29" s="394">
        <v>394</v>
      </c>
      <c r="B29" s="398" t="s">
        <v>829</v>
      </c>
      <c r="C29" s="395">
        <v>6.6671999999999995E-2</v>
      </c>
    </row>
    <row r="30" spans="1:5" ht="15">
      <c r="A30" s="394">
        <v>395</v>
      </c>
      <c r="B30" s="398" t="s">
        <v>830</v>
      </c>
      <c r="C30" s="395">
        <v>0.1</v>
      </c>
    </row>
    <row r="31" spans="1:5" ht="15">
      <c r="A31" s="394">
        <v>396</v>
      </c>
      <c r="B31" s="398" t="s">
        <v>831</v>
      </c>
      <c r="C31" s="395">
        <v>8.4139000000000005E-2</v>
      </c>
    </row>
    <row r="32" spans="1:5" ht="15">
      <c r="A32" s="394">
        <v>397</v>
      </c>
      <c r="B32" s="392" t="s">
        <v>832</v>
      </c>
      <c r="C32" s="395">
        <v>0.11111</v>
      </c>
    </row>
    <row r="33" spans="1:5" ht="15">
      <c r="A33" s="394">
        <v>398</v>
      </c>
      <c r="B33" s="398" t="s">
        <v>833</v>
      </c>
      <c r="C33" s="395">
        <v>6.6671999999999995E-2</v>
      </c>
    </row>
    <row r="34" spans="1:5" ht="15">
      <c r="A34" s="392"/>
      <c r="B34" s="392"/>
      <c r="C34" s="392"/>
      <c r="D34" s="399"/>
      <c r="E34" s="400"/>
    </row>
    <row r="35" spans="1:5" ht="15">
      <c r="A35" s="401" t="s">
        <v>834</v>
      </c>
      <c r="B35" s="392"/>
      <c r="C35" s="392"/>
      <c r="D35" s="399"/>
      <c r="E35" s="402"/>
    </row>
    <row r="36" spans="1:5" ht="15">
      <c r="A36" s="392" t="s">
        <v>835</v>
      </c>
      <c r="B36" s="392"/>
      <c r="C36" s="392"/>
      <c r="D36" s="399"/>
      <c r="E36" s="402"/>
    </row>
    <row r="37" spans="1:5" ht="15">
      <c r="A37" s="401" t="s">
        <v>836</v>
      </c>
      <c r="B37" s="392"/>
      <c r="C37" s="398"/>
      <c r="D37" s="403"/>
      <c r="E37" s="402"/>
    </row>
    <row r="38" spans="1:5" ht="15">
      <c r="A38" s="401" t="s">
        <v>837</v>
      </c>
      <c r="B38" s="404"/>
      <c r="C38" s="392"/>
      <c r="D38" s="402"/>
      <c r="E38" s="402"/>
    </row>
    <row r="39" spans="1:5" ht="15">
      <c r="A39" s="849" t="s">
        <v>838</v>
      </c>
      <c r="B39" s="850"/>
      <c r="C39" s="850"/>
    </row>
    <row r="40" spans="1:5" ht="15">
      <c r="A40" s="405" t="s">
        <v>839</v>
      </c>
      <c r="B40" s="406"/>
      <c r="C40" s="407"/>
    </row>
    <row r="41" spans="1:5">
      <c r="A41" s="408"/>
      <c r="B41" s="196"/>
      <c r="C41" s="107"/>
    </row>
    <row r="42" spans="1:5">
      <c r="A42" s="408"/>
      <c r="B42" s="196"/>
      <c r="C42" s="107"/>
    </row>
    <row r="43" spans="1:5">
      <c r="A43" s="408"/>
      <c r="B43" s="196"/>
      <c r="C43" s="107"/>
    </row>
    <row r="44" spans="1:5">
      <c r="A44" s="408"/>
      <c r="B44" s="196"/>
      <c r="C44" s="107"/>
    </row>
    <row r="45" spans="1:5">
      <c r="A45" s="408"/>
      <c r="B45" s="196"/>
      <c r="C45" s="107"/>
    </row>
    <row r="46" spans="1:5">
      <c r="A46" s="408"/>
      <c r="B46" s="196"/>
      <c r="C46" s="107"/>
    </row>
    <row r="47" spans="1:5">
      <c r="A47" s="408"/>
      <c r="B47" s="196"/>
      <c r="C47" s="107"/>
    </row>
    <row r="48" spans="1:5">
      <c r="A48" s="408"/>
      <c r="B48" s="196"/>
      <c r="C48" s="107"/>
    </row>
    <row r="49" spans="1:3">
      <c r="A49" s="408"/>
      <c r="B49" s="196"/>
      <c r="C49" s="107"/>
    </row>
    <row r="50" spans="1:3">
      <c r="A50" s="408"/>
      <c r="B50" s="196"/>
    </row>
    <row r="51" spans="1:3">
      <c r="A51" s="409"/>
      <c r="B51" s="196"/>
    </row>
    <row r="52" spans="1:3">
      <c r="A52" s="409"/>
      <c r="B52" s="196"/>
    </row>
    <row r="53" spans="1:3">
      <c r="A53" s="409"/>
    </row>
    <row r="54" spans="1:3">
      <c r="A54" s="409"/>
    </row>
    <row r="55" spans="1:3">
      <c r="A55" s="409"/>
    </row>
    <row r="56" spans="1:3">
      <c r="A56" s="409"/>
    </row>
    <row r="57" spans="1:3">
      <c r="A57" s="409"/>
    </row>
    <row r="58" spans="1:3">
      <c r="A58" s="409"/>
    </row>
    <row r="59" spans="1:3">
      <c r="A59" s="409"/>
    </row>
    <row r="60" spans="1:3">
      <c r="A60" s="409"/>
    </row>
    <row r="61" spans="1:3">
      <c r="A61" s="409"/>
    </row>
    <row r="62" spans="1:3">
      <c r="A62" s="409"/>
    </row>
    <row r="63" spans="1:3">
      <c r="A63" s="409"/>
    </row>
    <row r="64" spans="1:3">
      <c r="A64" s="409"/>
    </row>
    <row r="65" spans="1:1">
      <c r="A65" s="409"/>
    </row>
    <row r="66" spans="1:1">
      <c r="A66" s="409"/>
    </row>
    <row r="67" spans="1:1">
      <c r="A67" s="409"/>
    </row>
    <row r="68" spans="1:1">
      <c r="A68" s="409"/>
    </row>
    <row r="69" spans="1:1">
      <c r="A69" s="409"/>
    </row>
    <row r="70" spans="1:1">
      <c r="A70" s="409"/>
    </row>
    <row r="71" spans="1:1">
      <c r="A71" s="409"/>
    </row>
    <row r="72" spans="1:1">
      <c r="A72" s="409"/>
    </row>
    <row r="73" spans="1:1">
      <c r="A73" s="409"/>
    </row>
  </sheetData>
  <mergeCells count="4">
    <mergeCell ref="A1:G1"/>
    <mergeCell ref="A2:G2"/>
    <mergeCell ref="A3:G3"/>
    <mergeCell ref="A39:C39"/>
  </mergeCells>
  <pageMargins left="0.5" right="0"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B809A-2DA1-4516-9662-FB2E6E080A0E}">
  <sheetPr>
    <pageSetUpPr fitToPage="1"/>
  </sheetPr>
  <dimension ref="A1:O62"/>
  <sheetViews>
    <sheetView zoomScale="90" zoomScaleNormal="90" zoomScaleSheetLayoutView="85" workbookViewId="0">
      <selection activeCell="C310" sqref="C310"/>
    </sheetView>
  </sheetViews>
  <sheetFormatPr defaultColWidth="8.77734375" defaultRowHeight="15"/>
  <cols>
    <col min="1" max="1" width="7.44140625" style="2" customWidth="1"/>
    <col min="2" max="2" width="43.88671875" style="2" customWidth="1"/>
    <col min="3" max="3" width="16.44140625" style="2" customWidth="1"/>
    <col min="4" max="4" width="14.88671875" style="2" bestFit="1" customWidth="1"/>
    <col min="5" max="5" width="14.109375" style="2" bestFit="1" customWidth="1"/>
    <col min="6" max="6" width="12.88671875" style="2" bestFit="1" customWidth="1"/>
    <col min="7" max="7" width="9.109375" customWidth="1"/>
  </cols>
  <sheetData>
    <row r="1" spans="1:15">
      <c r="A1" s="846" t="s">
        <v>840</v>
      </c>
      <c r="B1" s="846"/>
      <c r="C1" s="846"/>
      <c r="D1" s="846"/>
      <c r="E1" s="846"/>
      <c r="F1" s="846"/>
      <c r="G1" s="846"/>
    </row>
    <row r="2" spans="1:15">
      <c r="A2" s="851" t="s">
        <v>841</v>
      </c>
      <c r="B2" s="851"/>
      <c r="C2" s="851"/>
      <c r="D2" s="851"/>
      <c r="E2" s="851"/>
      <c r="F2" s="851"/>
      <c r="G2" s="851"/>
    </row>
    <row r="3" spans="1:15" ht="15.75" customHeight="1">
      <c r="A3" s="846" t="str">
        <f>+'Attachment O'!D5</f>
        <v>GridLiance Heartland LLC</v>
      </c>
      <c r="B3" s="846"/>
      <c r="C3" s="846"/>
      <c r="D3" s="846"/>
      <c r="E3" s="846"/>
      <c r="F3" s="846"/>
      <c r="G3" s="846"/>
      <c r="I3" s="410"/>
      <c r="J3" s="411"/>
      <c r="K3" s="412"/>
      <c r="L3" s="410"/>
      <c r="M3" s="413"/>
    </row>
    <row r="4" spans="1:15">
      <c r="C4" s="414"/>
      <c r="E4" s="415"/>
      <c r="I4" s="410"/>
      <c r="J4" s="411"/>
      <c r="K4" s="412"/>
    </row>
    <row r="5" spans="1:15">
      <c r="A5" s="348"/>
      <c r="B5" s="416" t="s">
        <v>842</v>
      </c>
      <c r="C5" s="347"/>
      <c r="D5" s="348"/>
      <c r="E5" s="417"/>
      <c r="I5" s="410"/>
      <c r="J5" s="412"/>
      <c r="K5" s="412"/>
      <c r="L5" s="418"/>
      <c r="M5" s="418"/>
    </row>
    <row r="6" spans="1:15" ht="39" customHeight="1">
      <c r="A6" s="348"/>
      <c r="B6" s="416"/>
      <c r="C6" s="347"/>
      <c r="D6" s="419"/>
      <c r="E6" s="419"/>
      <c r="F6" s="420"/>
      <c r="I6" s="410"/>
      <c r="K6" s="421"/>
      <c r="L6" s="422"/>
      <c r="M6" s="422"/>
      <c r="N6" s="422"/>
    </row>
    <row r="7" spans="1:15" ht="16.5" customHeight="1">
      <c r="A7" s="365" t="s">
        <v>492</v>
      </c>
      <c r="B7" s="347"/>
      <c r="C7" s="347"/>
      <c r="D7" s="420"/>
      <c r="E7" s="420"/>
      <c r="F7" s="420"/>
      <c r="I7" s="410"/>
      <c r="J7" s="423"/>
      <c r="K7" s="423"/>
      <c r="L7" s="424"/>
      <c r="M7" s="425"/>
    </row>
    <row r="8" spans="1:15" ht="25.5">
      <c r="A8" s="348">
        <v>1</v>
      </c>
      <c r="C8" s="426"/>
      <c r="D8" s="427" t="s">
        <v>843</v>
      </c>
      <c r="E8" s="419"/>
      <c r="F8" s="420"/>
      <c r="I8" s="410"/>
      <c r="J8" s="423"/>
      <c r="K8" s="423"/>
      <c r="L8" s="428"/>
      <c r="M8" s="425"/>
    </row>
    <row r="9" spans="1:15">
      <c r="A9" s="348">
        <v>2</v>
      </c>
      <c r="B9" s="429" t="s">
        <v>844</v>
      </c>
      <c r="C9" s="429" t="s">
        <v>790</v>
      </c>
      <c r="D9" s="66">
        <v>0</v>
      </c>
      <c r="E9" s="204"/>
      <c r="I9" s="410"/>
      <c r="J9" s="423"/>
      <c r="K9" s="423"/>
      <c r="L9" s="430"/>
      <c r="M9" s="430"/>
    </row>
    <row r="10" spans="1:15">
      <c r="A10" s="348">
        <v>3</v>
      </c>
      <c r="B10" s="429" t="s">
        <v>845</v>
      </c>
      <c r="C10" s="429" t="str">
        <f>+C9</f>
        <v>Note A</v>
      </c>
      <c r="D10" s="66">
        <v>0</v>
      </c>
      <c r="E10" s="204"/>
      <c r="I10" s="410"/>
      <c r="J10" s="423"/>
      <c r="K10" s="423"/>
      <c r="L10" s="423"/>
      <c r="M10" s="431"/>
    </row>
    <row r="11" spans="1:15">
      <c r="A11" s="348">
        <v>4</v>
      </c>
      <c r="B11" s="429" t="s">
        <v>846</v>
      </c>
      <c r="C11" s="429" t="s">
        <v>847</v>
      </c>
      <c r="D11" s="21">
        <f>IF(D10=0,0,D9/D10)</f>
        <v>0</v>
      </c>
      <c r="E11" s="432"/>
      <c r="F11" s="432"/>
      <c r="I11" s="410"/>
    </row>
    <row r="12" spans="1:15">
      <c r="A12" s="348">
        <v>5</v>
      </c>
      <c r="B12" s="429" t="s">
        <v>848</v>
      </c>
      <c r="C12" s="429" t="s">
        <v>45</v>
      </c>
      <c r="D12" s="433">
        <v>0</v>
      </c>
      <c r="E12" s="434"/>
      <c r="F12" s="432"/>
      <c r="I12" s="410"/>
      <c r="J12" s="423"/>
      <c r="N12" s="435"/>
    </row>
    <row r="13" spans="1:15">
      <c r="A13" s="348">
        <v>6</v>
      </c>
      <c r="B13" s="429" t="s">
        <v>849</v>
      </c>
      <c r="C13" s="429" t="s">
        <v>850</v>
      </c>
      <c r="D13" s="21">
        <f>D11*D12</f>
        <v>0</v>
      </c>
      <c r="E13" s="436"/>
      <c r="F13" s="432"/>
    </row>
    <row r="14" spans="1:15">
      <c r="A14" s="348">
        <v>7</v>
      </c>
      <c r="B14" s="429" t="s">
        <v>851</v>
      </c>
      <c r="C14" s="429"/>
      <c r="D14" s="429"/>
      <c r="E14" s="163"/>
      <c r="F14" s="432"/>
      <c r="G14" s="163"/>
      <c r="H14" s="163"/>
      <c r="I14" s="410"/>
      <c r="O14" s="163"/>
    </row>
    <row r="15" spans="1:15">
      <c r="F15" s="432"/>
      <c r="G15" s="163"/>
      <c r="H15" s="163"/>
      <c r="O15" s="163"/>
    </row>
    <row r="16" spans="1:15">
      <c r="A16" s="348">
        <v>8</v>
      </c>
      <c r="B16" s="429" t="s">
        <v>852</v>
      </c>
      <c r="D16" s="433">
        <v>0</v>
      </c>
      <c r="F16" s="432"/>
      <c r="G16" s="263"/>
      <c r="H16" s="263"/>
      <c r="O16" s="263"/>
    </row>
    <row r="17" spans="1:2">
      <c r="A17" s="437"/>
    </row>
    <row r="18" spans="1:2">
      <c r="A18" s="210" t="s">
        <v>338</v>
      </c>
      <c r="B18" s="163"/>
    </row>
    <row r="19" spans="1:2" ht="15.75" thickBot="1">
      <c r="A19" s="438" t="s">
        <v>339</v>
      </c>
      <c r="B19" s="163"/>
    </row>
    <row r="20" spans="1:2">
      <c r="A20" s="261" t="s">
        <v>340</v>
      </c>
      <c r="B20" s="163" t="s">
        <v>853</v>
      </c>
    </row>
    <row r="21" spans="1:2">
      <c r="A21" s="14" t="s">
        <v>341</v>
      </c>
      <c r="B21" s="2" t="s">
        <v>854</v>
      </c>
    </row>
    <row r="62" spans="9:9">
      <c r="I62">
        <v>0</v>
      </c>
    </row>
  </sheetData>
  <mergeCells count="3">
    <mergeCell ref="A1:G1"/>
    <mergeCell ref="A2:G2"/>
    <mergeCell ref="A3:G3"/>
  </mergeCells>
  <pageMargins left="0.5" right="0.1" top="0.75" bottom="0.75" header="0.3" footer="0.3"/>
  <pageSetup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B79DA-5B03-42B1-B77B-7111804A598D}">
  <sheetPr>
    <pageSetUpPr fitToPage="1"/>
  </sheetPr>
  <dimension ref="A1:T157"/>
  <sheetViews>
    <sheetView zoomScale="70" zoomScaleNormal="70" zoomScaleSheetLayoutView="70" workbookViewId="0">
      <selection activeCell="O63" sqref="O63"/>
    </sheetView>
  </sheetViews>
  <sheetFormatPr defaultColWidth="8.88671875" defaultRowHeight="15.75"/>
  <cols>
    <col min="1" max="1" width="5.5546875" style="439" customWidth="1"/>
    <col min="2" max="2" width="40" style="459" bestFit="1" customWidth="1"/>
    <col min="3" max="3" width="10.5546875" style="439" bestFit="1" customWidth="1"/>
    <col min="4" max="4" width="9.88671875" style="439" bestFit="1" customWidth="1"/>
    <col min="5" max="5" width="16.109375" style="439" customWidth="1"/>
    <col min="6" max="6" width="12" style="439" customWidth="1"/>
    <col min="7" max="7" width="11.88671875" style="439" customWidth="1"/>
    <col min="8" max="8" width="12" style="440" customWidth="1"/>
    <col min="9" max="9" width="32" style="440" customWidth="1"/>
    <col min="10" max="10" width="8.88671875" style="440"/>
    <col min="11" max="11" width="12" style="440" customWidth="1"/>
    <col min="12" max="12" width="12.88671875" style="440" customWidth="1"/>
    <col min="13" max="16384" width="8.88671875" style="440"/>
  </cols>
  <sheetData>
    <row r="1" spans="1:20" ht="18" customHeight="1">
      <c r="A1" s="852" t="s">
        <v>855</v>
      </c>
      <c r="B1" s="852"/>
      <c r="C1" s="852"/>
      <c r="D1" s="852"/>
      <c r="E1" s="852"/>
      <c r="F1" s="852"/>
      <c r="G1" s="852"/>
      <c r="H1" s="852"/>
      <c r="I1" s="852"/>
      <c r="J1" s="439"/>
      <c r="K1" s="439"/>
      <c r="L1" s="439"/>
    </row>
    <row r="2" spans="1:20" ht="18" customHeight="1">
      <c r="A2" s="853" t="str">
        <f>+'Attachment O'!D5</f>
        <v>GridLiance Heartland LLC</v>
      </c>
      <c r="B2" s="853"/>
      <c r="C2" s="853"/>
      <c r="D2" s="853"/>
      <c r="E2" s="853"/>
      <c r="F2" s="853"/>
      <c r="G2" s="853"/>
      <c r="H2" s="853"/>
      <c r="I2" s="853"/>
      <c r="J2" s="441"/>
      <c r="K2" s="441"/>
      <c r="L2" s="441"/>
    </row>
    <row r="3" spans="1:20" ht="18" customHeight="1">
      <c r="A3" s="852" t="str">
        <f>"Projection "&amp;'Attachment O'!$K$3</f>
        <v>Projection For the 12 months ended 12/31/2022</v>
      </c>
      <c r="B3" s="852"/>
      <c r="C3" s="852"/>
      <c r="D3" s="852"/>
      <c r="E3" s="852"/>
      <c r="F3" s="852"/>
      <c r="G3" s="852"/>
      <c r="H3" s="854"/>
      <c r="I3" s="852"/>
      <c r="J3" s="439"/>
      <c r="K3" s="439"/>
      <c r="L3" s="439"/>
    </row>
    <row r="4" spans="1:20" ht="18" customHeight="1">
      <c r="A4" s="442"/>
      <c r="B4" s="442"/>
      <c r="C4" s="442"/>
      <c r="D4" s="442"/>
      <c r="E4" s="442"/>
      <c r="F4" s="442"/>
      <c r="G4" s="442"/>
      <c r="H4" s="442"/>
      <c r="I4" s="442"/>
      <c r="J4" s="439"/>
      <c r="K4" s="439"/>
      <c r="L4" s="439"/>
    </row>
    <row r="5" spans="1:20" ht="18">
      <c r="B5" s="442" t="s">
        <v>340</v>
      </c>
      <c r="C5" s="442"/>
      <c r="D5" s="443"/>
      <c r="E5" s="443" t="s">
        <v>341</v>
      </c>
      <c r="F5" s="443" t="s">
        <v>342</v>
      </c>
      <c r="G5" s="443" t="s">
        <v>343</v>
      </c>
      <c r="H5" s="443" t="s">
        <v>344</v>
      </c>
      <c r="I5" s="444"/>
    </row>
    <row r="6" spans="1:20">
      <c r="B6" s="440"/>
      <c r="C6" s="440"/>
      <c r="D6" s="440"/>
      <c r="E6" s="440"/>
      <c r="F6" s="440"/>
      <c r="G6" s="440"/>
      <c r="H6" s="443" t="s">
        <v>856</v>
      </c>
      <c r="I6" s="439"/>
      <c r="T6" s="443"/>
    </row>
    <row r="7" spans="1:20">
      <c r="A7" s="445" t="s">
        <v>857</v>
      </c>
      <c r="B7" s="445" t="s">
        <v>858</v>
      </c>
      <c r="C7" s="446"/>
      <c r="D7" s="447"/>
      <c r="E7" s="448" t="s">
        <v>859</v>
      </c>
      <c r="F7" s="448" t="s">
        <v>860</v>
      </c>
      <c r="G7" s="448" t="s">
        <v>861</v>
      </c>
      <c r="H7" s="448" t="s">
        <v>21</v>
      </c>
      <c r="I7" s="446"/>
      <c r="T7" s="443"/>
    </row>
    <row r="8" spans="1:20">
      <c r="B8" s="449"/>
      <c r="D8" s="440"/>
      <c r="H8" s="439"/>
      <c r="I8" s="439"/>
      <c r="L8" s="450"/>
    </row>
    <row r="9" spans="1:20" ht="20.25" customHeight="1">
      <c r="A9" s="439">
        <v>1</v>
      </c>
      <c r="B9" s="439" t="s">
        <v>862</v>
      </c>
      <c r="D9" s="440"/>
      <c r="E9" s="451">
        <f>F25</f>
        <v>-308723.66978139908</v>
      </c>
      <c r="F9" s="451">
        <f>G25</f>
        <v>0</v>
      </c>
      <c r="G9" s="451">
        <f>H25</f>
        <v>0</v>
      </c>
      <c r="H9" s="451"/>
      <c r="I9" s="439" t="s">
        <v>863</v>
      </c>
    </row>
    <row r="10" spans="1:20" ht="20.25" customHeight="1">
      <c r="A10" s="439">
        <f t="shared" ref="A10:A16" si="0">+A9+1</f>
        <v>2</v>
      </c>
      <c r="B10" s="439" t="s">
        <v>864</v>
      </c>
      <c r="D10" s="440"/>
      <c r="E10" s="451">
        <f>F31</f>
        <v>0</v>
      </c>
      <c r="F10" s="451">
        <v>0</v>
      </c>
      <c r="G10" s="451">
        <f>H31</f>
        <v>0</v>
      </c>
      <c r="H10" s="451"/>
      <c r="I10" s="439" t="s">
        <v>865</v>
      </c>
    </row>
    <row r="11" spans="1:20" ht="20.25" customHeight="1">
      <c r="A11" s="439">
        <f t="shared" si="0"/>
        <v>3</v>
      </c>
      <c r="B11" s="439" t="s">
        <v>866</v>
      </c>
      <c r="D11" s="440"/>
      <c r="E11" s="451">
        <f>F37</f>
        <v>0</v>
      </c>
      <c r="F11" s="451">
        <f>G37</f>
        <v>0</v>
      </c>
      <c r="G11" s="451">
        <f>H37</f>
        <v>0</v>
      </c>
      <c r="H11" s="451"/>
      <c r="I11" s="439" t="s">
        <v>867</v>
      </c>
    </row>
    <row r="12" spans="1:20" ht="20.25" customHeight="1">
      <c r="A12" s="439">
        <f t="shared" si="0"/>
        <v>4</v>
      </c>
      <c r="B12" s="439" t="s">
        <v>868</v>
      </c>
      <c r="D12" s="440"/>
      <c r="E12" s="451">
        <f>SUM(E9:E11)</f>
        <v>-308723.66978139908</v>
      </c>
      <c r="F12" s="451">
        <f>SUM(F9:F11)</f>
        <v>0</v>
      </c>
      <c r="G12" s="451">
        <f>SUM(G9:G11)</f>
        <v>0</v>
      </c>
      <c r="H12" s="451"/>
      <c r="I12" s="452" t="s">
        <v>869</v>
      </c>
    </row>
    <row r="13" spans="1:20" ht="20.25" customHeight="1">
      <c r="A13" s="439">
        <f t="shared" si="0"/>
        <v>5</v>
      </c>
      <c r="B13" s="439" t="s">
        <v>870</v>
      </c>
      <c r="D13" s="440"/>
      <c r="G13" s="453">
        <f>+'Attachment O'!I219</f>
        <v>0.83165890028977185</v>
      </c>
      <c r="H13" s="439"/>
      <c r="I13" s="439" t="s">
        <v>871</v>
      </c>
    </row>
    <row r="14" spans="1:20" ht="20.25" customHeight="1">
      <c r="A14" s="439">
        <f t="shared" si="0"/>
        <v>6</v>
      </c>
      <c r="B14" s="439" t="s">
        <v>872</v>
      </c>
      <c r="D14" s="440"/>
      <c r="F14" s="454">
        <f>+'Attachment O'!G70</f>
        <v>0.83165890028977185</v>
      </c>
      <c r="H14" s="439"/>
      <c r="I14" s="439" t="s">
        <v>873</v>
      </c>
    </row>
    <row r="15" spans="1:20" ht="20.25" customHeight="1">
      <c r="A15" s="439">
        <f t="shared" si="0"/>
        <v>7</v>
      </c>
      <c r="B15" s="439" t="s">
        <v>874</v>
      </c>
      <c r="D15" s="440"/>
      <c r="E15" s="454">
        <v>1</v>
      </c>
      <c r="F15" s="454"/>
      <c r="H15" s="439"/>
      <c r="I15" s="455">
        <v>1</v>
      </c>
    </row>
    <row r="16" spans="1:20" ht="20.25" customHeight="1">
      <c r="A16" s="439">
        <f t="shared" si="0"/>
        <v>8</v>
      </c>
      <c r="B16" s="439" t="s">
        <v>875</v>
      </c>
      <c r="D16" s="440"/>
      <c r="E16" s="451">
        <f>+E15*E12</f>
        <v>-308723.66978139908</v>
      </c>
      <c r="F16" s="451">
        <f>+F14*F12</f>
        <v>0</v>
      </c>
      <c r="G16" s="451">
        <f>+G13*G12</f>
        <v>0</v>
      </c>
      <c r="H16" s="451">
        <f>+E16+F16+G16</f>
        <v>-308723.66978139908</v>
      </c>
      <c r="I16" s="456" t="s">
        <v>876</v>
      </c>
    </row>
    <row r="17" spans="1:17">
      <c r="B17" s="439"/>
      <c r="D17" s="440"/>
      <c r="E17" s="451"/>
      <c r="F17" s="451"/>
      <c r="G17" s="451"/>
      <c r="H17" s="451"/>
      <c r="I17" s="456"/>
    </row>
    <row r="18" spans="1:17">
      <c r="B18" s="439"/>
      <c r="D18" s="452"/>
      <c r="G18" s="451"/>
      <c r="I18" s="443"/>
    </row>
    <row r="19" spans="1:17">
      <c r="B19" s="442" t="s">
        <v>329</v>
      </c>
      <c r="C19" s="442" t="s">
        <v>330</v>
      </c>
      <c r="D19" s="442" t="s">
        <v>331</v>
      </c>
      <c r="E19" s="442" t="s">
        <v>332</v>
      </c>
      <c r="F19" s="442" t="s">
        <v>653</v>
      </c>
      <c r="G19" s="443" t="s">
        <v>654</v>
      </c>
      <c r="H19" s="443" t="s">
        <v>655</v>
      </c>
      <c r="I19" s="443"/>
    </row>
    <row r="20" spans="1:17" ht="31.5">
      <c r="A20" s="457"/>
      <c r="B20" s="458" t="s">
        <v>877</v>
      </c>
      <c r="C20" s="458" t="s">
        <v>645</v>
      </c>
      <c r="D20" s="458" t="s">
        <v>598</v>
      </c>
      <c r="E20" s="458" t="s">
        <v>878</v>
      </c>
      <c r="F20" s="458" t="s">
        <v>859</v>
      </c>
      <c r="G20" s="458" t="s">
        <v>860</v>
      </c>
      <c r="H20" s="458" t="s">
        <v>861</v>
      </c>
      <c r="I20" s="458"/>
      <c r="Q20" s="443"/>
    </row>
    <row r="21" spans="1:17">
      <c r="A21" s="439" t="s">
        <v>879</v>
      </c>
      <c r="D21" s="442"/>
      <c r="E21" s="442"/>
      <c r="F21" s="442"/>
      <c r="G21" s="440"/>
      <c r="Q21" s="443"/>
    </row>
    <row r="22" spans="1:17" ht="20.25" customHeight="1">
      <c r="A22" s="449">
        <f>A16+1</f>
        <v>9</v>
      </c>
      <c r="B22" s="459" t="s">
        <v>880</v>
      </c>
      <c r="C22" s="439" t="s">
        <v>752</v>
      </c>
      <c r="D22" s="460">
        <v>2021</v>
      </c>
      <c r="E22" s="453">
        <f>'8c- ADIT BOY'!C54</f>
        <v>-127026.21469340209</v>
      </c>
      <c r="F22" s="453">
        <f>'8c- ADIT BOY'!E43</f>
        <v>0</v>
      </c>
      <c r="G22" s="461">
        <f>'8c- ADIT BOY'!F54</f>
        <v>0</v>
      </c>
      <c r="H22" s="461">
        <f>'8c- ADIT BOY'!G54</f>
        <v>0</v>
      </c>
      <c r="I22" s="462"/>
    </row>
    <row r="23" spans="1:17" ht="20.25" customHeight="1">
      <c r="A23" s="449">
        <f>A22+1</f>
        <v>10</v>
      </c>
      <c r="B23" s="459" t="s">
        <v>881</v>
      </c>
      <c r="C23" s="439" t="s">
        <v>752</v>
      </c>
      <c r="D23" s="460">
        <v>2022</v>
      </c>
      <c r="E23" s="453">
        <f>'8d- ADIT EOY'!C57-'8d- ADIT EOY'!C54</f>
        <v>0</v>
      </c>
      <c r="F23" s="453">
        <v>0</v>
      </c>
      <c r="G23" s="453">
        <f>'8d- ADIT EOY'!F57-'8d- ADIT EOY'!F54</f>
        <v>0</v>
      </c>
      <c r="H23" s="453">
        <f>'8d- ADIT EOY'!G57-'8d- ADIT EOY'!G54</f>
        <v>0</v>
      </c>
      <c r="I23" s="462"/>
    </row>
    <row r="24" spans="1:17" ht="20.25" customHeight="1">
      <c r="A24" s="449">
        <f>A23+1</f>
        <v>11</v>
      </c>
      <c r="B24" s="459" t="s">
        <v>882</v>
      </c>
      <c r="C24" s="439" t="s">
        <v>752</v>
      </c>
      <c r="D24" s="460">
        <f>D23</f>
        <v>2022</v>
      </c>
      <c r="E24" s="453">
        <f>'8b-ADIT Projection Proration'!F22</f>
        <v>-519256.30502628855</v>
      </c>
      <c r="F24" s="453">
        <f>'8b-ADIT Projection Proration'!H22</f>
        <v>-308723.66978139908</v>
      </c>
      <c r="G24" s="461">
        <f>'8b-ADIT Projection Proration'!J22</f>
        <v>0</v>
      </c>
      <c r="H24" s="461">
        <f>'8b-ADIT Projection Proration'!L22</f>
        <v>0</v>
      </c>
      <c r="I24" s="462"/>
    </row>
    <row r="25" spans="1:17" ht="20.25" customHeight="1">
      <c r="A25" s="449">
        <f>A24+1</f>
        <v>12</v>
      </c>
      <c r="B25" s="459" t="s">
        <v>883</v>
      </c>
      <c r="D25" s="574"/>
      <c r="E25" s="454">
        <f>E23+E24</f>
        <v>-519256.30502628855</v>
      </c>
      <c r="F25" s="454">
        <f>F23+F24</f>
        <v>-308723.66978139908</v>
      </c>
      <c r="G25" s="454">
        <f>G23+G24</f>
        <v>0</v>
      </c>
      <c r="H25" s="454">
        <f>H23+H24</f>
        <v>0</v>
      </c>
      <c r="I25" s="454"/>
    </row>
    <row r="26" spans="1:17">
      <c r="A26" s="449"/>
      <c r="D26" s="574"/>
      <c r="G26" s="440"/>
    </row>
    <row r="27" spans="1:17">
      <c r="A27" s="439" t="s">
        <v>884</v>
      </c>
      <c r="D27" s="574"/>
      <c r="G27" s="440"/>
    </row>
    <row r="28" spans="1:17" ht="20.25" customHeight="1">
      <c r="A28" s="449">
        <f>A25+1</f>
        <v>13</v>
      </c>
      <c r="B28" s="459" t="s">
        <v>885</v>
      </c>
      <c r="C28" s="439" t="s">
        <v>752</v>
      </c>
      <c r="D28" s="460">
        <f>D22</f>
        <v>2021</v>
      </c>
      <c r="E28" s="451">
        <f>'8c- ADIT BOY'!C77</f>
        <v>0</v>
      </c>
      <c r="F28" s="451">
        <f>'8c- ADIT BOY'!E77</f>
        <v>0</v>
      </c>
      <c r="G28" s="461">
        <f>'8c- ADIT BOY'!F77</f>
        <v>0</v>
      </c>
      <c r="H28" s="461">
        <f>'8c- ADIT BOY'!G77</f>
        <v>0</v>
      </c>
      <c r="I28" s="462"/>
    </row>
    <row r="29" spans="1:17" ht="20.25" customHeight="1">
      <c r="A29" s="449">
        <f>A28+1</f>
        <v>14</v>
      </c>
      <c r="B29" s="459" t="s">
        <v>886</v>
      </c>
      <c r="C29" s="439" t="s">
        <v>752</v>
      </c>
      <c r="D29" s="460">
        <f t="shared" ref="D29:D30" si="1">D23</f>
        <v>2022</v>
      </c>
      <c r="E29" s="451">
        <f>'8d- ADIT EOY'!C80-'8d- ADIT EOY'!C77</f>
        <v>0</v>
      </c>
      <c r="F29" s="451">
        <f>'8d- ADIT EOY'!E80-'8d- ADIT EOY'!E77</f>
        <v>0</v>
      </c>
      <c r="G29" s="461">
        <f>'8d- ADIT EOY'!F80-'8d- ADIT EOY'!F77</f>
        <v>0</v>
      </c>
      <c r="H29" s="461">
        <f>'8d- ADIT EOY'!G80-'8d- ADIT EOY'!G77</f>
        <v>0</v>
      </c>
      <c r="I29" s="462"/>
    </row>
    <row r="30" spans="1:17" ht="20.25" customHeight="1">
      <c r="A30" s="449">
        <f>A29+1</f>
        <v>15</v>
      </c>
      <c r="B30" s="459" t="s">
        <v>887</v>
      </c>
      <c r="C30" s="439" t="s">
        <v>752</v>
      </c>
      <c r="D30" s="460">
        <f t="shared" si="1"/>
        <v>2022</v>
      </c>
      <c r="E30" s="451">
        <f>'8b-ADIT Projection Proration'!F38</f>
        <v>0</v>
      </c>
      <c r="F30" s="451">
        <f>'8b-ADIT Projection Proration'!H38</f>
        <v>0</v>
      </c>
      <c r="G30" s="461">
        <f>'8b-ADIT Projection Proration'!J38</f>
        <v>0</v>
      </c>
      <c r="H30" s="461">
        <f>'8b-ADIT Projection Proration'!L38</f>
        <v>0</v>
      </c>
      <c r="I30" s="462"/>
    </row>
    <row r="31" spans="1:17" ht="20.25" customHeight="1">
      <c r="A31" s="449">
        <f>A30+1</f>
        <v>16</v>
      </c>
      <c r="B31" s="459" t="s">
        <v>888</v>
      </c>
      <c r="D31" s="574"/>
      <c r="E31" s="463">
        <f>E29+E30</f>
        <v>0</v>
      </c>
      <c r="F31" s="463">
        <f>F29+F30</f>
        <v>0</v>
      </c>
      <c r="G31" s="463">
        <f>G29+G30</f>
        <v>0</v>
      </c>
      <c r="H31" s="463">
        <f>H29+H30</f>
        <v>0</v>
      </c>
      <c r="I31" s="464"/>
    </row>
    <row r="32" spans="1:17">
      <c r="A32" s="449"/>
      <c r="D32" s="574"/>
      <c r="G32" s="440"/>
    </row>
    <row r="33" spans="1:9">
      <c r="A33" s="439" t="s">
        <v>866</v>
      </c>
      <c r="D33" s="574"/>
      <c r="G33" s="440"/>
    </row>
    <row r="34" spans="1:9" ht="20.25" customHeight="1">
      <c r="A34" s="449">
        <f>A31+1</f>
        <v>17</v>
      </c>
      <c r="B34" s="459" t="s">
        <v>889</v>
      </c>
      <c r="C34" s="439" t="s">
        <v>752</v>
      </c>
      <c r="D34" s="460">
        <f>D28</f>
        <v>2021</v>
      </c>
      <c r="E34" s="451">
        <f>'8c- ADIT BOY'!C29</f>
        <v>0</v>
      </c>
      <c r="F34" s="451">
        <f>'8c- ADIT BOY'!E29</f>
        <v>0</v>
      </c>
      <c r="G34" s="461">
        <f>'8c- ADIT BOY'!F29</f>
        <v>0</v>
      </c>
      <c r="H34" s="461">
        <f>'8c- ADIT BOY'!G29</f>
        <v>0</v>
      </c>
      <c r="I34" s="462"/>
    </row>
    <row r="35" spans="1:9" ht="20.25" customHeight="1">
      <c r="A35" s="449">
        <f>A34+1</f>
        <v>18</v>
      </c>
      <c r="B35" s="459" t="s">
        <v>890</v>
      </c>
      <c r="C35" s="439" t="s">
        <v>752</v>
      </c>
      <c r="D35" s="460">
        <f t="shared" ref="D35:D36" si="2">D29</f>
        <v>2022</v>
      </c>
      <c r="E35" s="451">
        <f>'8d- ADIT EOY'!C32-'8d- ADIT EOY'!C29</f>
        <v>0</v>
      </c>
      <c r="F35" s="451">
        <f>'8d- ADIT EOY'!E32-'8d- ADIT EOY'!E29</f>
        <v>0</v>
      </c>
      <c r="G35" s="461">
        <f>'8d- ADIT EOY'!F32-'8d- ADIT EOY'!F29</f>
        <v>0</v>
      </c>
      <c r="H35" s="461">
        <f>'8d- ADIT EOY'!G32-'8d- ADIT EOY'!G29</f>
        <v>0</v>
      </c>
      <c r="I35" s="462"/>
    </row>
    <row r="36" spans="1:9" ht="20.25" customHeight="1">
      <c r="A36" s="449">
        <f>A35+1</f>
        <v>19</v>
      </c>
      <c r="B36" s="459" t="s">
        <v>891</v>
      </c>
      <c r="C36" s="439" t="s">
        <v>752</v>
      </c>
      <c r="D36" s="460">
        <f t="shared" si="2"/>
        <v>2022</v>
      </c>
      <c r="E36" s="451">
        <f>'8b-ADIT Projection Proration'!F54</f>
        <v>0</v>
      </c>
      <c r="F36" s="451">
        <f>'8b-ADIT Projection Proration'!H54</f>
        <v>0</v>
      </c>
      <c r="G36" s="461">
        <f>'8b-ADIT Projection Proration'!J54</f>
        <v>0</v>
      </c>
      <c r="H36" s="461">
        <f>'8b-ADIT Projection Proration'!L54</f>
        <v>0</v>
      </c>
      <c r="I36" s="462"/>
    </row>
    <row r="37" spans="1:9" ht="20.25" customHeight="1">
      <c r="A37" s="449">
        <f>A36+1</f>
        <v>20</v>
      </c>
      <c r="B37" s="459" t="s">
        <v>892</v>
      </c>
      <c r="E37" s="463">
        <f>E35+E36</f>
        <v>0</v>
      </c>
      <c r="F37" s="463">
        <f>F35+F36</f>
        <v>0</v>
      </c>
      <c r="G37" s="463">
        <f>G35+G36</f>
        <v>0</v>
      </c>
      <c r="H37" s="463">
        <f>H35+H36</f>
        <v>0</v>
      </c>
      <c r="I37" s="464"/>
    </row>
    <row r="38" spans="1:9">
      <c r="B38" s="439"/>
      <c r="G38" s="440"/>
    </row>
    <row r="39" spans="1:9">
      <c r="B39" s="439"/>
      <c r="D39" s="465"/>
      <c r="E39" s="465"/>
      <c r="F39" s="465"/>
      <c r="G39" s="465"/>
      <c r="H39" s="466"/>
    </row>
    <row r="40" spans="1:9">
      <c r="D40" s="442"/>
    </row>
    <row r="41" spans="1:9">
      <c r="D41" s="451"/>
    </row>
    <row r="42" spans="1:9">
      <c r="D42" s="451"/>
    </row>
    <row r="43" spans="1:9">
      <c r="D43" s="451"/>
    </row>
    <row r="44" spans="1:9">
      <c r="D44" s="451"/>
    </row>
    <row r="45" spans="1:9">
      <c r="D45" s="451"/>
    </row>
    <row r="46" spans="1:9">
      <c r="D46" s="451"/>
    </row>
    <row r="47" spans="1:9">
      <c r="D47" s="451"/>
    </row>
    <row r="48" spans="1:9">
      <c r="D48" s="451"/>
    </row>
    <row r="49" spans="2:4">
      <c r="D49" s="451"/>
    </row>
    <row r="50" spans="2:4">
      <c r="D50" s="451"/>
    </row>
    <row r="51" spans="2:4">
      <c r="B51" s="439"/>
      <c r="D51" s="451"/>
    </row>
    <row r="52" spans="2:4">
      <c r="D52" s="451"/>
    </row>
    <row r="53" spans="2:4">
      <c r="B53" s="439"/>
      <c r="D53" s="451"/>
    </row>
    <row r="65" spans="10:10">
      <c r="J65" s="439"/>
    </row>
    <row r="157" spans="8:8">
      <c r="H157" s="467"/>
    </row>
  </sheetData>
  <mergeCells count="3">
    <mergeCell ref="A1:I1"/>
    <mergeCell ref="A2:I2"/>
    <mergeCell ref="A3:I3"/>
  </mergeCells>
  <printOptions horizontalCentered="1"/>
  <pageMargins left="0.25" right="0.25" top="0.75" bottom="0.75" header="0.3" footer="0.3"/>
  <pageSetup scale="6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p r o p e r t i e s   x m l n s = " h t t p : / / w w w . i m a n a g e . c o m / w o r k / x m l s c h e m a " >  
     < d o c u m e n t i d > A c t i v e ! 3 9 9 1 2 . 1 < / d o c u m e n t i d >  
     < s e n d e r i d > K P A T T O N < / s e n d e r i d >  
     < s e n d e r e m a i l > K P A T T O N @ G R I D L I A N C E . C O M < / s e n d e r e m a i l >  
     < l a s t m o d i f i e d > 2 0 2 0 - 0 4 - 2 0 T 1 8 : 4 6 : 4 8 . 0 0 0 0 0 0 0 - 0 5 : 0 0 < / l a s t m o d i f i e d >  
     < d a t a b a s e > A c t i v e < / d a t a b a s e >  
 < / 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6A4D75A49D184DABCD061870E2218C" ma:contentTypeVersion="12" ma:contentTypeDescription="Create a new document." ma:contentTypeScope="" ma:versionID="f01eca39bd3b8c6d8b748992aecba5a0">
  <xsd:schema xmlns:xsd="http://www.w3.org/2001/XMLSchema" xmlns:xs="http://www.w3.org/2001/XMLSchema" xmlns:p="http://schemas.microsoft.com/office/2006/metadata/properties" xmlns:ns1="http://schemas.microsoft.com/sharepoint/v3" xmlns:ns2="936fe6af-7fb3-4013-86d2-4bb2bff4d42a" xmlns:ns3="15156bad-83ad-4205-8c03-b1bc4d22d6ee" targetNamespace="http://schemas.microsoft.com/office/2006/metadata/properties" ma:root="true" ma:fieldsID="dbd39dafca199827ca0fdf0e866e8400" ns1:_="" ns2:_="" ns3:_="">
    <xsd:import namespace="http://schemas.microsoft.com/sharepoint/v3"/>
    <xsd:import namespace="936fe6af-7fb3-4013-86d2-4bb2bff4d42a"/>
    <xsd:import namespace="15156bad-83ad-4205-8c03-b1bc4d22d6e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1:_ip_UnifiedCompliancePolicyProperties" minOccurs="0"/>
                <xsd:element ref="ns1:_ip_UnifiedCompliancePolicyUIActio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6fe6af-7fb3-4013-86d2-4bb2bff4d42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156bad-83ad-4205-8c03-b1bc4d22d6e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0AA69B5-CDFA-4E23-8964-4B5BB2197239}">
  <ds:schemaRefs>
    <ds:schemaRef ds:uri="http://www.imanage.com/work/xmlschema"/>
  </ds:schemaRefs>
</ds:datastoreItem>
</file>

<file path=customXml/itemProps2.xml><?xml version="1.0" encoding="utf-8"?>
<ds:datastoreItem xmlns:ds="http://schemas.openxmlformats.org/officeDocument/2006/customXml" ds:itemID="{95DD3A5B-BDBB-4290-8612-FE8050BB69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36fe6af-7fb3-4013-86d2-4bb2bff4d42a"/>
    <ds:schemaRef ds:uri="15156bad-83ad-4205-8c03-b1bc4d22d6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439BD0-0491-4A0E-9A70-0D0D5C328A00}">
  <ds:schemaRefs>
    <ds:schemaRef ds:uri="http://schemas.microsoft.com/sharepoint/v3/contenttype/forms"/>
  </ds:schemaRefs>
</ds:datastoreItem>
</file>

<file path=customXml/itemProps4.xml><?xml version="1.0" encoding="utf-8"?>
<ds:datastoreItem xmlns:ds="http://schemas.openxmlformats.org/officeDocument/2006/customXml" ds:itemID="{DABF00A8-3EF8-4373-BC4D-2EEE073AE987}">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16</vt:i4>
      </vt:variant>
      <vt:variant>
        <vt:lpstr>Named Ranges</vt:lpstr>
      </vt:variant>
      <vt:variant>
        <vt:i4>18</vt:i4>
      </vt:variant>
    </vt:vector>
  </HeadingPairs>
  <TitlesOfParts>
    <vt:vector size="34" baseType="lpstr">
      <vt:lpstr>Attachment O</vt:lpstr>
      <vt:lpstr>1-Project Rev Req</vt:lpstr>
      <vt:lpstr>2-Incentive ROE</vt:lpstr>
      <vt:lpstr>3-Project True-up</vt:lpstr>
      <vt:lpstr>4- Rate Base</vt:lpstr>
      <vt:lpstr>5-P3 Support</vt:lpstr>
      <vt:lpstr>6-Dep Rates</vt:lpstr>
      <vt:lpstr>7 - PBOP</vt:lpstr>
      <vt:lpstr>8a-ADIT Projection</vt:lpstr>
      <vt:lpstr>8b-ADIT Projection Proration</vt:lpstr>
      <vt:lpstr>8c- ADIT BOY</vt:lpstr>
      <vt:lpstr>8d- ADIT EOY</vt:lpstr>
      <vt:lpstr>8e-ADIT True-up</vt:lpstr>
      <vt:lpstr>8f-ADIT True-up Proration</vt:lpstr>
      <vt:lpstr>8g - Exc-Def ADIT Worksheet</vt:lpstr>
      <vt:lpstr>8h - ADIT Remeasurement</vt:lpstr>
      <vt:lpstr>'1-Project Rev Req'!Print_Area</vt:lpstr>
      <vt:lpstr>'3-Project True-up'!Print_Area</vt:lpstr>
      <vt:lpstr>'4- Rate Base'!Print_Area</vt:lpstr>
      <vt:lpstr>'5-P3 Support'!Print_Area</vt:lpstr>
      <vt:lpstr>'6-Dep Rates'!Print_Area</vt:lpstr>
      <vt:lpstr>'7 - PBOP'!Print_Area</vt:lpstr>
      <vt:lpstr>'8a-ADIT Projection'!Print_Area</vt:lpstr>
      <vt:lpstr>'8b-ADIT Projection Proration'!Print_Area</vt:lpstr>
      <vt:lpstr>'8c- ADIT BOY'!Print_Area</vt:lpstr>
      <vt:lpstr>'8d- ADIT EOY'!Print_Area</vt:lpstr>
      <vt:lpstr>'8e-ADIT True-up'!Print_Area</vt:lpstr>
      <vt:lpstr>'8f-ADIT True-up Proration'!Print_Area</vt:lpstr>
      <vt:lpstr>'8h - ADIT Remeasurement'!Print_Area</vt:lpstr>
      <vt:lpstr>'Attachment O'!Print_Area</vt:lpstr>
      <vt:lpstr>'8a-ADIT Projection'!Print_Titles</vt:lpstr>
      <vt:lpstr>'8b-ADIT Projection Proration'!Print_Titles</vt:lpstr>
      <vt:lpstr>'8e-ADIT True-up'!Print_Titles</vt:lpstr>
      <vt:lpstr>'8f-ADIT True-up Proration'!Print_Titles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2021-09-16T16:03:32Z</dcterms:created>
  <dcterms:modified xsi:type="dcterms:W3CDTF">2021-09-29T12:38:45Z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0x010100566A4D75A49D184DABCD061870E2218C</vt:lpwstr>
  </property>
</Properties>
</file>