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H:\Gridliance\7.2-GridLiance High Plains\Revenue requirement filing\"/>
    </mc:Choice>
  </mc:AlternateContent>
  <xr:revisionPtr revIDLastSave="0" documentId="13_ncr:1_{885FC886-12FB-4068-B61C-6EAC28ED1137}" xr6:coauthVersionLast="44" xr6:coauthVersionMax="45" xr10:uidLastSave="{00000000-0000-0000-0000-000000000000}"/>
  <bookViews>
    <workbookView xWindow="-108" yWindow="-108" windowWidth="41496" windowHeight="16896" tabRatio="855" activeTab="15" xr2:uid="{00000000-000D-0000-FFFF-FFFF00000000}"/>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11-Wholesale Distribution" sheetId="24" state="hidden" r:id="rId18"/>
    <sheet name="11a-Wholesale Distribution " sheetId="25" state="hidden" r:id="rId19"/>
    <sheet name="12 Wholesale Dist True-Up" sheetId="26"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dat1111">[1]Sheet1!$G$2:$G$29</definedName>
    <definedName name="____dat1111">[1]Sheet1!$G$2:$G$29</definedName>
    <definedName name="___dat1111">[1]Sheet1!$G$2:$G$29</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dat1111">[1]Sheet1!$G$2:$G$29</definedName>
    <definedName name="__FDS_HYPERLINK_TOGGLE_STATE__" hidden="1">"ON"</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 localSheetId="17">#REF!</definedName>
    <definedName name="_31_Dec_00" localSheetId="2">#REF!</definedName>
    <definedName name="_31_Dec_00" localSheetId="15">#REF!</definedName>
    <definedName name="_31_Dec_00">#REF!</definedName>
    <definedName name="_31_Jan_01" localSheetId="17">#REF!</definedName>
    <definedName name="_31_Jan_01" localSheetId="15">#REF!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dat1111">[1]Sheet1!$G$2:$G$29</definedName>
    <definedName name="_Fill" localSheetId="5" hidden="1">#REF!</definedName>
    <definedName name="_Fill" localSheetId="6" hidden="1">#REF!</definedName>
    <definedName name="_Fill" localSheetId="9" hidden="1">#REF!</definedName>
    <definedName name="_Fill" localSheetId="10"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hidden="1">{#N/A,#N/A,FALSE,"MBR PCS";#N/A,#N/A,FALSE,"MBR CIG";#N/A,#N/A,FALSE,"MBR iDEN";#N/A,#N/A,FALSE,"MBR_FWT";#N/A,#N/A,FALSE,"MBR TOTAL"}</definedName>
    <definedName name="_xx" hidden="1">#REF!</definedName>
    <definedName name="a" hidden="1">{"MATALL",#N/A,FALSE,"Sheet4";"matclass",#N/A,FALSE,"Sheet4"}</definedName>
    <definedName name="aa" hidden="1">{#N/A,#N/A,FALSE,"Title Page";#N/A,#N/A,FALSE,"Conclusions";#N/A,#N/A,FALSE,"Assum.";#N/A,#N/A,FALSE,"Sun  DCF-WC-Dep";#N/A,#N/A,FALSE,"MarketValue";#N/A,#N/A,FALSE,"BalSheet";#N/A,#N/A,FALSE,"WACC";#N/A,#N/A,FALSE,"PC+ Info.";#N/A,#N/A,FALSE,"PC+Info_2"}</definedName>
    <definedName name="aaa" localSheetId="10"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hidden="1">{#N/A,#N/A,FALSE,"O&amp;M by processes";#N/A,#N/A,FALSE,"Elec Act vs Bud";#N/A,#N/A,FALSE,"G&amp;A";#N/A,#N/A,FALSE,"BGS";#N/A,#N/A,FALSE,"Res Cost"}</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 localSheetId="10"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hidden="1">{#N/A,#N/A,FALSE,"O&amp;M by processes";#N/A,#N/A,FALSE,"Elec Act vs Bud";#N/A,#N/A,FALSE,"G&amp;A";#N/A,#N/A,FALSE,"BGS";#N/A,#N/A,FALSE,"Res Cost"}</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hidden="1">{"Alles",#N/A,FALSE,"H A Ü"}</definedName>
    <definedName name="abcde" hidden="1">{#N/A,#N/A,FALSE,"Title Page";#N/A,#N/A,FALSE,"Conclusions";#N/A,#N/A,FALSE,"Assum.";#N/A,#N/A,FALSE,"Sun  DCF-WC-Dep";#N/A,#N/A,FALSE,"MarketValue";#N/A,#N/A,FALSE,"BalSheet";#N/A,#N/A,FALSE,"WACC";#N/A,#N/A,FALSE,"PC+ Info.";#N/A,#N/A,FALSE,"PC+Info_2"}</definedName>
    <definedName name="AC_255">'[1]AC 255'!$A$1:$M$32</definedName>
    <definedName name="Actual">[1]Assumptions!$E$52</definedName>
    <definedName name="ACwvu.earnings." hidden="1">#REF!</definedName>
    <definedName name="ACwvu.OP." hidden="1">#REF!</definedName>
    <definedName name="adas" hidden="1">{#N/A,#N/A,FALSE,"Balance SPS";#N/A,#N/A,FALSE,"P&amp;L_SPS"}</definedName>
    <definedName name="Addr1" hidden="1">#REF!</definedName>
    <definedName name="Addr2" hidden="1">#REF!</definedName>
    <definedName name="adjust" hidden="1">{#N/A,#N/A,FALSE,"Ratios - Classic";#N/A,#N/A,FALSE,"Share Proof - Classic";#N/A,#N/A,FALSE,"Per Share-Classic"}</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hidden="1">{#N/A,#N/A,FALSE,"Balance SPS";#N/A,#N/A,FALSE,"P&amp;L_SPS"}</definedName>
    <definedName name="aksdhf" hidden="1">{"Alles",#N/A,FALSE,"H A Ü"}</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ppliedFor" hidden="1">#REF!</definedName>
    <definedName name="AppliedForDate" hidden="1">#REF!</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axWorkpaper" hidden="1">" "</definedName>
    <definedName name="AS2VersionLS" hidden="1">300</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hidden="1">{#N/A,#N/A,FALSE,"Aging Summary";#N/A,#N/A,FALSE,"Ratio Analysis";#N/A,#N/A,FALSE,"Test 120 Day Accts";#N/A,#N/A,FALSE,"Tickmarks"}</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TXQAVersion" hidden="1">2</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'[1]MTHLY BAL.'!$A$6:$O$89</definedName>
    <definedName name="Balances" localSheetId="17">#REF!</definedName>
    <definedName name="Balances" localSheetId="15">#REF!</definedName>
    <definedName name="Balances">#REF!</definedName>
    <definedName name="Basis_Points">[1]Assumptions!$H$15</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0"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hidden="1">{#N/A,#N/A,FALSE,"O&amp;M by processes";#N/A,#N/A,FALSE,"Elec Act vs Bud";#N/A,#N/A,FALSE,"G&amp;A";#N/A,#N/A,FALSE,"BGS";#N/A,#N/A,FALSE,"Res Cost"}</definedName>
    <definedName name="bbbbbb" hidden="1">{#N/A,#N/A,FALSE,"Title Page";#N/A,#N/A,FALSE,"Conclusions";#N/A,#N/A,FALSE,"Assum.";#N/A,#N/A,FALSE,"Sun  DCF-WC-Dep";#N/A,#N/A,FALSE,"MarketValue";#N/A,#N/A,FALSE,"BalSheet";#N/A,#N/A,FALSE,"WACC";#N/A,#N/A,FALSE,"PC+ Info.";#N/A,#N/A,FALSE,"PC+Info_2"}</definedName>
    <definedName name="bbc" localSheetId="10"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_Del" hidden="1">15</definedName>
    <definedName name="BG_Ins" hidden="1">4</definedName>
    <definedName name="BG_Mod" hidden="1">6</definedName>
    <definedName name="BGS_Cost_Scenario">[1]Assumptions!$E$33</definedName>
    <definedName name="BGS_RFP">[1]Assumptions!$E$36</definedName>
    <definedName name="Blank" hidden="1">{"ARK_JURIS_FUEL",#N/A,FALSE,"Ark_Fuel&amp;Rev"}</definedName>
    <definedName name="BLE_Close_Date">[1]Assumptions!$E$28</definedName>
    <definedName name="BNE_MESSAGES_HIDDEN" hidden="1">#REF!</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0"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apitalized" hidden="1">{#N/A,#N/A,FALSE,"Title Page";#N/A,#N/A,FALSE,"Conclusions";#N/A,#N/A,FALSE,"Assum.";#N/A,#N/A,FALSE,"Sun  DCF-WC-Dep";#N/A,#N/A,FALSE,"MarketValue";#N/A,#N/A,FALSE,"BalSheet";#N/A,#N/A,FALSE,"WACC";#N/A,#N/A,FALSE,"PC+ Info.";#N/A,#N/A,FALSE,"PC+Info_2"}</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0"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hidden="1">{#N/A,#N/A,FALSE,"O&amp;M by processes";#N/A,#N/A,FALSE,"Elec Act vs Bud";#N/A,#N/A,FALSE,"G&amp;A";#N/A,#N/A,FALSE,"BGS";#N/A,#N/A,FALSE,"Res Cost"}</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P_Amortization">'[1]JFJ-4 CEP Rate'!$A$28:$F$78</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7">#REF!</definedName>
    <definedName name="CH_COS" localSheetId="1">#REF!</definedName>
    <definedName name="CH_COS" localSheetId="15">#REF!</definedName>
    <definedName name="CH_COS">#REF!</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GEN">'[1]October Tariff kwh'!$A$1:$H$83</definedName>
    <definedName name="Columns" localSheetId="17">#REF!</definedName>
    <definedName name="Columns" localSheetId="15">#REF!</definedName>
    <definedName name="Columns">#REF!</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Inc">[1]Inputs!$B$4</definedName>
    <definedName name="Consolid" localSheetId="10"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hidden="1">#REF!</definedName>
    <definedName name="cost" hidden="1">{#N/A,#N/A,FALSE,"By Month";#N/A,#N/A,FALSE,"Rev By Month";"Print1",#N/A,FALSE,"NA Parts Reporting";"Print2",#N/A,FALSE,"NA Parts Reporting";"Print3",#N/A,FALSE,"NA Parts Reporting"}</definedName>
    <definedName name="cost_of_good_sold">'[1]Input Page'!$E$7</definedName>
    <definedName name="cost2001">[1]Input!$M$23</definedName>
    <definedName name="CURR_PER">'[2]Control Report'!$C$3</definedName>
    <definedName name="Current_Month_End">'[3]Review Check'!$E$2</definedName>
    <definedName name="Current_Period_End">'[3]Review Check'!$C$2</definedName>
    <definedName name="Current_sum" localSheetId="17">#REF!</definedName>
    <definedName name="Current_sum" localSheetId="15">#REF!</definedName>
    <definedName name="Current_sum">#REF!</definedName>
    <definedName name="Current_Year_End">'[3]Review Check'!$C$3</definedName>
    <definedName name="CUT">[1]AFUDC_CCRF!$A$1:$N$303</definedName>
    <definedName name="CUTINS">[1]AFUDC_CCRF!$A$73:$N$160</definedName>
    <definedName name="da" localSheetId="10"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[4]Permanent!$A$9:$O$20</definedName>
    <definedName name="Date" hidden="1">"b1"</definedName>
    <definedName name="ddd" hidden="1">{"CUR",#N/A,FALSE,"Summary";"PE",#N/A,FALSE,"Accounting";"EXPE",#N/A,FALSE,"Accounting";"EXPAS",#N/A,FALSE,"Accounting";"EXPL",#N/A,FALSE,"Accounting"}</definedName>
    <definedName name="DefaultCopy" localSheetId="17">#REF!</definedName>
    <definedName name="DefaultCopy" localSheetId="2">#REF!</definedName>
    <definedName name="DefaultCopy" localSheetId="15">#REF!</definedName>
    <definedName name="DefaultCopy">#REF!</definedName>
    <definedName name="DefaultPaste" localSheetId="17">#REF!</definedName>
    <definedName name="DefaultPaste" localSheetId="15">#REF!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10" hidden="1">{#N/A,#N/A,FALSE,"CURRENT"}</definedName>
    <definedName name="delete" localSheetId="15" hidden="1">{#N/A,#N/A,FALSE,"CURRENT"}</definedName>
    <definedName name="delete" hidden="1">{#N/A,#N/A,FALSE,"CURRENT"}</definedName>
    <definedName name="detail" localSheetId="17">#REF!</definedName>
    <definedName name="detail" localSheetId="15">#REF!</definedName>
    <definedName name="detail">#REF!</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dsfds" hidden="1">#REF!</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hidden="1">{"Kontenverteilung",#N/A,FALSE,"H A Ü"}</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0"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hidden="1">{#N/A,#N/A,FALSE,"O&amp;M by processes";#N/A,#N/A,FALSE,"Elec Act vs Bud";#N/A,#N/A,FALSE,"G&amp;A";#N/A,#N/A,FALSE,"BGS";#N/A,#N/A,FALSE,"Res Cost"}</definedName>
    <definedName name="ef" hidden="1">{#N/A,#N/A,FALSE,"Aging Summary";#N/A,#N/A,FALSE,"Ratio Analysis";#N/A,#N/A,FALSE,"Test 120 Day Accts";#N/A,#N/A,FALSE,"Tickmarks"}</definedName>
    <definedName name="EIN" hidden="1">#REF!</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OA">[1]Inputs!$B$3</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V__LASTREFTIME__" hidden="1">39826.8319444444</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aith" hidden="1">{#N/A,#N/A,FALSE,"Aging Summary";#N/A,#N/A,FALSE,"Ratio Analysis";#N/A,#N/A,FALSE,"Test 120 Day Accts";#N/A,#N/A,FALSE,"Tickmarks"}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d_inc_tax">'[1]Input Page'!$E$9</definedName>
    <definedName name="Federal_Rate">'[3]Summary of Tax Rates'!$C$9</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hidden="1">{#N/A,#N/A,FALSE,"Ratios-Marathon";#N/A,#N/A,FALSE,"Share Proof-Marathon";#N/A,#N/A,FALSE,"Per Share-Marathon"}</definedName>
    <definedName name="fhk" hidden="1">{#N/A,#N/A,FALSE,"P&amp;L";#N/A,#N/A,FALSE,"DL Worksheet";#N/A,#N/A,FALSE,"Ind. Cell";#N/A,#N/A,FALSE,"Capital";#N/A,#N/A,FALSE,"Tooling";#N/A,#N/A,FALSE,"LRP"}</definedName>
    <definedName name="final" hidden="1">{#N/A,#N/A,FALSE,"Outlook for Month ";#N/A,#N/A,FALSE,"Risk for Month ";#N/A,#N/A,FALSE,"Upside for Month"}</definedName>
    <definedName name="Ford.Verkf" hidden="1">{"Kontenverteilung",#N/A,FALSE,"H A Ü"}</definedName>
    <definedName name="ForderungenVerk" hidden="1">{"Alles",#N/A,FALSE,"H A Ü"}</definedName>
    <definedName name="ForeignProvince" hidden="1">#REF!</definedName>
    <definedName name="Form" hidden="1">#REF!</definedName>
    <definedName name="Fossil_BGS">[1]Assumptions!$E$58</definedName>
    <definedName name="Fossil_Secur_Date">[1]Assumptions!$E$22</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enLedger">[1]PEPCO!$A$9:$H$774</definedName>
    <definedName name="gg" hidden="1">{"Saldenliste",#N/A,FALSE,"H A Ü"}</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P_B2Tax">#REF!</definedName>
    <definedName name="GHP_B2TAX_Forecast">#REF!</definedName>
    <definedName name="GHP_Combined_Rate">'[3]Summary of Tax Rates'!$C$11</definedName>
    <definedName name="GHP_ETR_Net_TEO">'[3]Summary of Tax Rates'!$C$14</definedName>
    <definedName name="GHP_FBOS">'[3]Summary of Tax Rates'!$C$21</definedName>
    <definedName name="GHP_Federal_FBOS">'[3]Summary of Tax Rates'!$C$12</definedName>
    <definedName name="GHP_Gross_Up">'[3]Summary of Tax Rates'!$C$19</definedName>
    <definedName name="GHP_PTBI">#REF!</definedName>
    <definedName name="GHP_SBOF">'[3]Summary of Tax Rates'!$C$22</definedName>
    <definedName name="GHP_State_Rate">'[3]Summary of Tax Rates'!$C$10</definedName>
    <definedName name="GHP_Trial_Balance">#REF!</definedName>
    <definedName name="ghr" hidden="1">{#N/A,#N/A,FALSE,"Ratios - Medallion Class A";#N/A,#N/A,FALSE,"Ratios - Medallion Class B";#N/A,#N/A,FALSE,"Share Proof - Medallion A";#N/A,#N/A,FALSE,"Share Proof - Medallion B";#N/A,#N/A,FALSE,"Per Share-Medallion A";#N/A,#N/A,FALSE,"Per Share-Medallion B"}</definedName>
    <definedName name="gita" localSheetId="10"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hidden="1">{#N/A,#N/A,FALSE,"O&amp;M by processes";#N/A,#N/A,FALSE,"Elec Act vs Bud";#N/A,#N/A,FALSE,"G&amp;A";#N/A,#N/A,FALSE,"BGS";#N/A,#N/A,FALSE,"Res Cost"}</definedName>
    <definedName name="GLH_B2Tax">'[3]GLH Provision'!$C$21:$AB$75</definedName>
    <definedName name="GLH_B2Tax_Forecast">'[3]GLH Provision'!$C$358:$AB$412</definedName>
    <definedName name="GLH_Combined_Rate">'[3]Summary of Tax Rates'!$E$11</definedName>
    <definedName name="GLH_ETR_Net_TEO">'[3]Summary of Tax Rates'!$E$14</definedName>
    <definedName name="GLH_FBOS">'[3]Summary of Tax Rates'!$E$21</definedName>
    <definedName name="GLH_Federal_FBOS">'[3]Summary of Tax Rates'!$E$12</definedName>
    <definedName name="GLH_Gross_Up">'[3]Summary of Tax Rates'!$E$19</definedName>
    <definedName name="GLH_SBOF">'[3]Summary of Tax Rates'!$E$22</definedName>
    <definedName name="GLH_State_Rate">'[3]Summary of Tax Rates'!$E$10</definedName>
    <definedName name="GLW_B2Tax_Forecast">'[3]GLW Provision'!$C$358:$AB$412</definedName>
    <definedName name="GLW_Combined_Rate">'[3]Summary of Tax Rates'!$D$11</definedName>
    <definedName name="GLW_FBOS">'[3]Summary of Tax Rates'!$D$21</definedName>
    <definedName name="GLW_Federal_FBOS">'[3]Summary of Tax Rates'!$D$12</definedName>
    <definedName name="GLW_Gross_Up">'[3]Summary of Tax Rates'!$D$19</definedName>
    <definedName name="GLW_SBOF">'[3]Summary of Tax Rates'!$D$22</definedName>
    <definedName name="GLW_State_Rate">'[3]Summary of Tax Rates'!$D$10</definedName>
    <definedName name="gsdagas" hidden="1">{#N/A,#N/A,FALSE,"BS_CORPORATE"}</definedName>
    <definedName name="haha" hidden="1">{"OMPA_FAC",#N/A,FALSE,"OMPA FAC"}</definedName>
    <definedName name="hallo" hidden="1">{"Kontenverteilung",#N/A,FALSE,"H A Ü"}</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hidden="1">{#N/A,#N/A,FALSE,"P&amp;L";#N/A,#N/A,FALSE,"DL Worksheet";#N/A,#N/A,FALSE,"Ind. Cell";#N/A,#N/A,FALSE,"Capital";#N/A,#N/A,FALSE,"Tooling";#N/A,#N/A,FALSE,"LRP"}</definedName>
    <definedName name="inflList" hidden="1">"10000000000000000000000000000000000000000000000000000000000000000000000000000000000000000000000000000000000000000000000000000000000000000000000000000000000000000000000000000000000000000000000000000000"</definedName>
    <definedName name="intang_afudc910">[1]criteria!$A$5:$B$6</definedName>
    <definedName name="Interco0604" hidden="1">{#N/A,#N/A,FALSE,"Aging Summary";#N/A,#N/A,FALSE,"Ratio Analysis";#N/A,#N/A,FALSE,"Test 120 Day Accts";#N/A,#N/A,FALSE,"Tickmarks"}</definedName>
    <definedName name="INTQ">'[1]IR COMP'!$B$39</definedName>
    <definedName name="INTY">'[1]IR COMP'!$C$39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RSCenter" hidden="1">#REF!</definedName>
    <definedName name="itc" localSheetId="17">#REF!</definedName>
    <definedName name="itc" localSheetId="15">#REF!</definedName>
    <definedName name="itc">#REF!</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i" hidden="1">{"'Highlights'!$A$1:$M$123"}</definedName>
    <definedName name="K2_WBEVMODE" hidden="1">-1</definedName>
    <definedName name="Kasse" hidden="1">{"Kontenverteilung",#N/A,FALSE,"H A Ü"}</definedName>
    <definedName name="KeyCon_Close_Date">[1]Assumptions!$E$29</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7">#REF!</definedName>
    <definedName name="kk" localSheetId="15">#REF!</definedName>
    <definedName name="kk">#REF!</definedName>
    <definedName name="KPMGContact" hidden="1">#REF!</definedName>
    <definedName name="l">[1]Lists!$A$2:$A$4</definedName>
    <definedName name="Labor">'[1]Labor ratio'!$A$2:$K$14</definedName>
    <definedName name="Library" hidden="1">"a1"</definedName>
    <definedName name="limcount" hidden="1">1</definedName>
    <definedName name="ListOffset" hidden="1">1</definedName>
    <definedName name="lk" hidden="1">{#N/A,#N/A,FALSE,"Summary";#N/A,#N/A,FALSE,"Adj to Option C";#N/A,#N/A,FALSE,"Dividend Analysis";#N/A,#N/A,FALSE,"Reserve Analysis";#N/A,#N/A,FALSE,"Depreciation";#N/A,#N/A,FALSE,"Other Tax Adj"}</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nageCo_B2Tax_Forecast">'[3]ManageCo Provision'!$C$237:$AN$285</definedName>
    <definedName name="ManageCo_FBOS">'[3]Summary of Tax Rates'!$F$21</definedName>
    <definedName name="ManageCo_Federal_FBOS">'[3]Summary of Tax Rates'!$F$12</definedName>
    <definedName name="ManageCo_Gross_Up">'[3]Summary of Tax Rates'!$F$19</definedName>
    <definedName name="ManageCo_SBOF">'[3]Summary of Tax Rates'!$F$22</definedName>
    <definedName name="ManageCo_State_Rate">'[3]Summary of Tax Rates'!$F$25</definedName>
    <definedName name="ManageCo_State_Rate_No_Bonus">'[3]Summary of Tax Rates'!$F$26</definedName>
    <definedName name="ManageCo_TEO">'[3]Summary of Tax Rates'!$F$17</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7">[5]Current!#REF!</definedName>
    <definedName name="Mgmt" localSheetId="2">[5]Current!#REF!</definedName>
    <definedName name="Mgmt" localSheetId="15">[5]Current!#REF!</definedName>
    <definedName name="Mgmt">[5]Current!#REF!</definedName>
    <definedName name="million">1000000</definedName>
    <definedName name="MonitorCol">1</definedName>
    <definedName name="MonitorRow">1</definedName>
    <definedName name="month">[1]RPT80MAR!$A$1:$D$77</definedName>
    <definedName name="months">[4]Permanent!$A$24:$A$35</definedName>
    <definedName name="MTC_Amortization">'[1]JFJ-3 MTC Rate'!$A$32:$F$82</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me1" hidden="1">#REF!</definedName>
    <definedName name="Name2" hidden="1">#REF!</definedName>
    <definedName name="new" localSheetId="17">#REF!</definedName>
    <definedName name="new" localSheetId="2">#REF!</definedName>
    <definedName name="new" localSheetId="15">#REF!</definedName>
    <definedName name="new">#REF!</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on_cap_int">'[1]Input Page'!$E$11</definedName>
    <definedName name="NSP_COS" localSheetId="17">#REF!</definedName>
    <definedName name="NSP_COS" localSheetId="1">#REF!</definedName>
    <definedName name="NSP_COS" localSheetId="15">#REF!</definedName>
    <definedName name="NSP_COS">#REF!</definedName>
    <definedName name="Nuclear_Secur_Date">[1]Assumptions!$E$21</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NvsValTbl.DEPTID">"DEPT_TBL"</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hidden="1">{"Earnings",#N/A,FALSE,"Earnings";"BalanceSheet",#N/A,FALSE,"BalanceSheet";"ChangeinCash",#N/A,FALSE,"CashFlow";"IR Production Sum",#N/A,FALSE,"E&amp;P Summary";"IR EPCost Sum",#N/A,FALSE,"E&amp;P Summary"}</definedName>
    <definedName name="PCount" hidden="1">#REF!</definedName>
    <definedName name="pctHW">[1]Input!$M$24</definedName>
    <definedName name="pctSWExp">[1]Input!$M$26</definedName>
    <definedName name="pctTraining">[1]Input!$M$25</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post_fossil">[1]Assumptions!$E$59</definedName>
    <definedName name="PPA">[1]Assumptions!$E$38</definedName>
    <definedName name="PreTaxDebt">'[1]MTC Return'!$F$18</definedName>
    <definedName name="_xlnm.Print_Area" localSheetId="16">'10-Dep Rates'!$A$1:$C$40</definedName>
    <definedName name="_xlnm.Print_Area" localSheetId="18">'11a-Wholesale Distribution '!$A$1:$O$211</definedName>
    <definedName name="_xlnm.Print_Area" localSheetId="17">'11-Wholesale Distribution'!$A$1:$M$99</definedName>
    <definedName name="_xlnm.Print_Area" localSheetId="1">'1-Project Rev Req'!$A$1:$S$108</definedName>
    <definedName name="_xlnm.Print_Area" localSheetId="2">'2-Incentive ROE'!$A$1:$K$49</definedName>
    <definedName name="_xlnm.Print_Area" localSheetId="3">'3-Project True-up'!$A$1:$K$64</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True-up'!$A$1:$J$36</definedName>
    <definedName name="_xlnm.Print_Area" localSheetId="10">'4f-ADIT True-up Proration'!$A$1:$AF$61</definedName>
    <definedName name="_xlnm.Print_Area" localSheetId="11">'5-P3 Support'!$A$1:$M$93</definedName>
    <definedName name="_xlnm.Print_Area" localSheetId="13">'7 - PBOP'!$A$1:$I$21</definedName>
    <definedName name="_xlnm.Print_Area" localSheetId="14">'8-Construction Loan'!$A$1:$J$104</definedName>
    <definedName name="_xlnm.Print_Area" localSheetId="0">'Attachment H'!$A$1:$K$279</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Print_Titles_MI">'[1]DACTIVE$'!$A$1:$IV$4,'[1]DACTIVE$'!$A$1:$A$65536</definedName>
    <definedName name="Print1" localSheetId="17">#REF!</definedName>
    <definedName name="Print1" localSheetId="1">#REF!</definedName>
    <definedName name="Print1" localSheetId="2">#REF!</definedName>
    <definedName name="Print1" localSheetId="15">#REF!</definedName>
    <definedName name="Print1">#REF!</definedName>
    <definedName name="Print3" localSheetId="17">#REF!</definedName>
    <definedName name="Print3" localSheetId="1">#REF!</definedName>
    <definedName name="Print3" localSheetId="15">#REF!</definedName>
    <definedName name="Print3">#REF!</definedName>
    <definedName name="Print4" localSheetId="17">#REF!</definedName>
    <definedName name="Print4" localSheetId="1">#REF!</definedName>
    <definedName name="Print4" localSheetId="15">#REF!</definedName>
    <definedName name="Print4">#REF!</definedName>
    <definedName name="Print5" localSheetId="17">#REF!</definedName>
    <definedName name="Print5" localSheetId="15">#REF!</definedName>
    <definedName name="Print5">#REF!</definedName>
    <definedName name="PrintareaDec">'[1]kWh-Mcf'!$E$97,'[1]kWh-Mcf'!$A$81:$E$118,'[1]kWh-Mcf'!$AM$86:$AO$118</definedName>
    <definedName name="Prior_Year_End">'[3]Review Check'!$C$1</definedName>
    <definedName name="ProjIDList" localSheetId="17">#REF!</definedName>
    <definedName name="ProjIDList" localSheetId="15">#REF!</definedName>
    <definedName name="ProjIDList">#REF!</definedName>
    <definedName name="Provision" hidden="1">#REF!</definedName>
    <definedName name="PSCo_COS" localSheetId="17">#REF!</definedName>
    <definedName name="PSCo_COS" localSheetId="15">#REF!</definedName>
    <definedName name="PSCo_COS">#REF!</definedName>
    <definedName name="q" hidden="1">{"MATALL",#N/A,FALSE,"Sheet4";"matclass",#N/A,FALSE,"Sheet4"}</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_MTEP06_App_AB_Facility" localSheetId="17">#REF!</definedName>
    <definedName name="q_MTEP06_App_AB_Facility" localSheetId="15">#REF!</definedName>
    <definedName name="q_MTEP06_App_AB_Facility">#REF!</definedName>
    <definedName name="q_MTEP06_App_AB_Projects" localSheetId="17">#REF!</definedName>
    <definedName name="q_MTEP06_App_AB_Projects" localSheetId="15">#REF!</definedName>
    <definedName name="q_MTEP06_App_AB_Projects">#REF!</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uery">'[1]Boston Edison'!$A$1:$M$3434</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ad" hidden="1">{#N/A,#N/A,FALSE,"Hastax"}</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portGroup" hidden="1">0</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hidden="1">{#N/A,#N/A,FALSE,"Ratios - Classic";#N/A,#N/A,FALSE,"Share Proof - Classic";#N/A,#N/A,FALSE,"Per Share-Classic"}</definedName>
    <definedName name="revreq" localSheetId="17">#REF!</definedName>
    <definedName name="revreq" localSheetId="15">#REF!</definedName>
    <definedName name="revreq">#REF!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unding" hidden="1">[6]PshipInfo!$C$24</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0"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hidden="1">{#N/A,#N/A,FALSE,"O&amp;M by processes";#N/A,#N/A,FALSE,"Elec Act vs Bud";#N/A,#N/A,FALSE,"G&amp;A";#N/A,#N/A,FALSE,"BGS";#N/A,#N/A,FALSE,"Res Cost"}</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m" hidden="1">{#N/A,#N/A,FALSE,"Ratios - Classic";#N/A,#N/A,FALSE,"Share Proof - Classic";#N/A,#N/A,FALSE,"Per Share-Classic"}</definedName>
    <definedName name="SAPBEXrevision" hidden="1">1</definedName>
    <definedName name="SAPBEXsysID" hidden="1">"BWP"</definedName>
    <definedName name="SAPBEXwbID" hidden="1">"3KKFFT2OE3M09AA9DMJ9WPQ2U"</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hidden="1">{#N/A,#N/A,FALSE,"Aging Summary";#N/A,#N/A,FALSE,"Ratio Analysis";#N/A,#N/A,FALSE,"Test 120 Day Accts";#N/A,#N/A,FALSE,"Tickmarks"}</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0"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4" hidden="1">'8-Construction Loan'!$D$50</definedName>
    <definedName name="solver_adj" hidden="1">#REF!</definedName>
    <definedName name="solver_cvg" localSheetId="14" hidden="1">0.0001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hidden="1">#REF!</definedName>
    <definedName name="solver_lhs2" hidden="1">#REF!</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0</definedName>
    <definedName name="solver_num" hidden="1">2</definedName>
    <definedName name="solver_nwt" localSheetId="14" hidden="1">1</definedName>
    <definedName name="solver_nwt" hidden="1">1</definedName>
    <definedName name="solver_opt" localSheetId="14" hidden="1">'8-Construction Loan'!$F$12</definedName>
    <definedName name="solver_opt" hidden="1">#REF!</definedName>
    <definedName name="solver_pre" localSheetId="14" hidden="1">0.000001</definedName>
    <definedName name="solver_pre" hidden="1">0.000001</definedName>
    <definedName name="solver_rbv" localSheetId="14" hidden="1">1</definedName>
    <definedName name="solver_rel1" hidden="1">1</definedName>
    <definedName name="solver_rel2" hidden="1">3</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hidden="1">0</definedName>
    <definedName name="solver_sho" localSheetId="14"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hidden="1">3</definedName>
    <definedName name="solver_val" localSheetId="14" hidden="1">200000000</definedName>
    <definedName name="solver_val" hidden="1">10.9</definedName>
    <definedName name="solver_ver" localSheetId="14" hidden="1">3</definedName>
    <definedName name="SPS_COS" localSheetId="17">#REF!</definedName>
    <definedName name="SPS_COS" localSheetId="2">#REF!</definedName>
    <definedName name="SPS_COS" localSheetId="15">#REF!</definedName>
    <definedName name="SPS_COS">#REF!</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'[1]State List'!$A$2:$A$53</definedName>
    <definedName name="statsrevised" localSheetId="10"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hidden="1">{#N/A,#N/A,FALSE,"O&amp;M by processes";#N/A,#N/A,FALSE,"Elec Act vs Bud";#N/A,#N/A,FALSE,"G&amp;A";#N/A,#N/A,FALSE,"BGS";#N/A,#N/A,FALSE,"Res Cost"}</definedName>
    <definedName name="stck" hidden="1">{"Saldenliste",#N/A,FALSE,"H A Ü"}</definedName>
    <definedName name="STILL1040">'[1]Addt''l 1040 Exclusions'!$A$5:$U$44</definedName>
    <definedName name="stuff" hidden="1">#REF!</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0"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Swvu.earnings." hidden="1">#REF!</definedName>
    <definedName name="Swvu.OP." hidden="1">#REF!</definedName>
    <definedName name="TableName">"Dummy"</definedName>
    <definedName name="Tacx_Factor">[1]Assumptions!$E$52</definedName>
    <definedName name="take" hidden="1">{#N/A,#N/A,FALSE,"Input Data Sheet";#N/A,#N/A,FALSE,"Turnover";#N/A,#N/A,FALSE,"NSAR";#N/A,#N/A,FALSE,"Ratios-HUB";#N/A,#N/A,FALSE,"Capital Roll - Hub"}</definedName>
    <definedName name="tax_base_on_inc">'[1]Input Page'!$E$10</definedName>
    <definedName name="tax_basis">'[1]Input Page'!$E$13</definedName>
    <definedName name="taxcalc" localSheetId="17">#REF!</definedName>
    <definedName name="taxcalc" localSheetId="15">#REF!</definedName>
    <definedName name="taxcalc">#REF!</definedName>
    <definedName name="TaxTV">10%</definedName>
    <definedName name="TaxXL">5%</definedName>
    <definedName name="teagdz" hidden="1">{"Factsheet",#N/A,FALSE,"Fact";"Earnings",#N/A,FALSE,"Earnings";"BalanceSheet",#N/A,FALSE,"BalanceSheet";"Change in Cash",#N/A,FALSE,"CashFlow"}</definedName>
    <definedName name="Tel" hidden="1">#REF!</definedName>
    <definedName name="TEO">'[7]GLH Provision'!$E$2</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0"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 localSheetId="17">#REF!</definedName>
    <definedName name="Tota_Deferred" localSheetId="15">#REF!</definedName>
    <definedName name="Tota_Deferred">#REF!</definedName>
    <definedName name="treeList" hidden="1">"10000000000000000000000000000000000000000000000000000000000000000000000000000000000000000000000000000000000000000000000000000000000000000000000000000000000000000000000000000000000000000000000000000000"</definedName>
    <definedName name="tryertyrty" hidden="1">{#N/A,#N/A,FALSE,"Income Statement";#N/A,#N/A,FALSE,"Quarter IS";#N/A,#N/A,FALSE,"US E&amp;P";#N/A,#N/A,FALSE,"International E&amp;P";#N/A,#N/A,FALSE,"Chemicals"}</definedName>
    <definedName name="tt" hidden="1">{"Kontenverteilung",#N/A,FALSE,"H A Ü"}</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DFCount" hidden="1">#REF!</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nf.Leist" hidden="1">{"Alles",#N/A,FALSE,"H A Ü"}</definedName>
    <definedName name="Unfert.Leist" hidden="1">{"Saldenliste",#N/A,FALSE,"H A Ü"}</definedName>
    <definedName name="uwe" hidden="1">{"Alles",#N/A,FALSE,"H A Ü"}</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alDate">[1]Inputs!$B$1</definedName>
    <definedName name="Values_Entered">IF(Loan_Amount*Interest_Rate*Loan_Years*Loan_Start&gt;0,1,0)</definedName>
    <definedName name="Version" hidden="1">"a1"</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hidden="1">{"MATALL",#N/A,FALSE,"Sheet4";"matclass",#N/A,FALSE,"Sheet4"}</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CCGCR2">[1]Rates!$B$96:$C$190</definedName>
    <definedName name="we" hidden="1">{#N/A,#N/A,FALSE,"1997 WW (Short)";#N/A,#N/A,FALSE,"1997 RF Mfg";#N/A,#N/A,FALSE,"Ancillary-CSM";#N/A,#N/A,FALSE,"1997 Service"}</definedName>
    <definedName name="weeks">'[2]Receivables Week'!$I$3:$K$30</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0"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0"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0"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0"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hidden="1">{#N/A,#N/A,FALSE,"O&amp;M by processes";#N/A,#N/A,FALSE,"Elec Act vs Bud";#N/A,#N/A,FALSE,"G&amp;A";#N/A,#N/A,FALSE,"BGS";#N/A,#N/A,FALSE,"Res Cost"}</definedName>
    <definedName name="WinZipCell" hidden="1">#REF!</definedName>
    <definedName name="WO_Description">'[1]WO Info'!$A$1:$F$17972</definedName>
    <definedName name="WORKCAPa" hidden="1">{"WCCWCLL",#N/A,FALSE,"Sheet3";"PP",#N/A,FALSE,"Sheet3";"MAT1",#N/A,FALSE,"Sheet3";"MAT2",#N/A,FALSE,"Sheet3"}</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hidden="1">{#N/A,#N/A,FALSE,"Aging Summary";#N/A,#N/A,FALSE,"Ratio Analysis";#N/A,#N/A,FALSE,"Test 120 Day Accts";#N/A,#N/A,FALSE,"Tickmarks"}</definedName>
    <definedName name="wrn" localSheetId="10"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hidden="1">{"DAB-1, Sch 21, Pg 1",#N/A,FALSE,"ELEC ENERGY";"DAB-1, Sch 21, Pg 2",#N/A,FALSE,"RTPDenverWater";"DAB-1, Sch 21, Pg 3",#N/A,FALSE,"INCREMENTAL - WHOLESALE"}</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0" hidden="1">{#N/A,#N/A,FALSE,"CURRENT"}</definedName>
    <definedName name="wrn.722." localSheetId="15" hidden="1">{#N/A,#N/A,FALSE,"CURRENT"}</definedName>
    <definedName name="wrn.722." hidden="1">{#N/A,#N/A,FALSE,"CURRENT"}</definedName>
    <definedName name="wrn.Accounting._.May." hidden="1">{#N/A,#N/A,TRUE,"Sum(2)";#N/A,#N/A,TRUE,"bs";#N/A,#N/A,TRUE,"pnl";#N/A,#N/A,TRUE,"BY DEPT 9605";#N/A,#N/A,TRUE,"BY S/A 9605"}</definedName>
    <definedName name="wrn.Aging._.and._.Trend._.Analysis." hidden="1">{#N/A,#N/A,FALSE,"Aging Summary";#N/A,#N/A,FALSE,"Ratio Analysis";#N/A,#N/A,FALSE,"Test 120 Day Accts";#N/A,#N/A,FALSE,"Tickmarks"}</definedName>
    <definedName name="wrn.AGT." localSheetId="10" hidden="1">{"AGT",#N/A,FALSE,"Revenue"}</definedName>
    <definedName name="wrn.AGT." localSheetId="15"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es." hidden="1">{"Alles",#N/A,FALSE,"H A Ü"}</definedName>
    <definedName name="wrn.ancg." hidden="1">{"summary",#N/A,FALSE,"summary";"liabsumm",#N/A,FALSE,"liabsumm";"gl",#N/A,FALSE,"gl";"gl2",#N/A,FALSE,"gl2";"exp",#N/A,FALSE,"exp";"ancg_amort",#N/A,FALSE,"ancg_amort";"recon",#N/A,FALSE,"recon"}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0"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lcs." hidden="1">{"calcs1",#N/A,FALSE,"Calcs";"calcs2",#N/A,FALSE,"Calcs"}</definedName>
    <definedName name="wrn.CBd750" hidden="1">{"CBd750-IP(FAS87)",#N/A,FALSE,"CBd750";"CBd750-Dyn(FAS87)",#N/A,FALSE,"CBd750";"CBd750-IP(G/L)",#N/A,FALSE,"CBd750";"CBd750-Dyn(G/L)",#N/A,FALSE,"CBd750";"CBd750-Both(Amort)",#N/A,FALSE,"CBd750"}</definedName>
    <definedName name="wrn.ChartSet." localSheetId="10"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NOCO._.FAC." hidden="1">{"CONOCO_FAC",#N/A,FALSE,"Conoco FAC"}</definedName>
    <definedName name="wrn.Cover_financials." hidden="1">{"Factsheet",#N/A,FALSE,"Fact";"Earnings",#N/A,FALSE,"Earnings";"BalanceSheet",#N/A,FALSE,"BalanceSheet";"Change in Cash",#N/A,FALSE,"CashFlow"}</definedName>
    <definedName name="wrn.cwip." hidden="1">{"CWIP2",#N/A,FALSE,"CWIP";"CWIP3",#N/A,FALSE,"CWIP"}</definedName>
    <definedName name="wrn.cwipa" hidden="1">{"CWIP2",#N/A,FALSE,"CWIP";"CWIP3",#N/A,FALSE,"CWIP"}</definedName>
    <definedName name="wrn.Data._.dump." localSheetId="10" hidden="1">{"Input Data",#N/A,FALSE,"Input";"Income and Cash Flow",#N/A,FALSE,"Calculations"}</definedName>
    <definedName name="wrn.Data._.dump." localSheetId="15" hidden="1">{"Input Data",#N/A,FALSE,"Input";"Income and Cash Flow",#N/A,FALSE,"Calculations"}</definedName>
    <definedName name="wrn.Data._.dump." hidden="1">{"Input Data",#N/A,FALSE,"Input";"Income and Cash Flow",#N/A,FALSE,"Calculations"}</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hidden="1">{"Earnings_Summary",#N/A,FALSE,"Earnings Model";"Earnings EP Detail",#N/A,FALSE,"Earnings Model";"Earnings RM Detail",#N/A,FALSE,"Earnings Model"}</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hidden="1">{#N/A,#N/A,FALSE,"Summary";#N/A,#N/A,FALSE,"Adj to Option C";#N/A,#N/A,FALSE,"Dividend Analysis";#N/A,#N/A,FALSE,"Reserve Analysis";#N/A,#N/A,FALSE,"Depreciation";#N/A,#N/A,FALSE,"Other Tax Adj"}</definedName>
    <definedName name="wrn.ET._.Schedules." hidden="1">{"ET Schedule 7",#N/A,FALSE,"Plant Adjustments";"ET Schedule 9",#N/A,FALSE,"SterlingStip";"ET Schedule 10",#N/A,FALSE,"Plant Adjustments";"ET Schedule 13",#N/A,FALSE,"Plant Adjustments";"ET Schedule 16",#N/A,FALSE,"DeferredTaxes"}</definedName>
    <definedName name="wrn.FAC._.SUMMARY." hidden="1">{"FAC_SUMMARY",#N/A,FALSE,"Summaries"}</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AS132." hidden="1">{"Disc_part1",#N/A,FALSE,"FAS132";"Disc_part2",#N/A,FALSE,"FAS132"}</definedName>
    <definedName name="wrn.Fas132.2" hidden="1">{"Disc_part1",#N/A,FALSE,"FAS132";"Disc_part2",#N/A,FALSE,"FAS132"}</definedName>
    <definedName name="wrn.FERC._.FAC._.CALC." hidden="1">{"FERC_FAC",#N/A,FALSE,"FERC_Fuel&amp;Rev"}</definedName>
    <definedName name="wrn.FERC._.WEATHER._.and._.JURIS._.FUEL." hidden="1">{"FERC_WEATHER_AND_FUEL",#N/A,FALSE,"FERC_Fuel&amp;Rev"}</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C._.Detail." hidden="1">{#N/A,#N/A,TRUE,"FOC_Product_Assumptions"}</definedName>
    <definedName name="wrn.For._.filling._.out._.assessments." localSheetId="10" hidden="1">{"Print Empty Template",#N/A,FALSE,"Input"}</definedName>
    <definedName name="wrn.For._.filling._.out._.assessments." localSheetId="15"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hidden="1">{"Assumptions",#N/A,FALSE,"Sheet1";"Main Report",#N/A,FALSE,"Sheet1";"Results",#N/A,FALSE,"Sheet1";"Advances",#N/A,FALSE,"Sheet1"}</definedName>
    <definedName name="wrn.go." hidden="1">{"wp_h4.2",#N/A,FALSE,"WP_H4.2";"wp_h4.3",#N/A,FALSE,"WP_H4.3"}</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hidden="1">{#N/A,#N/A,FALSE,"Hastax"}</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hidden="1">{"Input1",#N/A,FALSE,"Input";"Input2",#N/A,FALSE,"Input";"Input3",#N/A,FALSE,"Input"}</definedName>
    <definedName name="wrn.IPO._.Valuation." hidden="1">{"assumptions",#N/A,FALSE,"Scenario 1";"valuation",#N/A,FALSE,"Scenario 1"}</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hidden="1">{#N/A,#N/A,TRUE,"Acquirer_Cases_Input";#N/A,#N/A,TRUE,"Acquirer_Input";#N/A,#N/A,TRUE,"Acquirer"}</definedName>
    <definedName name="wrn.Kontenverteilung." hidden="1">{"Kontenverteilung",#N/A,FALSE,"H A Ü"}</definedName>
    <definedName name="wrn.LBO._.Summary." hidden="1">{"LBO Summary",#N/A,FALSE,"Summary"}</definedName>
    <definedName name="wrn.Long._.Report." hidden="1">{#N/A,#N/A,TRUE,"Cover";#N/A,#N/A,TRUE,"Header (ld)";#N/A,#N/A,TRUE,"T&amp;O By Region";#N/A,#N/A,TRUE,"Region Charts ";#N/A,#N/A,TRUE,"T&amp;O London";#N/A,#N/A,TRUE,"AD Report";#N/A,#N/A,TRUE,"Var by OU"}</definedName>
    <definedName name="wrn.matdtl." hidden="1">{"MATALL",#N/A,FALSE,"Sheet4";"matclass",#N/A,FALSE,"Sheet4"}</definedName>
    <definedName name="wrn.matdtla" hidden="1">{"MATALL",#N/A,FALSE,"Sheet4";"matclass",#N/A,FALSE,"Sheet4"}</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THER._.DATA." hidden="1">{"OTHER_DATA",#N/A,FALSE,"Ok_Fuel&amp;Rev"}</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JOURNAL._.ENTRY." hidden="1">{"PPDEFERREDBAL",#N/A,FALSE,"PRIOR PERIOD ADJMT";#N/A,#N/A,FALSE,"PRIOR PERIOD ADJMT";"PPJOURNALENTRY",#N/A,FALSE,"PRIOR PERIOD ADJMT"}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{#N/A,#N/A,FALSE,"Input Data Sheet";#N/A,#N/A,FALSE,"NAV rollforward";#N/A,#N/A,FALSE,"Capital Roll - Spokes";#N/A,#N/A,FALSE,"Hastax"}</definedName>
    <definedName name="wrn.Print." hidden="1">{#N/A,#N/A,FALSE,"By Month";#N/A,#N/A,FALSE,"Rev By Month";"Print1",#N/A,FALSE,"NA Parts Reporting";"Print2",#N/A,FALSE,"NA Parts Reporting";"Print3",#N/A,FALSE,"NA Parts Reporting"}</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hidden="1">{#N/A,#N/A,FALSE,"Ratios - Classic";#N/A,#N/A,FALSE,"Share Proof - Classic";#N/A,#N/A,FALSE,"Per Share-Classic"}</definedName>
    <definedName name="wrn.Print._.Hub." hidden="1">{#N/A,#N/A,FALSE,"Input Data Sheet";#N/A,#N/A,FALSE,"Turnover";#N/A,#N/A,FALSE,"NSAR";#N/A,#N/A,FALSE,"Ratios-HUB";#N/A,#N/A,FALSE,"Capital Roll - Hub"}</definedName>
    <definedName name="wrn.Print._.Marathon."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RIOR._.PERIOD._.ADJMT." hidden="1">{#N/A,#N/A,FALSE,"PRIOR PERIOD ADJMT"}</definedName>
    <definedName name="wrn.Production." hidden="1">{"Production",#N/A,FALSE,"Electric O&amp;M Functionalization"}</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0" hidden="1">{#N/A,#N/A,FALSE,"Work performed";#N/A,#N/A,FALSE,"Resources"}</definedName>
    <definedName name="wrn.Report." localSheetId="15" hidden="1">{#N/A,#N/A,FALSE,"Work performed";#N/A,#N/A,FALSE,"Resources"}</definedName>
    <definedName name="wrn.Report." hidden="1">{#N/A,#N/A,FALSE,"Work performed";#N/A,#N/A,FALSE,"Resources"}</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hidden="1">{"Base_rev",#N/A,FALSE,"Proj_IS_Base";"Projrev",#N/A,FALSE,"Proj_IS_wOTLC";"Delta",#N/A,FALSE,"Delta Rev_PV"}</definedName>
    <definedName name="wrn.Riverwood_comp_model." hidden="1">{#N/A,#N/A,FALSE,"Che-Ga";#N/A,#N/A,FALSE,"Iv-Sm";#N/A,#N/A,FALSE,"So-We";#N/A,#N/A,FALSE,"Me-Po";#N/A,#N/A,FALSE,"Be-Bo";#N/A,#N/A,FALSE,"Cha-Ki";#N/A,#N/A,FALSE,"In";#N/A,#N/A,FALSE,"Schedule 23";#N/A,#N/A,FALSE,"Schedule 22";#N/A,#N/A,FALSE,"WACC"}</definedName>
    <definedName name="wrn.RM._.with._.details." hidden="1">{"US RM Earnings Summary",#N/A,FALSE,"US R&amp;M";"US RM Realization Data",#N/A,FALSE,"US R&amp;M";"For RM Earnings Detail",#N/A,FALSE,"Foreign R&amp;M";"For RM Real and Vol Detail",#N/A,FALSE,"Foreign R&amp;M"}</definedName>
    <definedName name="wrn.rprt." hidden="1">{#N/A,#N/A,FALSE,"A";#N/A,#N/A,FALSE,"B-1";#N/A,#N/A,FALSE,"WACC";#N/A,#N/A,FALSE,"C-1 ";#N/A,#N/A,FALSE,"C-2";#N/A,#N/A,FALSE,"D-1";#N/A,#N/A,FALSE,"D-2";#N/A,#N/A,FALSE,"D-3"}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hidden="1">{"Saldenliste",#N/A,FALSE,"H A Ü"}</definedName>
    <definedName name="wrn.Short._.Report." hidden="1">{#N/A,#N/A,TRUE,"Cover";#N/A,#N/A,TRUE,"Header (eu)";#N/A,#N/A,TRUE,"Region Charts";#N/A,#N/A,TRUE,"T&amp;O By Region";#N/A,#N/A,TRUE,"AD Report"}</definedName>
    <definedName name="wrn.SPA._.FAC." hidden="1">{"SPA_FAC",#N/A,FALSE,"OMPA SPA FAC"}</definedName>
    <definedName name="wrn.Steves._.Model." hidden="1">{#N/A,#N/A,FALSE,"Income Statement";#N/A,#N/A,FALSE,"Quarter IS";#N/A,#N/A,FALSE,"US E&amp;P";#N/A,#N/A,FALSE,"International E&amp;P";#N/A,#N/A,FALSE,"Chemicals"}</definedName>
    <definedName name="wrn.sum." hidden="1">{"Opsys",#N/A,FALSE,"NPV_OPsys";"NT",#N/A,FALSE,"NPV_NT";"DevP",#N/A,FALSE,"NPV_DevPdt";"Office",#N/A,FALSE,"NPV_Office"}</definedName>
    <definedName name="wrn.Summary._.Report_Ern_BS_CF." hidden="1">{"Fact Sheet",#N/A,FALSE,"Fact";"Earnings_Summary",#N/A,FALSE,"Earnings Model";"Balance Sheet",#N/A,FALSE,"Balance";"Change in Cash",#N/A,FALSE,"Cashflow";"normalengs",#N/A,FALSE,"NormalEngs";"NormalGrowth",#N/A,FALSE,"NormalGrowth"}</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0" hidden="1">{#N/A,#N/A,FALSE,"Work performed";#N/A,#N/A,FALSE,"Resources"}</definedName>
    <definedName name="wrn.Supporting._.Calculations." localSheetId="15" hidden="1">{#N/A,#N/A,FALSE,"Work performed";#N/A,#N/A,FALSE,"Resources"}</definedName>
    <definedName name="wrn.Supporting._.Calculations." hidden="1">{#N/A,#N/A,FALSE,"Work performed";#N/A,#N/A,FALSE,"Resources"}</definedName>
    <definedName name="wrn.Tax._.Accrual." localSheetId="10" hidden="1">{#N/A,#N/A,TRUE,"TAXPROV";#N/A,#N/A,TRUE,"FLOWTHRU";#N/A,#N/A,TRUE,"SCHEDULE M'S";#N/A,#N/A,TRUE,"PLANT M'S";#N/A,#N/A,TRUE,"TAXJE"}</definedName>
    <definedName name="wrn.Tax._.Accrual." localSheetId="15" hidden="1">{#N/A,#N/A,TRUE,"TAXPROV";#N/A,#N/A,TRUE,"FLOWTHRU";#N/A,#N/A,TRUE,"SCHEDULE M'S";#N/A,#N/A,TRUE,"PLANT M'S";#N/A,#N/A,TRUE,"TAXJE"}</definedName>
    <definedName name="wrn.Tax._.Accrual." hidden="1">{#N/A,#N/A,TRUE,"TAXPROV";#N/A,#N/A,TRUE,"FLOWTHRU";#N/A,#N/A,TRUE,"SCHEDULE M'S";#N/A,#N/A,TRUE,"PLANT M'S";#N/A,#N/A,TRUE,"TAXJE"}</definedName>
    <definedName name="wrn.test." hidden="1">{"test",#N/A,FALSE,"Dividend"}</definedName>
    <definedName name="wrn.Transmission." hidden="1">{"Transmission",#N/A,FALSE,"Electric O&amp;M Functionalization"}</definedName>
    <definedName name="wrn.US._.EP._.with._.Price._.and._.Vol._.Detail." hidden="1">{"US EP Earn and Prof Analysis",#N/A,FALSE,"USE&amp;P ";"US EP Price Vol Detail",#N/A,FALSE,"USE&amp;P "}</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ATHER._.AND._.YR._.END._.CUST._.ADJ." hidden="1">{"WEATHER_CUSTOMERS",#N/A,FALSE,"Ok_Fuel&amp;Rev"}</definedName>
    <definedName name="wrn.WORKCAP." hidden="1">{"WCCWCLL",#N/A,FALSE,"Sheet3";"PP",#N/A,FALSE,"Sheet3";"MAT1",#N/A,FALSE,"Sheet3";"MAT2",#N/A,FALSE,"Sheet3"}</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hidden="1">{"Alles",#N/A,FALSE,"H A Ü"}</definedName>
    <definedName name="ww.Rele" hidden="1">{#N/A,#N/A,FALSE,"Title Page";#N/A,#N/A,FALSE,"Conclusions";#N/A,#N/A,FALSE,"Assum.";#N/A,#N/A,FALSE,"Sun  DCF-WC-Dep";#N/A,#N/A,FALSE,"MarketValue";#N/A,#N/A,FALSE,"BalSheet";#N/A,#N/A,FALSE,"WACC";#N/A,#N/A,FALSE,"PC+ Info.";#N/A,#N/A,FALSE,"PC+Info_2"}</definedName>
    <definedName name="www" hidden="1">{"Kontenverteilung",#N/A,FALSE,"H A Ü"}</definedName>
    <definedName name="Xcel" localSheetId="17">'[8]Data Entry and Forecaster'!#REF!</definedName>
    <definedName name="Xcel" localSheetId="1">'[8]Data Entry and Forecaster'!#REF!</definedName>
    <definedName name="Xcel" localSheetId="15">'[9]Data Entry and Forecaster'!#REF!</definedName>
    <definedName name="Xcel">'[9]Data Entry and Forecaster'!#REF!</definedName>
    <definedName name="Xcel_COS" localSheetId="17">#REF!</definedName>
    <definedName name="Xcel_COS" localSheetId="1">#REF!</definedName>
    <definedName name="Xcel_COS" localSheetId="2">#REF!</definedName>
    <definedName name="Xcel_COS" localSheetId="15">#REF!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0"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hidden="1">{#N/A,#N/A,FALSE,"O&amp;M by processes";#N/A,#N/A,FALSE,"Elec Act vs Bud";#N/A,#N/A,FALSE,"G&amp;A";#N/A,#N/A,FALSE,"BGS";#N/A,#N/A,FALSE,"Res Cost"}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EAR1">[1]Inputs!$C$17</definedName>
    <definedName name="yeartodate">[1]RPT80MAR!$A$84:$D$158</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H'!$A$1:$K$273</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ero">0</definedName>
    <definedName name="Zip" hidden="1">#REF!</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hidden="1">{#N/A,#N/A,FALSE,"Title Page";#N/A,#N/A,FALSE,"Conclusions";#N/A,#N/A,FALSE,"Assum.";#N/A,#N/A,FALSE,"Sun  DCF-WC-Dep";#N/A,#N/A,FALSE,"MarketValue";#N/A,#N/A,FALSE,"BalSheet";#N/A,#N/A,FALSE,"WACC";#N/A,#N/A,FALSE,"PC+ Info.";#N/A,#N/A,FALSE,"PC+Info_2"}</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iterate="1" iterateCount="44"/>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28" l="1"/>
  <c r="G11" i="28"/>
  <c r="G15" i="28"/>
  <c r="G16" i="28"/>
  <c r="G19" i="28" l="1"/>
  <c r="G20" i="28"/>
  <c r="G12" i="28"/>
  <c r="G14" i="28"/>
  <c r="G21" i="28"/>
  <c r="G17" i="28"/>
  <c r="G18" i="28"/>
  <c r="G10" i="28" l="1"/>
  <c r="E14" i="16" l="1"/>
  <c r="E13" i="16"/>
  <c r="E12" i="16"/>
  <c r="A2" i="32" l="1"/>
  <c r="A2" i="31"/>
  <c r="A2" i="27"/>
  <c r="G3" i="5"/>
  <c r="H3" i="33"/>
  <c r="B170" i="33" s="1"/>
  <c r="L220" i="33"/>
  <c r="J220" i="33"/>
  <c r="J221" i="33" s="1"/>
  <c r="L219" i="33"/>
  <c r="P219" i="33" s="1"/>
  <c r="J178" i="33"/>
  <c r="J177" i="33"/>
  <c r="L177" i="33" s="1"/>
  <c r="P177" i="33" s="1"/>
  <c r="P176" i="33"/>
  <c r="L176" i="33"/>
  <c r="J129" i="33"/>
  <c r="L128" i="33"/>
  <c r="P128" i="33" s="1"/>
  <c r="D106" i="33"/>
  <c r="D150" i="33" s="1"/>
  <c r="D102" i="33"/>
  <c r="D146" i="33" s="1"/>
  <c r="D193" i="33" s="1"/>
  <c r="D235" i="33" s="1"/>
  <c r="D101" i="33"/>
  <c r="D145" i="33" s="1"/>
  <c r="D192" i="33" s="1"/>
  <c r="D219" i="33" s="1"/>
  <c r="D220" i="33" s="1"/>
  <c r="D221" i="33" s="1"/>
  <c r="D222" i="33" s="1"/>
  <c r="D223" i="33" s="1"/>
  <c r="D224" i="33" s="1"/>
  <c r="D225" i="33" s="1"/>
  <c r="D226" i="33" s="1"/>
  <c r="D227" i="33" s="1"/>
  <c r="D228" i="33" s="1"/>
  <c r="D229" i="33" s="1"/>
  <c r="D230" i="33" s="1"/>
  <c r="D100" i="33"/>
  <c r="D144" i="33" s="1"/>
  <c r="D176" i="33" s="1"/>
  <c r="D177" i="33" s="1"/>
  <c r="D178" i="33" s="1"/>
  <c r="D179" i="33" s="1"/>
  <c r="D180" i="33" s="1"/>
  <c r="D181" i="33" s="1"/>
  <c r="D182" i="33" s="1"/>
  <c r="D183" i="33" s="1"/>
  <c r="D184" i="33" s="1"/>
  <c r="D185" i="33" s="1"/>
  <c r="D186" i="33" s="1"/>
  <c r="D187" i="33" s="1"/>
  <c r="D99" i="33"/>
  <c r="D128" i="33" s="1"/>
  <c r="D129" i="33" s="1"/>
  <c r="D130" i="33" s="1"/>
  <c r="D131" i="33" s="1"/>
  <c r="D132" i="33" s="1"/>
  <c r="D133" i="33" s="1"/>
  <c r="D134" i="33" s="1"/>
  <c r="D135" i="33" s="1"/>
  <c r="D136" i="33" s="1"/>
  <c r="D137" i="33" s="1"/>
  <c r="D138" i="33" s="1"/>
  <c r="D139" i="33" s="1"/>
  <c r="L84" i="33"/>
  <c r="P84" i="33" s="1"/>
  <c r="J84" i="33"/>
  <c r="J85" i="33" s="1"/>
  <c r="L83" i="33"/>
  <c r="P83" i="33" s="1"/>
  <c r="D83" i="33"/>
  <c r="D84" i="33" s="1"/>
  <c r="D85" i="33" s="1"/>
  <c r="D86" i="33" s="1"/>
  <c r="D87" i="33" s="1"/>
  <c r="D88" i="33" s="1"/>
  <c r="D89" i="33" s="1"/>
  <c r="D90" i="33" s="1"/>
  <c r="D91" i="33" s="1"/>
  <c r="D92" i="33" s="1"/>
  <c r="D93" i="33" s="1"/>
  <c r="D94" i="33" s="1"/>
  <c r="D59" i="33"/>
  <c r="D60" i="33" s="1"/>
  <c r="D61" i="33" s="1"/>
  <c r="D62" i="33" s="1"/>
  <c r="D63" i="33" s="1"/>
  <c r="D64" i="33" s="1"/>
  <c r="D65" i="33" s="1"/>
  <c r="D66" i="33" s="1"/>
  <c r="D67" i="33" s="1"/>
  <c r="D68" i="33" s="1"/>
  <c r="D58" i="33"/>
  <c r="D35" i="33"/>
  <c r="D36" i="33" s="1"/>
  <c r="D37" i="33" s="1"/>
  <c r="D38" i="33" s="1"/>
  <c r="D39" i="33" s="1"/>
  <c r="D40" i="33" s="1"/>
  <c r="D41" i="33" s="1"/>
  <c r="D42" i="33" s="1"/>
  <c r="D43" i="33" s="1"/>
  <c r="D44" i="33" s="1"/>
  <c r="L34" i="33"/>
  <c r="P34" i="33" s="1"/>
  <c r="J34" i="33"/>
  <c r="J35" i="33" s="1"/>
  <c r="D34" i="33"/>
  <c r="L33" i="33"/>
  <c r="P33" i="33" s="1"/>
  <c r="L15" i="33"/>
  <c r="L14" i="33"/>
  <c r="N254" i="33" s="1"/>
  <c r="L13" i="33"/>
  <c r="N212" i="33" s="1"/>
  <c r="L12" i="33"/>
  <c r="N165" i="33" s="1"/>
  <c r="L11" i="33"/>
  <c r="N121" i="33" s="1"/>
  <c r="L10" i="33"/>
  <c r="N72" i="33" s="1"/>
  <c r="B77" i="33" l="1"/>
  <c r="J130" i="33"/>
  <c r="L129" i="33"/>
  <c r="P129" i="33" s="1"/>
  <c r="J86" i="33"/>
  <c r="L85" i="33"/>
  <c r="P85" i="33" s="1"/>
  <c r="P220" i="33"/>
  <c r="J222" i="33"/>
  <c r="L221" i="33"/>
  <c r="P221" i="33" s="1"/>
  <c r="J179" i="33"/>
  <c r="L178" i="33"/>
  <c r="P178" i="33" s="1"/>
  <c r="J36" i="33"/>
  <c r="L35" i="33"/>
  <c r="D151" i="33"/>
  <c r="D152" i="33" s="1"/>
  <c r="D153" i="33" s="1"/>
  <c r="D154" i="33" s="1"/>
  <c r="D155" i="33" s="1"/>
  <c r="D156" i="33" s="1"/>
  <c r="D157" i="33" s="1"/>
  <c r="D158" i="33" s="1"/>
  <c r="D159" i="33" s="1"/>
  <c r="D160" i="33" s="1"/>
  <c r="D161" i="33" s="1"/>
  <c r="D197" i="33"/>
  <c r="D107" i="33"/>
  <c r="D108" i="33" s="1"/>
  <c r="D109" i="33" s="1"/>
  <c r="D110" i="33" s="1"/>
  <c r="D111" i="33" s="1"/>
  <c r="D112" i="33" s="1"/>
  <c r="D113" i="33" s="1"/>
  <c r="D114" i="33" s="1"/>
  <c r="D115" i="33" s="1"/>
  <c r="D116" i="33" s="1"/>
  <c r="D117" i="33" s="1"/>
  <c r="J37" i="33" l="1"/>
  <c r="L36" i="33"/>
  <c r="P36" i="33" s="1"/>
  <c r="L179" i="33"/>
  <c r="P179" i="33" s="1"/>
  <c r="J180" i="33"/>
  <c r="J87" i="33"/>
  <c r="L86" i="33"/>
  <c r="P86" i="33" s="1"/>
  <c r="D239" i="33"/>
  <c r="D240" i="33" s="1"/>
  <c r="D241" i="33" s="1"/>
  <c r="D242" i="33" s="1"/>
  <c r="D243" i="33" s="1"/>
  <c r="D244" i="33" s="1"/>
  <c r="D245" i="33" s="1"/>
  <c r="D246" i="33" s="1"/>
  <c r="D247" i="33" s="1"/>
  <c r="D248" i="33" s="1"/>
  <c r="D249" i="33" s="1"/>
  <c r="D250" i="33" s="1"/>
  <c r="D198" i="33"/>
  <c r="D199" i="33" s="1"/>
  <c r="D200" i="33" s="1"/>
  <c r="D201" i="33" s="1"/>
  <c r="D202" i="33" s="1"/>
  <c r="D203" i="33" s="1"/>
  <c r="D204" i="33" s="1"/>
  <c r="D205" i="33" s="1"/>
  <c r="D206" i="33" s="1"/>
  <c r="D207" i="33" s="1"/>
  <c r="D208" i="33" s="1"/>
  <c r="J223" i="33"/>
  <c r="L222" i="33"/>
  <c r="L130" i="33"/>
  <c r="J131" i="33"/>
  <c r="P35" i="33"/>
  <c r="P222" i="33" l="1"/>
  <c r="J181" i="33"/>
  <c r="L180" i="33"/>
  <c r="P180" i="33" s="1"/>
  <c r="J88" i="33"/>
  <c r="L87" i="33"/>
  <c r="J38" i="33"/>
  <c r="L37" i="33"/>
  <c r="P37" i="33" s="1"/>
  <c r="P130" i="33"/>
  <c r="J224" i="33"/>
  <c r="L223" i="33"/>
  <c r="P223" i="33" s="1"/>
  <c r="J132" i="33"/>
  <c r="L131" i="33"/>
  <c r="P131" i="33" s="1"/>
  <c r="J89" i="33" l="1"/>
  <c r="L88" i="33"/>
  <c r="P88" i="33" s="1"/>
  <c r="J225" i="33"/>
  <c r="L224" i="33"/>
  <c r="P224" i="33" s="1"/>
  <c r="L181" i="33"/>
  <c r="P181" i="33" s="1"/>
  <c r="J182" i="33"/>
  <c r="P87" i="33"/>
  <c r="L132" i="33"/>
  <c r="P132" i="33" s="1"/>
  <c r="J133" i="33"/>
  <c r="J39" i="33"/>
  <c r="L38" i="33"/>
  <c r="P38" i="33" s="1"/>
  <c r="J90" i="33" l="1"/>
  <c r="L89" i="33"/>
  <c r="J134" i="33"/>
  <c r="L133" i="33"/>
  <c r="P133" i="33" s="1"/>
  <c r="J226" i="33"/>
  <c r="L225" i="33"/>
  <c r="J40" i="33"/>
  <c r="L39" i="33"/>
  <c r="J183" i="33"/>
  <c r="L182" i="33"/>
  <c r="P182" i="33" s="1"/>
  <c r="J227" i="33" l="1"/>
  <c r="L226" i="33"/>
  <c r="P226" i="33" s="1"/>
  <c r="P89" i="33"/>
  <c r="L134" i="33"/>
  <c r="P134" i="33" s="1"/>
  <c r="J135" i="33"/>
  <c r="L183" i="33"/>
  <c r="P183" i="33" s="1"/>
  <c r="J184" i="33"/>
  <c r="J91" i="33"/>
  <c r="L90" i="33"/>
  <c r="P90" i="33" s="1"/>
  <c r="P39" i="33"/>
  <c r="P225" i="33"/>
  <c r="J41" i="33"/>
  <c r="L40" i="33"/>
  <c r="P40" i="33" s="1"/>
  <c r="J42" i="33" l="1"/>
  <c r="L41" i="33"/>
  <c r="J136" i="33"/>
  <c r="L135" i="33"/>
  <c r="P135" i="33" s="1"/>
  <c r="J185" i="33"/>
  <c r="L184" i="33"/>
  <c r="P184" i="33" s="1"/>
  <c r="J92" i="33"/>
  <c r="L91" i="33"/>
  <c r="J228" i="33"/>
  <c r="L227" i="33"/>
  <c r="J93" i="33" l="1"/>
  <c r="L92" i="33"/>
  <c r="P92" i="33" s="1"/>
  <c r="L185" i="33"/>
  <c r="P185" i="33" s="1"/>
  <c r="J186" i="33"/>
  <c r="L136" i="33"/>
  <c r="P136" i="33" s="1"/>
  <c r="J137" i="33"/>
  <c r="P41" i="33"/>
  <c r="P91" i="33"/>
  <c r="P227" i="33"/>
  <c r="J229" i="33"/>
  <c r="L228" i="33"/>
  <c r="P228" i="33" s="1"/>
  <c r="J43" i="33"/>
  <c r="L42" i="33"/>
  <c r="P42" i="33" s="1"/>
  <c r="J187" i="33" l="1"/>
  <c r="L187" i="33" s="1"/>
  <c r="L186" i="33"/>
  <c r="P186" i="33" s="1"/>
  <c r="J138" i="33"/>
  <c r="L137" i="33"/>
  <c r="P137" i="33" s="1"/>
  <c r="J230" i="33"/>
  <c r="L230" i="33" s="1"/>
  <c r="L229" i="33"/>
  <c r="P229" i="33" s="1"/>
  <c r="J44" i="33"/>
  <c r="L44" i="33" s="1"/>
  <c r="L43" i="33"/>
  <c r="P43" i="33" s="1"/>
  <c r="J94" i="33"/>
  <c r="L94" i="33" s="1"/>
  <c r="L93" i="33"/>
  <c r="P93" i="33" s="1"/>
  <c r="L138" i="33" l="1"/>
  <c r="P138" i="33" s="1"/>
  <c r="J139" i="33"/>
  <c r="L139" i="33" s="1"/>
  <c r="P230" i="33"/>
  <c r="P231" i="33" s="1"/>
  <c r="F235" i="33" s="1"/>
  <c r="L231" i="33"/>
  <c r="P44" i="33"/>
  <c r="P45" i="33" s="1"/>
  <c r="F49" i="33" s="1"/>
  <c r="L45" i="33"/>
  <c r="P94" i="33"/>
  <c r="P95" i="33" s="1"/>
  <c r="F99" i="33" s="1"/>
  <c r="L95" i="33"/>
  <c r="P187" i="33"/>
  <c r="P188" i="33" s="1"/>
  <c r="F192" i="33" s="1"/>
  <c r="L188" i="33"/>
  <c r="L49" i="33" l="1"/>
  <c r="P49" i="33" s="1"/>
  <c r="F50" i="33" s="1"/>
  <c r="L99" i="33"/>
  <c r="P99" i="33" s="1"/>
  <c r="F100" i="33" s="1"/>
  <c r="L235" i="33"/>
  <c r="P235" i="33" s="1"/>
  <c r="P139" i="33"/>
  <c r="P140" i="33" s="1"/>
  <c r="F144" i="33" s="1"/>
  <c r="L140" i="33"/>
  <c r="L192" i="33"/>
  <c r="P192" i="33" s="1"/>
  <c r="F193" i="33" s="1"/>
  <c r="L100" i="33" l="1"/>
  <c r="P100" i="33" s="1"/>
  <c r="F101" i="33" s="1"/>
  <c r="L193" i="33"/>
  <c r="P193" i="33"/>
  <c r="N239" i="33"/>
  <c r="F239" i="33"/>
  <c r="L50" i="33"/>
  <c r="P50" i="33" s="1"/>
  <c r="F51" i="33" s="1"/>
  <c r="L144" i="33"/>
  <c r="P144" i="33"/>
  <c r="F145" i="33" s="1"/>
  <c r="L51" i="33" l="1"/>
  <c r="P51" i="33" s="1"/>
  <c r="F52" i="33" s="1"/>
  <c r="L101" i="33"/>
  <c r="P101" i="33" s="1"/>
  <c r="F102" i="33" s="1"/>
  <c r="N197" i="33"/>
  <c r="F197" i="33"/>
  <c r="P239" i="33"/>
  <c r="F240" i="33" s="1"/>
  <c r="L239" i="33"/>
  <c r="N240" i="33"/>
  <c r="N241" i="33" s="1"/>
  <c r="N242" i="33" s="1"/>
  <c r="N243" i="33" s="1"/>
  <c r="N244" i="33" s="1"/>
  <c r="N245" i="33" s="1"/>
  <c r="N246" i="33" s="1"/>
  <c r="N247" i="33" s="1"/>
  <c r="N248" i="33" s="1"/>
  <c r="N249" i="33" s="1"/>
  <c r="N250" i="33" s="1"/>
  <c r="L145" i="33"/>
  <c r="P145" i="33" s="1"/>
  <c r="F146" i="33" s="1"/>
  <c r="L146" i="33" l="1"/>
  <c r="P146" i="33"/>
  <c r="L102" i="33"/>
  <c r="P102" i="33" s="1"/>
  <c r="L52" i="33"/>
  <c r="P52" i="33" s="1"/>
  <c r="F53" i="33" s="1"/>
  <c r="L240" i="33"/>
  <c r="P240" i="33"/>
  <c r="F241" i="33" s="1"/>
  <c r="N198" i="33"/>
  <c r="N199" i="33" s="1"/>
  <c r="N200" i="33" s="1"/>
  <c r="N201" i="33" s="1"/>
  <c r="N202" i="33" s="1"/>
  <c r="N203" i="33" s="1"/>
  <c r="N204" i="33" s="1"/>
  <c r="N205" i="33" s="1"/>
  <c r="N206" i="33" s="1"/>
  <c r="N207" i="33" s="1"/>
  <c r="N208" i="33" s="1"/>
  <c r="N211" i="33" s="1"/>
  <c r="P197" i="33"/>
  <c r="F198" i="33" s="1"/>
  <c r="L197" i="33"/>
  <c r="N253" i="33"/>
  <c r="P13" i="33" l="1"/>
  <c r="N213" i="33"/>
  <c r="L53" i="33"/>
  <c r="P53" i="33"/>
  <c r="N106" i="33"/>
  <c r="F106" i="33"/>
  <c r="N255" i="33"/>
  <c r="P14" i="33"/>
  <c r="P241" i="33"/>
  <c r="F242" i="33" s="1"/>
  <c r="L241" i="33"/>
  <c r="N150" i="33"/>
  <c r="F150" i="33"/>
  <c r="P198" i="33"/>
  <c r="F199" i="33" s="1"/>
  <c r="L198" i="33"/>
  <c r="N57" i="33" l="1"/>
  <c r="F57" i="33"/>
  <c r="N107" i="33"/>
  <c r="N108" i="33" s="1"/>
  <c r="N109" i="33" s="1"/>
  <c r="N110" i="33" s="1"/>
  <c r="N111" i="33" s="1"/>
  <c r="N112" i="33" s="1"/>
  <c r="N113" i="33" s="1"/>
  <c r="N114" i="33" s="1"/>
  <c r="N115" i="33" s="1"/>
  <c r="N116" i="33" s="1"/>
  <c r="N117" i="33" s="1"/>
  <c r="N151" i="33"/>
  <c r="N152" i="33" s="1"/>
  <c r="N153" i="33" s="1"/>
  <c r="N154" i="33" s="1"/>
  <c r="N155" i="33" s="1"/>
  <c r="N156" i="33" s="1"/>
  <c r="N157" i="33" s="1"/>
  <c r="N158" i="33" s="1"/>
  <c r="N159" i="33" s="1"/>
  <c r="N160" i="33" s="1"/>
  <c r="N161" i="33" s="1"/>
  <c r="L199" i="33"/>
  <c r="P199" i="33"/>
  <c r="F200" i="33" s="1"/>
  <c r="P150" i="33"/>
  <c r="F151" i="33" s="1"/>
  <c r="L150" i="33"/>
  <c r="P242" i="33"/>
  <c r="F243" i="33" s="1"/>
  <c r="L242" i="33"/>
  <c r="L106" i="33"/>
  <c r="P106" i="33"/>
  <c r="F107" i="33" s="1"/>
  <c r="N120" i="33" l="1"/>
  <c r="P107" i="33"/>
  <c r="F108" i="33" s="1"/>
  <c r="L107" i="33"/>
  <c r="N164" i="33"/>
  <c r="P57" i="33"/>
  <c r="F58" i="33" s="1"/>
  <c r="L57" i="33"/>
  <c r="P151" i="33"/>
  <c r="F152" i="33" s="1"/>
  <c r="L151" i="33"/>
  <c r="N58" i="33"/>
  <c r="N59" i="33" s="1"/>
  <c r="N60" i="33" s="1"/>
  <c r="N61" i="33" s="1"/>
  <c r="N62" i="33" s="1"/>
  <c r="N63" i="33" s="1"/>
  <c r="N64" i="33" s="1"/>
  <c r="N65" i="33" s="1"/>
  <c r="N66" i="33" s="1"/>
  <c r="N67" i="33" s="1"/>
  <c r="N68" i="33" s="1"/>
  <c r="L243" i="33"/>
  <c r="P243" i="33"/>
  <c r="F244" i="33" s="1"/>
  <c r="P200" i="33"/>
  <c r="F201" i="33" s="1"/>
  <c r="L200" i="33"/>
  <c r="P201" i="33" l="1"/>
  <c r="F202" i="33" s="1"/>
  <c r="L201" i="33"/>
  <c r="P12" i="33"/>
  <c r="N166" i="33"/>
  <c r="N71" i="33"/>
  <c r="P244" i="33"/>
  <c r="F245" i="33" s="1"/>
  <c r="L244" i="33"/>
  <c r="P58" i="33"/>
  <c r="F59" i="33" s="1"/>
  <c r="L58" i="33"/>
  <c r="P108" i="33"/>
  <c r="F109" i="33" s="1"/>
  <c r="L108" i="33"/>
  <c r="P152" i="33"/>
  <c r="F153" i="33" s="1"/>
  <c r="L152" i="33"/>
  <c r="N122" i="33"/>
  <c r="P11" i="33"/>
  <c r="P245" i="33" l="1"/>
  <c r="F246" i="33" s="1"/>
  <c r="L245" i="33"/>
  <c r="N73" i="33"/>
  <c r="P10" i="33"/>
  <c r="P16" i="33" s="1"/>
  <c r="L202" i="33"/>
  <c r="P202" i="33"/>
  <c r="F203" i="33" s="1"/>
  <c r="P153" i="33"/>
  <c r="F154" i="33" s="1"/>
  <c r="L153" i="33"/>
  <c r="L59" i="33"/>
  <c r="P59" i="33"/>
  <c r="F60" i="33" s="1"/>
  <c r="P109" i="33"/>
  <c r="F110" i="33" s="1"/>
  <c r="L109" i="33"/>
  <c r="P203" i="33" l="1"/>
  <c r="F204" i="33" s="1"/>
  <c r="L203" i="33"/>
  <c r="P60" i="33"/>
  <c r="F61" i="33" s="1"/>
  <c r="L60" i="33"/>
  <c r="P246" i="33"/>
  <c r="F247" i="33" s="1"/>
  <c r="L246" i="33"/>
  <c r="P110" i="33"/>
  <c r="F111" i="33" s="1"/>
  <c r="L110" i="33"/>
  <c r="L154" i="33"/>
  <c r="P154" i="33"/>
  <c r="F155" i="33" s="1"/>
  <c r="P61" i="33" l="1"/>
  <c r="F62" i="33" s="1"/>
  <c r="L61" i="33"/>
  <c r="P155" i="33"/>
  <c r="F156" i="33" s="1"/>
  <c r="L155" i="33"/>
  <c r="P204" i="33"/>
  <c r="F205" i="33" s="1"/>
  <c r="L204" i="33"/>
  <c r="L247" i="33"/>
  <c r="P247" i="33"/>
  <c r="F248" i="33" s="1"/>
  <c r="L111" i="33"/>
  <c r="P111" i="33"/>
  <c r="F112" i="33" s="1"/>
  <c r="P205" i="33" l="1"/>
  <c r="F206" i="33" s="1"/>
  <c r="L205" i="33"/>
  <c r="P156" i="33"/>
  <c r="F157" i="33" s="1"/>
  <c r="L156" i="33"/>
  <c r="L248" i="33"/>
  <c r="P248" i="33"/>
  <c r="F249" i="33" s="1"/>
  <c r="P112" i="33"/>
  <c r="F113" i="33" s="1"/>
  <c r="L112" i="33"/>
  <c r="P62" i="33"/>
  <c r="F63" i="33" s="1"/>
  <c r="L62" i="33"/>
  <c r="P63" i="33" l="1"/>
  <c r="F64" i="33" s="1"/>
  <c r="L63" i="33"/>
  <c r="P113" i="33"/>
  <c r="F114" i="33" s="1"/>
  <c r="L113" i="33"/>
  <c r="P249" i="33"/>
  <c r="F250" i="33" s="1"/>
  <c r="L249" i="33"/>
  <c r="L157" i="33"/>
  <c r="P157" i="33"/>
  <c r="F158" i="33" s="1"/>
  <c r="P206" i="33"/>
  <c r="F207" i="33" s="1"/>
  <c r="L206" i="33"/>
  <c r="P250" i="33" l="1"/>
  <c r="L250" i="33"/>
  <c r="L251" i="33" s="1"/>
  <c r="L114" i="33"/>
  <c r="P114" i="33"/>
  <c r="F115" i="33" s="1"/>
  <c r="P158" i="33"/>
  <c r="F159" i="33" s="1"/>
  <c r="L158" i="33"/>
  <c r="L207" i="33"/>
  <c r="P207" i="33"/>
  <c r="F208" i="33" s="1"/>
  <c r="L64" i="33"/>
  <c r="P64" i="33"/>
  <c r="F65" i="33" s="1"/>
  <c r="P208" i="33" l="1"/>
  <c r="L208" i="33"/>
  <c r="L209" i="33" s="1"/>
  <c r="P115" i="33"/>
  <c r="F116" i="33" s="1"/>
  <c r="L115" i="33"/>
  <c r="L159" i="33"/>
  <c r="P159" i="33"/>
  <c r="F160" i="33" s="1"/>
  <c r="P65" i="33"/>
  <c r="F66" i="33" s="1"/>
  <c r="L65" i="33"/>
  <c r="P160" i="33" l="1"/>
  <c r="F161" i="33" s="1"/>
  <c r="L160" i="33"/>
  <c r="P116" i="33"/>
  <c r="F117" i="33" s="1"/>
  <c r="L116" i="33"/>
  <c r="P66" i="33"/>
  <c r="F67" i="33" s="1"/>
  <c r="L66" i="33"/>
  <c r="P117" i="33" l="1"/>
  <c r="L117" i="33"/>
  <c r="L118" i="33" s="1"/>
  <c r="L67" i="33"/>
  <c r="P67" i="33"/>
  <c r="F68" i="33" s="1"/>
  <c r="P161" i="33"/>
  <c r="L161" i="33"/>
  <c r="L162" i="33" s="1"/>
  <c r="P68" i="33" l="1"/>
  <c r="L68" i="33"/>
  <c r="L69" i="33" s="1"/>
  <c r="H29" i="31" l="1"/>
  <c r="G29" i="31"/>
  <c r="H19" i="31"/>
  <c r="G19" i="31"/>
  <c r="H9" i="31"/>
  <c r="G9" i="31"/>
  <c r="D155" i="1" l="1"/>
  <c r="H29" i="27"/>
  <c r="G29" i="27"/>
  <c r="H19" i="27"/>
  <c r="G19" i="27"/>
  <c r="H9" i="27"/>
  <c r="G9" i="27"/>
  <c r="D159" i="1" l="1"/>
  <c r="C74" i="30" l="1"/>
  <c r="C73" i="30"/>
  <c r="C72" i="30"/>
  <c r="C50" i="30"/>
  <c r="C49" i="30"/>
  <c r="C48" i="30"/>
  <c r="C27" i="30"/>
  <c r="C26" i="30"/>
  <c r="C74" i="29"/>
  <c r="C73" i="29"/>
  <c r="C72" i="29"/>
  <c r="C50" i="29"/>
  <c r="C49" i="29"/>
  <c r="C48" i="29"/>
  <c r="C27" i="29"/>
  <c r="C26" i="29"/>
  <c r="F87" i="6"/>
  <c r="G86" i="6"/>
  <c r="F86" i="6"/>
  <c r="F85" i="6"/>
  <c r="I85" i="6"/>
  <c r="G210" i="1" s="1"/>
  <c r="H12" i="16" s="1"/>
  <c r="J77" i="6"/>
  <c r="A30" i="31" l="1"/>
  <c r="A31" i="31" s="1"/>
  <c r="A32" i="31" s="1"/>
  <c r="A33" i="31" s="1"/>
  <c r="A34" i="31" s="1"/>
  <c r="A35" i="31" s="1"/>
  <c r="A28" i="31"/>
  <c r="A22" i="31"/>
  <c r="A23" i="31" s="1"/>
  <c r="A24" i="31" s="1"/>
  <c r="A25" i="31" s="1"/>
  <c r="A21" i="31"/>
  <c r="A12" i="31"/>
  <c r="A13" i="31" s="1"/>
  <c r="A14" i="31" s="1"/>
  <c r="A15" i="31" s="1"/>
  <c r="A18" i="31" s="1"/>
  <c r="A11" i="31"/>
  <c r="X53" i="32"/>
  <c r="O53" i="32"/>
  <c r="S53" i="32" s="1"/>
  <c r="T53" i="32" s="1"/>
  <c r="U53" i="32" s="1"/>
  <c r="F53" i="32"/>
  <c r="X52" i="32"/>
  <c r="O52" i="32"/>
  <c r="F52" i="32"/>
  <c r="X51" i="32"/>
  <c r="O51" i="32"/>
  <c r="F51" i="32"/>
  <c r="X50" i="32"/>
  <c r="O50" i="32"/>
  <c r="F50" i="32"/>
  <c r="X49" i="32"/>
  <c r="O49" i="32"/>
  <c r="F49" i="32"/>
  <c r="X48" i="32"/>
  <c r="O48" i="32"/>
  <c r="F48" i="32"/>
  <c r="X47" i="32"/>
  <c r="O47" i="32"/>
  <c r="F47" i="32"/>
  <c r="X46" i="32"/>
  <c r="O46" i="32"/>
  <c r="F46" i="32"/>
  <c r="X45" i="32"/>
  <c r="O45" i="32"/>
  <c r="F45" i="32"/>
  <c r="X44" i="32"/>
  <c r="O44" i="32"/>
  <c r="F44" i="32"/>
  <c r="X43" i="32"/>
  <c r="O43" i="32"/>
  <c r="S43" i="32" s="1"/>
  <c r="T43" i="32" s="1"/>
  <c r="F43" i="32"/>
  <c r="X42" i="32"/>
  <c r="O42" i="32"/>
  <c r="F42" i="32"/>
  <c r="Z41" i="32"/>
  <c r="Q41" i="32"/>
  <c r="H41" i="32"/>
  <c r="X37" i="32"/>
  <c r="O37" i="32"/>
  <c r="F37" i="32"/>
  <c r="X36" i="32"/>
  <c r="O36" i="32"/>
  <c r="S36" i="32" s="1"/>
  <c r="T36" i="32" s="1"/>
  <c r="F36" i="32"/>
  <c r="X35" i="32"/>
  <c r="O35" i="32"/>
  <c r="F35" i="32"/>
  <c r="X34" i="32"/>
  <c r="O34" i="32"/>
  <c r="S34" i="32" s="1"/>
  <c r="T34" i="32" s="1"/>
  <c r="F34" i="32"/>
  <c r="X33" i="32"/>
  <c r="AB33" i="32" s="1"/>
  <c r="AC33" i="32" s="1"/>
  <c r="O33" i="32"/>
  <c r="F33" i="32"/>
  <c r="X32" i="32"/>
  <c r="O32" i="32"/>
  <c r="S32" i="32" s="1"/>
  <c r="T32" i="32" s="1"/>
  <c r="F32" i="32"/>
  <c r="J32" i="32" s="1"/>
  <c r="K32" i="32" s="1"/>
  <c r="X31" i="32"/>
  <c r="AB31" i="32" s="1"/>
  <c r="AC31" i="32" s="1"/>
  <c r="O31" i="32"/>
  <c r="F31" i="32"/>
  <c r="J31" i="32" s="1"/>
  <c r="K31" i="32" s="1"/>
  <c r="X30" i="32"/>
  <c r="O30" i="32"/>
  <c r="F30" i="32"/>
  <c r="X29" i="32"/>
  <c r="AB29" i="32" s="1"/>
  <c r="AC29" i="32" s="1"/>
  <c r="O29" i="32"/>
  <c r="F29" i="32"/>
  <c r="J29" i="32" s="1"/>
  <c r="K29" i="32" s="1"/>
  <c r="X28" i="32"/>
  <c r="O28" i="32"/>
  <c r="F28" i="32"/>
  <c r="X27" i="32"/>
  <c r="O27" i="32"/>
  <c r="F27" i="32"/>
  <c r="J27" i="32" s="1"/>
  <c r="K27" i="32" s="1"/>
  <c r="X26" i="32"/>
  <c r="O26" i="32"/>
  <c r="F26" i="32"/>
  <c r="Z25" i="32"/>
  <c r="Q25" i="32"/>
  <c r="H25" i="32"/>
  <c r="X21" i="32"/>
  <c r="O21" i="32"/>
  <c r="X20" i="32"/>
  <c r="O20" i="32"/>
  <c r="S20" i="32" s="1"/>
  <c r="T20" i="32" s="1"/>
  <c r="X19" i="32"/>
  <c r="O19" i="32"/>
  <c r="X18" i="32"/>
  <c r="AB18" i="32" s="1"/>
  <c r="AC18" i="32" s="1"/>
  <c r="O18" i="32"/>
  <c r="X17" i="32"/>
  <c r="O17" i="32"/>
  <c r="S17" i="32" s="1"/>
  <c r="T17" i="32" s="1"/>
  <c r="X16" i="32"/>
  <c r="O16" i="32"/>
  <c r="S16" i="32" s="1"/>
  <c r="T16" i="32" s="1"/>
  <c r="X15" i="32"/>
  <c r="O15" i="32"/>
  <c r="X14" i="32"/>
  <c r="AB14" i="32" s="1"/>
  <c r="AC14" i="32" s="1"/>
  <c r="O14" i="32"/>
  <c r="X13" i="32"/>
  <c r="O13" i="32"/>
  <c r="S13" i="32" s="1"/>
  <c r="T13" i="32" s="1"/>
  <c r="X12" i="32"/>
  <c r="O12" i="32"/>
  <c r="S12" i="32" s="1"/>
  <c r="T12" i="32" s="1"/>
  <c r="X11" i="32"/>
  <c r="O11" i="32"/>
  <c r="X10" i="32"/>
  <c r="AB10" i="32" s="1"/>
  <c r="O10" i="32"/>
  <c r="AA54" i="32"/>
  <c r="R54" i="32"/>
  <c r="I54" i="32"/>
  <c r="AB53" i="32"/>
  <c r="AC53" i="32" s="1"/>
  <c r="AD53" i="32" s="1"/>
  <c r="J53" i="32"/>
  <c r="K53" i="32" s="1"/>
  <c r="L53" i="32" s="1"/>
  <c r="E53" i="32"/>
  <c r="Y53" i="32" s="1"/>
  <c r="E52" i="32"/>
  <c r="AB51" i="32"/>
  <c r="AC51" i="32" s="1"/>
  <c r="AD51" i="32" s="1"/>
  <c r="S51" i="32"/>
  <c r="T51" i="32" s="1"/>
  <c r="J51" i="32"/>
  <c r="K51" i="32" s="1"/>
  <c r="E51" i="32"/>
  <c r="Y51" i="32" s="1"/>
  <c r="E50" i="32"/>
  <c r="AB49" i="32"/>
  <c r="AC49" i="32" s="1"/>
  <c r="S49" i="32"/>
  <c r="T49" i="32" s="1"/>
  <c r="J49" i="32"/>
  <c r="K49" i="32" s="1"/>
  <c r="E49" i="32"/>
  <c r="E48" i="32"/>
  <c r="AB47" i="32"/>
  <c r="AC47" i="32" s="1"/>
  <c r="S47" i="32"/>
  <c r="T47" i="32" s="1"/>
  <c r="V47" i="32" s="1"/>
  <c r="J47" i="32"/>
  <c r="K47" i="32" s="1"/>
  <c r="L47" i="32" s="1"/>
  <c r="E47" i="32"/>
  <c r="AB46" i="32"/>
  <c r="AC46" i="32" s="1"/>
  <c r="S46" i="32"/>
  <c r="T46" i="32" s="1"/>
  <c r="J46" i="32"/>
  <c r="K46" i="32" s="1"/>
  <c r="E46" i="32"/>
  <c r="AB45" i="32"/>
  <c r="AC45" i="32" s="1"/>
  <c r="S45" i="32"/>
  <c r="T45" i="32" s="1"/>
  <c r="V45" i="32" s="1"/>
  <c r="J45" i="32"/>
  <c r="K45" i="32" s="1"/>
  <c r="E45" i="32"/>
  <c r="E44" i="32"/>
  <c r="AB43" i="32"/>
  <c r="AC43" i="32" s="1"/>
  <c r="J43" i="32"/>
  <c r="K43" i="32" s="1"/>
  <c r="L43" i="32" s="1"/>
  <c r="E43" i="32"/>
  <c r="E42" i="32"/>
  <c r="E41" i="32"/>
  <c r="AA38" i="32"/>
  <c r="R38" i="32"/>
  <c r="I38" i="32"/>
  <c r="S37" i="32"/>
  <c r="T37" i="32" s="1"/>
  <c r="E37" i="32"/>
  <c r="AB36" i="32"/>
  <c r="AC36" i="32" s="1"/>
  <c r="J36" i="32"/>
  <c r="K36" i="32" s="1"/>
  <c r="E36" i="32"/>
  <c r="AE36" i="32" s="1"/>
  <c r="AB35" i="32"/>
  <c r="AC35" i="32" s="1"/>
  <c r="S35" i="32"/>
  <c r="T35" i="32" s="1"/>
  <c r="J35" i="32"/>
  <c r="K35" i="32" s="1"/>
  <c r="E35" i="32"/>
  <c r="AB34" i="32"/>
  <c r="AC34" i="32" s="1"/>
  <c r="J34" i="32"/>
  <c r="K34" i="32" s="1"/>
  <c r="E34" i="32"/>
  <c r="Y34" i="32" s="1"/>
  <c r="S33" i="32"/>
  <c r="T33" i="32" s="1"/>
  <c r="J33" i="32"/>
  <c r="K33" i="32" s="1"/>
  <c r="E33" i="32"/>
  <c r="AB32" i="32"/>
  <c r="AC32" i="32" s="1"/>
  <c r="E32" i="32"/>
  <c r="P32" i="32" s="1"/>
  <c r="S31" i="32"/>
  <c r="T31" i="32" s="1"/>
  <c r="E31" i="32"/>
  <c r="AB30" i="32"/>
  <c r="AC30" i="32" s="1"/>
  <c r="Y30" i="32"/>
  <c r="S30" i="32"/>
  <c r="T30" i="32" s="1"/>
  <c r="P30" i="32"/>
  <c r="J30" i="32"/>
  <c r="K30" i="32" s="1"/>
  <c r="M30" i="32" s="1"/>
  <c r="G30" i="32"/>
  <c r="E30" i="32"/>
  <c r="S29" i="32"/>
  <c r="T29" i="32" s="1"/>
  <c r="U29" i="32" s="1"/>
  <c r="E29" i="32"/>
  <c r="P29" i="32" s="1"/>
  <c r="AB28" i="32"/>
  <c r="AC28" i="32" s="1"/>
  <c r="S28" i="32"/>
  <c r="T28" i="32" s="1"/>
  <c r="J28" i="32"/>
  <c r="K28" i="32" s="1"/>
  <c r="M28" i="32" s="1"/>
  <c r="G28" i="32"/>
  <c r="E28" i="32"/>
  <c r="Y28" i="32" s="1"/>
  <c r="AB27" i="32"/>
  <c r="AC27" i="32" s="1"/>
  <c r="S27" i="32"/>
  <c r="T27" i="32" s="1"/>
  <c r="E27" i="32"/>
  <c r="Y27" i="32" s="1"/>
  <c r="E26" i="32"/>
  <c r="E25" i="32"/>
  <c r="AA22" i="32"/>
  <c r="R22" i="32"/>
  <c r="I22" i="32"/>
  <c r="AB21" i="32"/>
  <c r="AC21" i="32" s="1"/>
  <c r="S21" i="32"/>
  <c r="T21" i="32" s="1"/>
  <c r="V21" i="32" s="1"/>
  <c r="E21" i="32"/>
  <c r="Y21" i="32" s="1"/>
  <c r="AB20" i="32"/>
  <c r="AC20" i="32" s="1"/>
  <c r="E20" i="32"/>
  <c r="AB19" i="32"/>
  <c r="AC19" i="32" s="1"/>
  <c r="AE19" i="32" s="1"/>
  <c r="Y19" i="32"/>
  <c r="S19" i="32"/>
  <c r="T19" i="32" s="1"/>
  <c r="E19" i="32"/>
  <c r="P19" i="32" s="1"/>
  <c r="S18" i="32"/>
  <c r="T18" i="32" s="1"/>
  <c r="E18" i="32"/>
  <c r="AB17" i="32"/>
  <c r="AC17" i="32" s="1"/>
  <c r="E17" i="32"/>
  <c r="AD17" i="32" s="1"/>
  <c r="AB16" i="32"/>
  <c r="AC16" i="32" s="1"/>
  <c r="E16" i="32"/>
  <c r="AB15" i="32"/>
  <c r="AC15" i="32" s="1"/>
  <c r="AD15" i="32" s="1"/>
  <c r="Y15" i="32"/>
  <c r="S15" i="32"/>
  <c r="T15" i="32" s="1"/>
  <c r="P15" i="32"/>
  <c r="E15" i="32"/>
  <c r="S14" i="32"/>
  <c r="T14" i="32" s="1"/>
  <c r="E14" i="32"/>
  <c r="AB13" i="32"/>
  <c r="AC13" i="32" s="1"/>
  <c r="E13" i="32"/>
  <c r="Y13" i="32" s="1"/>
  <c r="AB12" i="32"/>
  <c r="AC12" i="32" s="1"/>
  <c r="E12" i="32"/>
  <c r="AB11" i="32"/>
  <c r="AC11" i="32" s="1"/>
  <c r="Y11" i="32"/>
  <c r="S11" i="32"/>
  <c r="T11" i="32" s="1"/>
  <c r="P11" i="32"/>
  <c r="E11" i="32"/>
  <c r="S10" i="32"/>
  <c r="T10" i="32" s="1"/>
  <c r="E10" i="32"/>
  <c r="A10" i="32"/>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41" i="32" s="1"/>
  <c r="A42" i="32" s="1"/>
  <c r="A43" i="32" s="1"/>
  <c r="A44" i="32" s="1"/>
  <c r="A45" i="32" s="1"/>
  <c r="A46" i="32" s="1"/>
  <c r="A47" i="32" s="1"/>
  <c r="A48" i="32" s="1"/>
  <c r="A49" i="32" s="1"/>
  <c r="A50" i="32" s="1"/>
  <c r="A51" i="32" s="1"/>
  <c r="A52" i="32" s="1"/>
  <c r="A53" i="32" s="1"/>
  <c r="A54" i="32" s="1"/>
  <c r="E9" i="32"/>
  <c r="P34" i="32" l="1"/>
  <c r="P12" i="32"/>
  <c r="O22" i="32"/>
  <c r="AE13" i="32"/>
  <c r="V15" i="32"/>
  <c r="AE17" i="32"/>
  <c r="AE21" i="32"/>
  <c r="AD27" i="32"/>
  <c r="U28" i="32"/>
  <c r="M29" i="32"/>
  <c r="M32" i="32"/>
  <c r="G34" i="32"/>
  <c r="AD36" i="32"/>
  <c r="L51" i="32"/>
  <c r="V17" i="32"/>
  <c r="P21" i="32"/>
  <c r="L27" i="32"/>
  <c r="P28" i="32"/>
  <c r="V32" i="32"/>
  <c r="V43" i="32"/>
  <c r="Y32" i="32"/>
  <c r="P13" i="32"/>
  <c r="AE15" i="32"/>
  <c r="Y17" i="32"/>
  <c r="U27" i="32"/>
  <c r="G29" i="32"/>
  <c r="G32" i="32"/>
  <c r="AE32" i="32"/>
  <c r="L36" i="32"/>
  <c r="U19" i="32"/>
  <c r="U51" i="32"/>
  <c r="U13" i="32"/>
  <c r="V13" i="32"/>
  <c r="Y10" i="32"/>
  <c r="V19" i="32"/>
  <c r="M36" i="32"/>
  <c r="V51" i="32"/>
  <c r="V53" i="32"/>
  <c r="P17" i="32"/>
  <c r="AD30" i="32"/>
  <c r="Y29" i="32"/>
  <c r="M51" i="32"/>
  <c r="AE51" i="32"/>
  <c r="M53" i="32"/>
  <c r="AE53" i="32"/>
  <c r="AE14" i="32"/>
  <c r="AD14" i="32"/>
  <c r="T22" i="32"/>
  <c r="V10" i="32"/>
  <c r="U10" i="32"/>
  <c r="AE18" i="32"/>
  <c r="AD18" i="32"/>
  <c r="AD11" i="32"/>
  <c r="AE11" i="32"/>
  <c r="AE12" i="32"/>
  <c r="AD12" i="32"/>
  <c r="AE16" i="32"/>
  <c r="AD16" i="32"/>
  <c r="V11" i="32"/>
  <c r="U11" i="32"/>
  <c r="V12" i="32"/>
  <c r="U12" i="32"/>
  <c r="V14" i="32"/>
  <c r="U14" i="32"/>
  <c r="V16" i="32"/>
  <c r="U16" i="32"/>
  <c r="V18" i="32"/>
  <c r="U18" i="32"/>
  <c r="AB22" i="32"/>
  <c r="S48" i="32"/>
  <c r="T48" i="32" s="1"/>
  <c r="P48" i="32"/>
  <c r="X22" i="32"/>
  <c r="U15" i="32"/>
  <c r="Y16" i="32"/>
  <c r="P16" i="32"/>
  <c r="AD19" i="32"/>
  <c r="AE29" i="32"/>
  <c r="AD29" i="32"/>
  <c r="M35" i="32"/>
  <c r="L35" i="32"/>
  <c r="AE20" i="32"/>
  <c r="AD20" i="32"/>
  <c r="F38" i="32"/>
  <c r="J26" i="32"/>
  <c r="G26" i="32"/>
  <c r="AE35" i="32"/>
  <c r="AD35" i="32"/>
  <c r="M46" i="32"/>
  <c r="L46" i="32"/>
  <c r="AC10" i="32"/>
  <c r="P10" i="32"/>
  <c r="AD21" i="32"/>
  <c r="O38" i="32"/>
  <c r="S26" i="32"/>
  <c r="P26" i="32"/>
  <c r="AE28" i="32"/>
  <c r="AD28" i="32"/>
  <c r="AE31" i="32"/>
  <c r="AD31" i="32"/>
  <c r="AE34" i="32"/>
  <c r="AD34" i="32"/>
  <c r="V37" i="32"/>
  <c r="U37" i="32"/>
  <c r="J44" i="32"/>
  <c r="K44" i="32" s="1"/>
  <c r="G44" i="32"/>
  <c r="S22" i="32"/>
  <c r="Y14" i="32"/>
  <c r="P14" i="32"/>
  <c r="X38" i="32"/>
  <c r="AB26" i="32"/>
  <c r="Y26" i="32"/>
  <c r="Y31" i="32"/>
  <c r="P31" i="32"/>
  <c r="G31" i="32"/>
  <c r="M34" i="32"/>
  <c r="L34" i="32"/>
  <c r="AE46" i="32"/>
  <c r="AD46" i="32"/>
  <c r="Y12" i="32"/>
  <c r="V20" i="32"/>
  <c r="U20" i="32"/>
  <c r="V33" i="32"/>
  <c r="U33" i="32"/>
  <c r="AD13" i="32"/>
  <c r="U17" i="32"/>
  <c r="Y18" i="32"/>
  <c r="P18" i="32"/>
  <c r="U21" i="32"/>
  <c r="Y20" i="32"/>
  <c r="P20" i="32"/>
  <c r="M27" i="32"/>
  <c r="V27" i="32"/>
  <c r="AE27" i="32"/>
  <c r="V34" i="32"/>
  <c r="U34" i="32"/>
  <c r="V31" i="32"/>
  <c r="U31" i="32"/>
  <c r="M33" i="32"/>
  <c r="L33" i="32"/>
  <c r="S44" i="32"/>
  <c r="T44" i="32" s="1"/>
  <c r="P44" i="32"/>
  <c r="AD47" i="32"/>
  <c r="AE47" i="32"/>
  <c r="AB48" i="32"/>
  <c r="AC48" i="32" s="1"/>
  <c r="Y48" i="32"/>
  <c r="L49" i="32"/>
  <c r="M49" i="32"/>
  <c r="J50" i="32"/>
  <c r="K50" i="32" s="1"/>
  <c r="G50" i="32"/>
  <c r="V30" i="32"/>
  <c r="AE30" i="32"/>
  <c r="M31" i="32"/>
  <c r="L31" i="32"/>
  <c r="L32" i="32"/>
  <c r="U32" i="32"/>
  <c r="AD32" i="32"/>
  <c r="P35" i="32"/>
  <c r="G35" i="32"/>
  <c r="Y35" i="32"/>
  <c r="U36" i="32"/>
  <c r="V36" i="32"/>
  <c r="J37" i="32"/>
  <c r="K37" i="32" s="1"/>
  <c r="G37" i="32"/>
  <c r="AB37" i="32"/>
  <c r="AC37" i="32" s="1"/>
  <c r="Y37" i="32"/>
  <c r="AD43" i="32"/>
  <c r="AE43" i="32"/>
  <c r="AB44" i="32"/>
  <c r="AC44" i="32" s="1"/>
  <c r="Y44" i="32"/>
  <c r="L45" i="32"/>
  <c r="M45" i="32"/>
  <c r="V46" i="32"/>
  <c r="U46" i="32"/>
  <c r="G27" i="32"/>
  <c r="P27" i="32"/>
  <c r="L28" i="32"/>
  <c r="V28" i="32"/>
  <c r="L29" i="32"/>
  <c r="V29" i="32"/>
  <c r="L30" i="32"/>
  <c r="U30" i="32"/>
  <c r="Y33" i="32"/>
  <c r="P33" i="32"/>
  <c r="G33" i="32"/>
  <c r="AE33" i="32"/>
  <c r="AD33" i="32"/>
  <c r="V35" i="32"/>
  <c r="U35" i="32"/>
  <c r="J48" i="32"/>
  <c r="K48" i="32" s="1"/>
  <c r="G48" i="32"/>
  <c r="AB50" i="32"/>
  <c r="AC50" i="32" s="1"/>
  <c r="Y50" i="32"/>
  <c r="Y45" i="32"/>
  <c r="P45" i="32"/>
  <c r="G45" i="32"/>
  <c r="U45" i="32"/>
  <c r="Y49" i="32"/>
  <c r="P49" i="32"/>
  <c r="G49" i="32"/>
  <c r="U49" i="32"/>
  <c r="AD49" i="32"/>
  <c r="J52" i="32"/>
  <c r="K52" i="32" s="1"/>
  <c r="G52" i="32"/>
  <c r="AB52" i="32"/>
  <c r="AC52" i="32" s="1"/>
  <c r="Y52" i="32"/>
  <c r="F54" i="32"/>
  <c r="J42" i="32"/>
  <c r="S42" i="32"/>
  <c r="O54" i="32"/>
  <c r="AB42" i="32"/>
  <c r="X54" i="32"/>
  <c r="AD45" i="32"/>
  <c r="V49" i="32"/>
  <c r="AE49" i="32"/>
  <c r="S50" i="32"/>
  <c r="T50" i="32" s="1"/>
  <c r="P50" i="32"/>
  <c r="Y36" i="32"/>
  <c r="P36" i="32"/>
  <c r="G36" i="32"/>
  <c r="P37" i="32"/>
  <c r="G42" i="32"/>
  <c r="P42" i="32"/>
  <c r="Y42" i="32"/>
  <c r="Y43" i="32"/>
  <c r="P43" i="32"/>
  <c r="G43" i="32"/>
  <c r="M43" i="32"/>
  <c r="U43" i="32"/>
  <c r="AE45" i="32"/>
  <c r="G46" i="32"/>
  <c r="P46" i="32"/>
  <c r="Y46" i="32"/>
  <c r="Y47" i="32"/>
  <c r="P47" i="32"/>
  <c r="G47" i="32"/>
  <c r="M47" i="32"/>
  <c r="U47" i="32"/>
  <c r="S52" i="32"/>
  <c r="T52" i="32" s="1"/>
  <c r="P52" i="32"/>
  <c r="G51" i="32"/>
  <c r="P51" i="32"/>
  <c r="G53" i="32"/>
  <c r="P53" i="32"/>
  <c r="H42" i="32" l="1"/>
  <c r="H43" i="32" s="1"/>
  <c r="H44" i="32" s="1"/>
  <c r="H45" i="32" s="1"/>
  <c r="H46" i="32" s="1"/>
  <c r="H47" i="32" s="1"/>
  <c r="H48" i="32" s="1"/>
  <c r="H49" i="32" s="1"/>
  <c r="H50" i="32" s="1"/>
  <c r="H51" i="32" s="1"/>
  <c r="H52" i="32" s="1"/>
  <c r="H53" i="32" s="1"/>
  <c r="G54" i="32"/>
  <c r="AE52" i="32"/>
  <c r="AD52" i="32"/>
  <c r="AE37" i="32"/>
  <c r="AD37" i="32"/>
  <c r="Y38" i="32"/>
  <c r="Z26" i="32"/>
  <c r="Z27" i="32" s="1"/>
  <c r="Z28" i="32" s="1"/>
  <c r="Z29" i="32" s="1"/>
  <c r="Z30" i="32" s="1"/>
  <c r="Z31" i="32" s="1"/>
  <c r="Z32" i="32" s="1"/>
  <c r="Z33" i="32" s="1"/>
  <c r="Z34" i="32" s="1"/>
  <c r="Z35" i="32" s="1"/>
  <c r="Z36" i="32" s="1"/>
  <c r="Z37" i="32" s="1"/>
  <c r="AC22" i="32"/>
  <c r="AE10" i="32"/>
  <c r="AE22" i="32" s="1"/>
  <c r="AD10" i="32"/>
  <c r="U22" i="32"/>
  <c r="M48" i="32"/>
  <c r="L48" i="32"/>
  <c r="V50" i="32"/>
  <c r="U50" i="32"/>
  <c r="J54" i="32"/>
  <c r="K42" i="32"/>
  <c r="AB38" i="32"/>
  <c r="AC26" i="32"/>
  <c r="M44" i="32"/>
  <c r="L44" i="32"/>
  <c r="H26" i="32"/>
  <c r="H27" i="32" s="1"/>
  <c r="H28" i="32" s="1"/>
  <c r="H29" i="32" s="1"/>
  <c r="H30" i="32" s="1"/>
  <c r="H31" i="32" s="1"/>
  <c r="H32" i="32" s="1"/>
  <c r="H33" i="32" s="1"/>
  <c r="H34" i="32" s="1"/>
  <c r="H35" i="32" s="1"/>
  <c r="H36" i="32" s="1"/>
  <c r="H37" i="32" s="1"/>
  <c r="G38" i="32"/>
  <c r="V48" i="32"/>
  <c r="U48" i="32"/>
  <c r="Y22" i="32"/>
  <c r="V22" i="32"/>
  <c r="S38" i="32"/>
  <c r="T26" i="32"/>
  <c r="S54" i="32"/>
  <c r="T42" i="32"/>
  <c r="AE44" i="32"/>
  <c r="AD44" i="32"/>
  <c r="Y54" i="32"/>
  <c r="Z42" i="32"/>
  <c r="Z43" i="32" s="1"/>
  <c r="Z44" i="32" s="1"/>
  <c r="Z45" i="32" s="1"/>
  <c r="Z46" i="32" s="1"/>
  <c r="Z47" i="32" s="1"/>
  <c r="Z48" i="32" s="1"/>
  <c r="Z49" i="32" s="1"/>
  <c r="Z50" i="32" s="1"/>
  <c r="Z51" i="32" s="1"/>
  <c r="Z52" i="32" s="1"/>
  <c r="Z53" i="32" s="1"/>
  <c r="V52" i="32"/>
  <c r="U52" i="32"/>
  <c r="P54" i="32"/>
  <c r="Q42" i="32"/>
  <c r="Q43" i="32" s="1"/>
  <c r="Q44" i="32" s="1"/>
  <c r="Q45" i="32" s="1"/>
  <c r="Q46" i="32" s="1"/>
  <c r="Q47" i="32" s="1"/>
  <c r="Q48" i="32" s="1"/>
  <c r="Q49" i="32" s="1"/>
  <c r="Q50" i="32" s="1"/>
  <c r="Q51" i="32" s="1"/>
  <c r="Q52" i="32" s="1"/>
  <c r="Q53" i="32" s="1"/>
  <c r="AB54" i="32"/>
  <c r="AC42" i="32"/>
  <c r="M52" i="32"/>
  <c r="L52" i="32"/>
  <c r="AE50" i="32"/>
  <c r="AD50" i="32"/>
  <c r="M37" i="32"/>
  <c r="L37" i="32"/>
  <c r="M50" i="32"/>
  <c r="L50" i="32"/>
  <c r="AE48" i="32"/>
  <c r="AD48" i="32"/>
  <c r="V44" i="32"/>
  <c r="U44" i="32"/>
  <c r="P38" i="32"/>
  <c r="Q26" i="32"/>
  <c r="Q27" i="32" s="1"/>
  <c r="Q28" i="32" s="1"/>
  <c r="Q29" i="32" s="1"/>
  <c r="Q30" i="32" s="1"/>
  <c r="Q31" i="32" s="1"/>
  <c r="Q32" i="32" s="1"/>
  <c r="Q33" i="32" s="1"/>
  <c r="Q34" i="32" s="1"/>
  <c r="Q35" i="32" s="1"/>
  <c r="Q36" i="32" s="1"/>
  <c r="Q37" i="32" s="1"/>
  <c r="P22" i="32"/>
  <c r="W10" i="32"/>
  <c r="W11" i="32" s="1"/>
  <c r="W12" i="32" s="1"/>
  <c r="W13" i="32" s="1"/>
  <c r="W14" i="32" s="1"/>
  <c r="W15" i="32" s="1"/>
  <c r="W16" i="32" s="1"/>
  <c r="W17" i="32" s="1"/>
  <c r="W18" i="32" s="1"/>
  <c r="W19" i="32" s="1"/>
  <c r="W20" i="32" s="1"/>
  <c r="W21" i="32" s="1"/>
  <c r="G10" i="31" s="1"/>
  <c r="J38" i="32"/>
  <c r="K26" i="32"/>
  <c r="V26" i="32" l="1"/>
  <c r="V38" i="32" s="1"/>
  <c r="U26" i="32"/>
  <c r="T38" i="32"/>
  <c r="K38" i="32"/>
  <c r="M26" i="32"/>
  <c r="M38" i="32" s="1"/>
  <c r="L26" i="32"/>
  <c r="AE42" i="32"/>
  <c r="AE54" i="32" s="1"/>
  <c r="AC54" i="32"/>
  <c r="AD42" i="32"/>
  <c r="AD54" i="32" s="1"/>
  <c r="AF42" i="32"/>
  <c r="AF43" i="32" s="1"/>
  <c r="AF44" i="32" s="1"/>
  <c r="AF45" i="32" s="1"/>
  <c r="AF46" i="32" s="1"/>
  <c r="AF47" i="32" s="1"/>
  <c r="AF48" i="32" s="1"/>
  <c r="AF49" i="32" s="1"/>
  <c r="AF50" i="32" s="1"/>
  <c r="AF51" i="32" s="1"/>
  <c r="AF52" i="32" s="1"/>
  <c r="AF53" i="32" s="1"/>
  <c r="H30" i="31" s="1"/>
  <c r="H31" i="31" s="1"/>
  <c r="AD22" i="32"/>
  <c r="AF10" i="32"/>
  <c r="AF11" i="32" s="1"/>
  <c r="AF12" i="32" s="1"/>
  <c r="AF13" i="32" s="1"/>
  <c r="AF14" i="32" s="1"/>
  <c r="AF15" i="32" s="1"/>
  <c r="AF16" i="32" s="1"/>
  <c r="AF17" i="32" s="1"/>
  <c r="AF18" i="32" s="1"/>
  <c r="AF19" i="32" s="1"/>
  <c r="AF20" i="32" s="1"/>
  <c r="AF21" i="32" s="1"/>
  <c r="H10" i="31" s="1"/>
  <c r="AC38" i="32"/>
  <c r="AE26" i="32"/>
  <c r="AE38" i="32" s="1"/>
  <c r="AD26" i="32"/>
  <c r="AD38" i="32" s="1"/>
  <c r="K54" i="32"/>
  <c r="M42" i="32"/>
  <c r="M54" i="32" s="1"/>
  <c r="L42" i="32"/>
  <c r="L54" i="32" s="1"/>
  <c r="T54" i="32"/>
  <c r="V42" i="32"/>
  <c r="V54" i="32" s="1"/>
  <c r="U42" i="32"/>
  <c r="U54" i="32" s="1"/>
  <c r="AF26" i="32" l="1"/>
  <c r="AF27" i="32" s="1"/>
  <c r="AF28" i="32" s="1"/>
  <c r="AF29" i="32" s="1"/>
  <c r="AF30" i="32" s="1"/>
  <c r="AF31" i="32" s="1"/>
  <c r="AF32" i="32" s="1"/>
  <c r="AF33" i="32" s="1"/>
  <c r="AF34" i="32" s="1"/>
  <c r="AF35" i="32" s="1"/>
  <c r="AF36" i="32" s="1"/>
  <c r="AF37" i="32" s="1"/>
  <c r="H20" i="31" s="1"/>
  <c r="W42" i="32"/>
  <c r="W43" i="32" s="1"/>
  <c r="W44" i="32" s="1"/>
  <c r="W45" i="32" s="1"/>
  <c r="W46" i="32" s="1"/>
  <c r="W47" i="32" s="1"/>
  <c r="W48" i="32" s="1"/>
  <c r="W49" i="32" s="1"/>
  <c r="W50" i="32" s="1"/>
  <c r="W51" i="32" s="1"/>
  <c r="W52" i="32" s="1"/>
  <c r="W53" i="32" s="1"/>
  <c r="G30" i="31" s="1"/>
  <c r="G31" i="31" s="1"/>
  <c r="L38" i="32"/>
  <c r="N26" i="32"/>
  <c r="N27" i="32" s="1"/>
  <c r="N28" i="32" s="1"/>
  <c r="N29" i="32" s="1"/>
  <c r="N30" i="32" s="1"/>
  <c r="N31" i="32" s="1"/>
  <c r="N32" i="32" s="1"/>
  <c r="N33" i="32" s="1"/>
  <c r="N34" i="32" s="1"/>
  <c r="N35" i="32" s="1"/>
  <c r="N36" i="32" s="1"/>
  <c r="N37" i="32" s="1"/>
  <c r="F20" i="31" s="1"/>
  <c r="U38" i="32"/>
  <c r="W26" i="32"/>
  <c r="W27" i="32" s="1"/>
  <c r="W28" i="32" s="1"/>
  <c r="W29" i="32" s="1"/>
  <c r="W30" i="32" s="1"/>
  <c r="W31" i="32" s="1"/>
  <c r="W32" i="32" s="1"/>
  <c r="W33" i="32" s="1"/>
  <c r="W34" i="32" s="1"/>
  <c r="W35" i="32" s="1"/>
  <c r="W36" i="32" s="1"/>
  <c r="W37" i="32" s="1"/>
  <c r="G20" i="31" s="1"/>
  <c r="N42" i="32"/>
  <c r="N43" i="32" s="1"/>
  <c r="N44" i="32" s="1"/>
  <c r="N45" i="32" s="1"/>
  <c r="N46" i="32" s="1"/>
  <c r="N47" i="32" s="1"/>
  <c r="N48" i="32" s="1"/>
  <c r="N49" i="32" s="1"/>
  <c r="N50" i="32" s="1"/>
  <c r="N51" i="32" s="1"/>
  <c r="N52" i="32" s="1"/>
  <c r="N53" i="32" s="1"/>
  <c r="F30" i="31" s="1"/>
  <c r="E30" i="31" s="1"/>
  <c r="E20" i="31" l="1"/>
  <c r="A9" i="27"/>
  <c r="A10" i="27" s="1"/>
  <c r="L205" i="25" l="1"/>
  <c r="L204" i="25"/>
  <c r="L203" i="25"/>
  <c r="I57" i="5"/>
  <c r="I56" i="5"/>
  <c r="I55" i="5"/>
  <c r="I54" i="5"/>
  <c r="H11" i="17" l="1"/>
  <c r="G11" i="17"/>
  <c r="F11" i="17"/>
  <c r="E11" i="17"/>
  <c r="D11" i="17"/>
  <c r="L206" i="25" l="1"/>
  <c r="L202" i="25"/>
  <c r="L201" i="25"/>
  <c r="E155" i="25"/>
  <c r="E154" i="25"/>
  <c r="I58" i="5"/>
  <c r="I53" i="5"/>
  <c r="I71" i="1"/>
  <c r="I65" i="1"/>
  <c r="I63" i="1"/>
  <c r="E44" i="5" l="1"/>
  <c r="A9" i="31"/>
  <c r="A10" i="31" s="1"/>
  <c r="G75" i="30"/>
  <c r="F75" i="30"/>
  <c r="E75" i="30"/>
  <c r="D75" i="30"/>
  <c r="D78" i="30" s="1"/>
  <c r="C75" i="30"/>
  <c r="G51" i="30"/>
  <c r="G54" i="30" s="1"/>
  <c r="F51" i="30"/>
  <c r="F54" i="30" s="1"/>
  <c r="E51" i="30"/>
  <c r="E54" i="30" s="1"/>
  <c r="D51" i="30"/>
  <c r="D54" i="30" s="1"/>
  <c r="C51" i="30"/>
  <c r="C54" i="30" s="1"/>
  <c r="G29" i="30"/>
  <c r="G32" i="30" s="1"/>
  <c r="F29" i="30"/>
  <c r="F32" i="30" s="1"/>
  <c r="E29" i="30"/>
  <c r="E32" i="30" s="1"/>
  <c r="D29" i="30"/>
  <c r="D32" i="30" s="1"/>
  <c r="C29" i="30"/>
  <c r="C32" i="30" s="1"/>
  <c r="A10" i="30"/>
  <c r="A11" i="30" s="1"/>
  <c r="A12" i="30" s="1"/>
  <c r="A19" i="30" s="1"/>
  <c r="A20" i="30" s="1"/>
  <c r="A21" i="30" s="1"/>
  <c r="A22" i="30" s="1"/>
  <c r="A23" i="30" s="1"/>
  <c r="A24" i="30" s="1"/>
  <c r="A25" i="30" s="1"/>
  <c r="A26" i="30" s="1"/>
  <c r="A27" i="30" s="1"/>
  <c r="A28" i="30" s="1"/>
  <c r="A29" i="30" s="1"/>
  <c r="A30" i="30" s="1"/>
  <c r="A31" i="30" s="1"/>
  <c r="A32" i="30" s="1"/>
  <c r="A43" i="30" s="1"/>
  <c r="A44" i="30" s="1"/>
  <c r="A45" i="30" s="1"/>
  <c r="A46" i="30" s="1"/>
  <c r="A47" i="30" s="1"/>
  <c r="A48" i="30" s="1"/>
  <c r="A49" i="30" s="1"/>
  <c r="A50" i="30" s="1"/>
  <c r="A51" i="30" s="1"/>
  <c r="A52" i="30" s="1"/>
  <c r="A53" i="30" s="1"/>
  <c r="A54" i="30" s="1"/>
  <c r="A65" i="30" s="1"/>
  <c r="A66" i="30" s="1"/>
  <c r="A67" i="30" s="1"/>
  <c r="A68" i="30" s="1"/>
  <c r="A69" i="30" s="1"/>
  <c r="A70" i="30" s="1"/>
  <c r="A71" i="30" s="1"/>
  <c r="A72" i="30" s="1"/>
  <c r="A73" i="30" s="1"/>
  <c r="A74" i="30" s="1"/>
  <c r="A75" i="30" s="1"/>
  <c r="A76" i="30" s="1"/>
  <c r="A77" i="30" s="1"/>
  <c r="A78" i="30" s="1"/>
  <c r="G9" i="30"/>
  <c r="G75" i="29"/>
  <c r="G78" i="29" s="1"/>
  <c r="H18" i="31" s="1"/>
  <c r="F75" i="29"/>
  <c r="F78" i="29" s="1"/>
  <c r="G18" i="31" s="1"/>
  <c r="E75" i="29"/>
  <c r="E78" i="29" s="1"/>
  <c r="D75" i="29"/>
  <c r="D78" i="29" s="1"/>
  <c r="C75" i="29"/>
  <c r="C78" i="29" s="1"/>
  <c r="F25" i="28" s="1"/>
  <c r="F38" i="28" s="1"/>
  <c r="G51" i="29"/>
  <c r="G54" i="29" s="1"/>
  <c r="F51" i="29"/>
  <c r="F54" i="29" s="1"/>
  <c r="E51" i="29"/>
  <c r="E54" i="29" s="1"/>
  <c r="D51" i="29"/>
  <c r="D54" i="29" s="1"/>
  <c r="C51" i="29"/>
  <c r="C54" i="29" s="1"/>
  <c r="G29" i="29"/>
  <c r="G32" i="29" s="1"/>
  <c r="H28" i="31" s="1"/>
  <c r="F29" i="29"/>
  <c r="F32" i="29" s="1"/>
  <c r="E29" i="29"/>
  <c r="E32" i="29" s="1"/>
  <c r="D29" i="29"/>
  <c r="D32" i="29" s="1"/>
  <c r="C29" i="29"/>
  <c r="C32" i="29" s="1"/>
  <c r="F41" i="28" s="1"/>
  <c r="F54" i="28" s="1"/>
  <c r="A10" i="29"/>
  <c r="A11" i="29" s="1"/>
  <c r="A12" i="29" s="1"/>
  <c r="A19" i="29" s="1"/>
  <c r="A20" i="29" s="1"/>
  <c r="A21" i="29" s="1"/>
  <c r="A22" i="29" s="1"/>
  <c r="A23" i="29" s="1"/>
  <c r="A24" i="29" s="1"/>
  <c r="A25" i="29" s="1"/>
  <c r="A26" i="29" s="1"/>
  <c r="A27" i="29" s="1"/>
  <c r="A28" i="29" s="1"/>
  <c r="A29" i="29" s="1"/>
  <c r="A30" i="29" s="1"/>
  <c r="A31" i="29" s="1"/>
  <c r="A32" i="29" s="1"/>
  <c r="A43" i="29" s="1"/>
  <c r="A44" i="29" s="1"/>
  <c r="A45" i="29" s="1"/>
  <c r="A46" i="29" s="1"/>
  <c r="A47" i="29" s="1"/>
  <c r="A48" i="29" s="1"/>
  <c r="A49" i="29" s="1"/>
  <c r="A50" i="29" s="1"/>
  <c r="A51" i="29" s="1"/>
  <c r="A52" i="29" s="1"/>
  <c r="A53" i="29" s="1"/>
  <c r="A54" i="29" s="1"/>
  <c r="A65" i="29" s="1"/>
  <c r="A66" i="29" s="1"/>
  <c r="A67" i="29" s="1"/>
  <c r="A68" i="29" s="1"/>
  <c r="A69" i="29" s="1"/>
  <c r="A70" i="29" s="1"/>
  <c r="A71" i="29" s="1"/>
  <c r="A72" i="29" s="1"/>
  <c r="A73" i="29" s="1"/>
  <c r="A74" i="29" s="1"/>
  <c r="A75" i="29" s="1"/>
  <c r="A76" i="29" s="1"/>
  <c r="A77" i="29" s="1"/>
  <c r="A78" i="29" s="1"/>
  <c r="E53" i="28"/>
  <c r="E52" i="28"/>
  <c r="E51" i="28"/>
  <c r="L51" i="28" s="1"/>
  <c r="L50" i="28"/>
  <c r="E50" i="28"/>
  <c r="H50" i="28" s="1"/>
  <c r="E49" i="28"/>
  <c r="E48" i="28"/>
  <c r="H48" i="28" s="1"/>
  <c r="H47" i="28"/>
  <c r="E47" i="28"/>
  <c r="L47" i="28" s="1"/>
  <c r="E46" i="28"/>
  <c r="H46" i="28" s="1"/>
  <c r="L45" i="28"/>
  <c r="E45" i="28"/>
  <c r="E44" i="28"/>
  <c r="H44" i="28" s="1"/>
  <c r="L43" i="28"/>
  <c r="J43" i="28"/>
  <c r="E43" i="28"/>
  <c r="H43" i="28" s="1"/>
  <c r="E42" i="28"/>
  <c r="H42" i="28" s="1"/>
  <c r="K41" i="28"/>
  <c r="K54" i="28" s="1"/>
  <c r="I41" i="28"/>
  <c r="E41" i="28"/>
  <c r="E37" i="28"/>
  <c r="E36" i="28"/>
  <c r="L36" i="28" s="1"/>
  <c r="E35" i="28"/>
  <c r="H35" i="28" s="1"/>
  <c r="E34" i="28"/>
  <c r="L34" i="28" s="1"/>
  <c r="E33" i="28"/>
  <c r="L32" i="28"/>
  <c r="E32" i="28"/>
  <c r="J32" i="28" s="1"/>
  <c r="J31" i="28"/>
  <c r="E31" i="28"/>
  <c r="H31" i="28" s="1"/>
  <c r="E30" i="28"/>
  <c r="L30" i="28" s="1"/>
  <c r="E29" i="28"/>
  <c r="E28" i="28"/>
  <c r="L28" i="28" s="1"/>
  <c r="L27" i="28"/>
  <c r="E27" i="28"/>
  <c r="H27" i="28" s="1"/>
  <c r="E26" i="28"/>
  <c r="K25" i="28"/>
  <c r="K38" i="28" s="1"/>
  <c r="I25" i="28"/>
  <c r="E25" i="28"/>
  <c r="F21" i="32"/>
  <c r="E21" i="28"/>
  <c r="L21" i="28" s="1"/>
  <c r="F20" i="32"/>
  <c r="E20" i="28"/>
  <c r="L20" i="28" s="1"/>
  <c r="F19" i="32"/>
  <c r="E19" i="28"/>
  <c r="L19" i="28" s="1"/>
  <c r="L18" i="28"/>
  <c r="F18" i="32"/>
  <c r="E18" i="28"/>
  <c r="F17" i="32"/>
  <c r="E17" i="28"/>
  <c r="L17" i="28" s="1"/>
  <c r="F16" i="32"/>
  <c r="E16" i="28"/>
  <c r="L16" i="28" s="1"/>
  <c r="F15" i="32"/>
  <c r="E15" i="28"/>
  <c r="L15" i="28" s="1"/>
  <c r="F14" i="32"/>
  <c r="E14" i="28"/>
  <c r="J14" i="28" s="1"/>
  <c r="F13" i="32"/>
  <c r="E13" i="28"/>
  <c r="L13" i="28" s="1"/>
  <c r="F12" i="32"/>
  <c r="E12" i="28"/>
  <c r="H12" i="28" s="1"/>
  <c r="J11" i="28"/>
  <c r="E11" i="28"/>
  <c r="L11" i="28" s="1"/>
  <c r="F10" i="32"/>
  <c r="E10" i="28"/>
  <c r="J10" i="28" s="1"/>
  <c r="A10" i="28"/>
  <c r="A11" i="28" s="1"/>
  <c r="A12" i="28" s="1"/>
  <c r="A13" i="28" s="1"/>
  <c r="A14" i="28" s="1"/>
  <c r="A15" i="28" s="1"/>
  <c r="A16" i="28" s="1"/>
  <c r="A17" i="28" s="1"/>
  <c r="A18" i="28" s="1"/>
  <c r="A19" i="28" s="1"/>
  <c r="A20" i="28" s="1"/>
  <c r="A21" i="28" s="1"/>
  <c r="A22" i="28" s="1"/>
  <c r="A25" i="28" s="1"/>
  <c r="A26" i="28" s="1"/>
  <c r="A27" i="28" s="1"/>
  <c r="A28" i="28" s="1"/>
  <c r="A29" i="28" s="1"/>
  <c r="A30" i="28" s="1"/>
  <c r="A31" i="28" s="1"/>
  <c r="A32" i="28" s="1"/>
  <c r="A33" i="28" s="1"/>
  <c r="A34" i="28" s="1"/>
  <c r="A35" i="28" s="1"/>
  <c r="A36" i="28" s="1"/>
  <c r="A37" i="28" s="1"/>
  <c r="A38" i="28" s="1"/>
  <c r="A41" i="28" s="1"/>
  <c r="A42" i="28" s="1"/>
  <c r="A43" i="28" s="1"/>
  <c r="A44" i="28" s="1"/>
  <c r="A45" i="28" s="1"/>
  <c r="A46" i="28" s="1"/>
  <c r="A47" i="28" s="1"/>
  <c r="A48" i="28" s="1"/>
  <c r="A49" i="28" s="1"/>
  <c r="A50" i="28" s="1"/>
  <c r="A51" i="28" s="1"/>
  <c r="A52" i="28" s="1"/>
  <c r="A53" i="28" s="1"/>
  <c r="A54" i="28" s="1"/>
  <c r="E9" i="28"/>
  <c r="A11" i="27"/>
  <c r="A12" i="27" s="1"/>
  <c r="A13" i="27" s="1"/>
  <c r="A14" i="27" s="1"/>
  <c r="A15" i="27" s="1"/>
  <c r="A18" i="27" s="1"/>
  <c r="A19" i="27" s="1"/>
  <c r="A20" i="27" s="1"/>
  <c r="A21" i="27" s="1"/>
  <c r="A22" i="27" s="1"/>
  <c r="A23" i="27" s="1"/>
  <c r="A24" i="27" s="1"/>
  <c r="A25" i="27" s="1"/>
  <c r="A2" i="28"/>
  <c r="L41" i="28" l="1"/>
  <c r="F9" i="31"/>
  <c r="E9" i="31" s="1"/>
  <c r="F9" i="27"/>
  <c r="E9" i="27" s="1"/>
  <c r="E11" i="30"/>
  <c r="F29" i="31"/>
  <c r="F29" i="27"/>
  <c r="E29" i="27" s="1"/>
  <c r="F18" i="31"/>
  <c r="E18" i="31" s="1"/>
  <c r="G25" i="28"/>
  <c r="G38" i="28" s="1"/>
  <c r="F28" i="31"/>
  <c r="G41" i="28"/>
  <c r="G54" i="28" s="1"/>
  <c r="H11" i="31"/>
  <c r="F78" i="30"/>
  <c r="G21" i="31"/>
  <c r="C78" i="30"/>
  <c r="G78" i="30"/>
  <c r="H21" i="31"/>
  <c r="J17" i="32"/>
  <c r="K17" i="32" s="1"/>
  <c r="G17" i="32"/>
  <c r="F11" i="29"/>
  <c r="G28" i="31"/>
  <c r="H9" i="32"/>
  <c r="F8" i="31"/>
  <c r="J15" i="32"/>
  <c r="K15" i="32" s="1"/>
  <c r="G15" i="32"/>
  <c r="H17" i="28"/>
  <c r="H36" i="28"/>
  <c r="G8" i="31"/>
  <c r="Q9" i="32"/>
  <c r="Q10" i="32" s="1"/>
  <c r="Q11" i="32" s="1"/>
  <c r="Q12" i="32" s="1"/>
  <c r="Q13" i="32" s="1"/>
  <c r="Q14" i="32" s="1"/>
  <c r="Q15" i="32" s="1"/>
  <c r="Q16" i="32" s="1"/>
  <c r="Q17" i="32" s="1"/>
  <c r="Q18" i="32" s="1"/>
  <c r="Q19" i="32" s="1"/>
  <c r="Q20" i="32" s="1"/>
  <c r="Q21" i="32" s="1"/>
  <c r="J12" i="32"/>
  <c r="K12" i="32" s="1"/>
  <c r="G12" i="32"/>
  <c r="H15" i="28"/>
  <c r="J17" i="28"/>
  <c r="H32" i="28"/>
  <c r="L42" i="28"/>
  <c r="J18" i="32"/>
  <c r="K18" i="32" s="1"/>
  <c r="G18" i="32"/>
  <c r="J10" i="32"/>
  <c r="G10" i="32"/>
  <c r="J13" i="32"/>
  <c r="K13" i="32" s="1"/>
  <c r="G13" i="32"/>
  <c r="J16" i="32"/>
  <c r="K16" i="32" s="1"/>
  <c r="G16" i="32"/>
  <c r="J20" i="32"/>
  <c r="K20" i="32" s="1"/>
  <c r="G20" i="32"/>
  <c r="J42" i="28"/>
  <c r="H11" i="28"/>
  <c r="F11" i="32"/>
  <c r="J12" i="28"/>
  <c r="J14" i="32"/>
  <c r="K14" i="32" s="1"/>
  <c r="G14" i="32"/>
  <c r="J15" i="28"/>
  <c r="J19" i="32"/>
  <c r="K19" i="32" s="1"/>
  <c r="G19" i="32"/>
  <c r="J21" i="32"/>
  <c r="K21" i="32" s="1"/>
  <c r="G21" i="32"/>
  <c r="H8" i="31"/>
  <c r="Z9" i="32"/>
  <c r="Z10" i="32" s="1"/>
  <c r="Z11" i="32" s="1"/>
  <c r="Z12" i="32" s="1"/>
  <c r="Z13" i="32" s="1"/>
  <c r="Z14" i="32" s="1"/>
  <c r="Z15" i="32" s="1"/>
  <c r="Z16" i="32" s="1"/>
  <c r="Z17" i="32" s="1"/>
  <c r="Z18" i="32" s="1"/>
  <c r="Z19" i="32" s="1"/>
  <c r="Z20" i="32" s="1"/>
  <c r="Z21" i="32" s="1"/>
  <c r="G11" i="31"/>
  <c r="E78" i="30"/>
  <c r="A19" i="31"/>
  <c r="A20" i="31" s="1"/>
  <c r="A29" i="31" s="1"/>
  <c r="H13" i="28"/>
  <c r="L14" i="28"/>
  <c r="H21" i="28"/>
  <c r="H28" i="28"/>
  <c r="L31" i="28"/>
  <c r="J35" i="28"/>
  <c r="J36" i="28"/>
  <c r="J46" i="28"/>
  <c r="J47" i="28"/>
  <c r="H51" i="28"/>
  <c r="J13" i="28"/>
  <c r="H19" i="28"/>
  <c r="J21" i="28"/>
  <c r="J25" i="28"/>
  <c r="J27" i="28"/>
  <c r="J28" i="28"/>
  <c r="L35" i="28"/>
  <c r="L46" i="28"/>
  <c r="J50" i="28"/>
  <c r="J51" i="28"/>
  <c r="J41" i="28"/>
  <c r="H10" i="28"/>
  <c r="J19" i="28"/>
  <c r="H41" i="28"/>
  <c r="A28" i="27"/>
  <c r="A29" i="27" s="1"/>
  <c r="A30" i="27" s="1"/>
  <c r="A31" i="27" s="1"/>
  <c r="A32" i="27" s="1"/>
  <c r="A33" i="27" s="1"/>
  <c r="A34" i="27" s="1"/>
  <c r="A35" i="27" s="1"/>
  <c r="E9" i="30"/>
  <c r="F10" i="30"/>
  <c r="E10" i="29"/>
  <c r="F18" i="27"/>
  <c r="F9" i="28"/>
  <c r="F22" i="28" s="1"/>
  <c r="G9" i="28"/>
  <c r="G22" i="28" s="1"/>
  <c r="E9" i="29"/>
  <c r="F8" i="27"/>
  <c r="F11" i="30"/>
  <c r="G11" i="29"/>
  <c r="H28" i="27"/>
  <c r="G28" i="27"/>
  <c r="F10" i="29"/>
  <c r="G18" i="27"/>
  <c r="F9" i="29"/>
  <c r="I9" i="28"/>
  <c r="G8" i="27"/>
  <c r="G10" i="29"/>
  <c r="H18" i="27"/>
  <c r="L9" i="28"/>
  <c r="G11" i="30"/>
  <c r="G9" i="29"/>
  <c r="F28" i="27"/>
  <c r="L12" i="28"/>
  <c r="L33" i="28"/>
  <c r="J33" i="28"/>
  <c r="J53" i="28"/>
  <c r="H53" i="28"/>
  <c r="K9" i="28"/>
  <c r="K22" i="28" s="1"/>
  <c r="J26" i="28"/>
  <c r="H26" i="28"/>
  <c r="H33" i="28"/>
  <c r="L37" i="28"/>
  <c r="J37" i="28"/>
  <c r="I38" i="28"/>
  <c r="L52" i="28"/>
  <c r="J52" i="28"/>
  <c r="L53" i="28"/>
  <c r="I54" i="28"/>
  <c r="L29" i="28"/>
  <c r="J29" i="28"/>
  <c r="J34" i="28"/>
  <c r="H34" i="28"/>
  <c r="L44" i="28"/>
  <c r="L54" i="28" s="1"/>
  <c r="H30" i="27" s="1"/>
  <c r="J44" i="28"/>
  <c r="J49" i="28"/>
  <c r="H49" i="28"/>
  <c r="H8" i="27"/>
  <c r="L10" i="28"/>
  <c r="H29" i="28"/>
  <c r="J54" i="28"/>
  <c r="G30" i="27" s="1"/>
  <c r="L48" i="28"/>
  <c r="J48" i="28"/>
  <c r="L49" i="28"/>
  <c r="E11" i="29"/>
  <c r="F9" i="30"/>
  <c r="H9" i="28"/>
  <c r="H14" i="28"/>
  <c r="J16" i="28"/>
  <c r="H16" i="28"/>
  <c r="J18" i="28"/>
  <c r="H18" i="28"/>
  <c r="J20" i="28"/>
  <c r="H20" i="28"/>
  <c r="L25" i="28"/>
  <c r="L26" i="28"/>
  <c r="J30" i="28"/>
  <c r="H30" i="28"/>
  <c r="H37" i="28"/>
  <c r="J45" i="28"/>
  <c r="H45" i="28"/>
  <c r="H52" i="28"/>
  <c r="H25" i="28" l="1"/>
  <c r="E8" i="31"/>
  <c r="E8" i="27"/>
  <c r="E28" i="27"/>
  <c r="E18" i="27"/>
  <c r="E28" i="31"/>
  <c r="E10" i="30"/>
  <c r="F19" i="31"/>
  <c r="F19" i="27"/>
  <c r="E19" i="27" s="1"/>
  <c r="E29" i="31"/>
  <c r="F31" i="31"/>
  <c r="E12" i="29"/>
  <c r="G11" i="32"/>
  <c r="G22" i="32" s="1"/>
  <c r="J11" i="32"/>
  <c r="K11" i="32" s="1"/>
  <c r="H54" i="28"/>
  <c r="F30" i="27" s="1"/>
  <c r="M21" i="32"/>
  <c r="L21" i="32"/>
  <c r="F22" i="32"/>
  <c r="M14" i="32"/>
  <c r="L14" i="32"/>
  <c r="L16" i="32"/>
  <c r="M16" i="32"/>
  <c r="K10" i="32"/>
  <c r="M20" i="32"/>
  <c r="L20" i="32"/>
  <c r="M13" i="32"/>
  <c r="L13" i="32"/>
  <c r="M18" i="32"/>
  <c r="L18" i="32"/>
  <c r="M12" i="32"/>
  <c r="L12" i="32"/>
  <c r="H10" i="32"/>
  <c r="M17" i="32"/>
  <c r="L17" i="32"/>
  <c r="E12" i="30"/>
  <c r="M19" i="32"/>
  <c r="L19" i="32"/>
  <c r="L15" i="32"/>
  <c r="M15" i="32"/>
  <c r="G10" i="30"/>
  <c r="G12" i="30" s="1"/>
  <c r="L22" i="28"/>
  <c r="H10" i="27" s="1"/>
  <c r="H11" i="27" s="1"/>
  <c r="F12" i="30"/>
  <c r="J38" i="28"/>
  <c r="G20" i="27" s="1"/>
  <c r="F12" i="29"/>
  <c r="G31" i="27"/>
  <c r="G12" i="29"/>
  <c r="G21" i="27"/>
  <c r="I22" i="28"/>
  <c r="J9" i="28"/>
  <c r="J22" i="28" s="1"/>
  <c r="G10" i="27" s="1"/>
  <c r="G11" i="27" s="1"/>
  <c r="H38" i="28"/>
  <c r="F20" i="27" s="1"/>
  <c r="H31" i="27"/>
  <c r="L38" i="28"/>
  <c r="H20" i="27" s="1"/>
  <c r="H22" i="28"/>
  <c r="F10" i="27" s="1"/>
  <c r="E10" i="27" s="1"/>
  <c r="H11" i="32" l="1"/>
  <c r="H12" i="32" s="1"/>
  <c r="H13" i="32" s="1"/>
  <c r="H14" i="32" s="1"/>
  <c r="H15" i="32" s="1"/>
  <c r="H16" i="32" s="1"/>
  <c r="H17" i="32" s="1"/>
  <c r="H18" i="32" s="1"/>
  <c r="H19" i="32" s="1"/>
  <c r="H20" i="32" s="1"/>
  <c r="H21" i="32" s="1"/>
  <c r="J22" i="32"/>
  <c r="E19" i="31"/>
  <c r="F21" i="31"/>
  <c r="F35" i="31"/>
  <c r="E31" i="31"/>
  <c r="E35" i="31" s="1"/>
  <c r="F31" i="27"/>
  <c r="F35" i="27" s="1"/>
  <c r="E30" i="27"/>
  <c r="F21" i="27"/>
  <c r="F25" i="27" s="1"/>
  <c r="E20" i="27"/>
  <c r="L10" i="32"/>
  <c r="K22" i="32"/>
  <c r="M10" i="32"/>
  <c r="L11" i="32"/>
  <c r="M11" i="32"/>
  <c r="H21" i="27"/>
  <c r="F11" i="27"/>
  <c r="M22" i="32" l="1"/>
  <c r="E21" i="27"/>
  <c r="E25" i="27" s="1"/>
  <c r="F25" i="31"/>
  <c r="E21" i="31"/>
  <c r="E25" i="31" s="1"/>
  <c r="E31" i="27"/>
  <c r="E35" i="27" s="1"/>
  <c r="F15" i="27"/>
  <c r="E11" i="27"/>
  <c r="E15" i="27" s="1"/>
  <c r="L22" i="32"/>
  <c r="N10" i="32"/>
  <c r="N11" i="32" s="1"/>
  <c r="N12" i="32" s="1"/>
  <c r="N13" i="32" s="1"/>
  <c r="N14" i="32" s="1"/>
  <c r="N15" i="32" s="1"/>
  <c r="N16" i="32" s="1"/>
  <c r="N17" i="32" s="1"/>
  <c r="N18" i="32" s="1"/>
  <c r="N19" i="32" s="1"/>
  <c r="N20" i="32" s="1"/>
  <c r="N21" i="32" s="1"/>
  <c r="F10" i="31" s="1"/>
  <c r="F11" i="31" l="1"/>
  <c r="F15" i="31" s="1"/>
  <c r="E10" i="31"/>
  <c r="E56" i="26"/>
  <c r="B54" i="26"/>
  <c r="G39" i="26"/>
  <c r="D39" i="26"/>
  <c r="E31" i="26" s="1"/>
  <c r="F37" i="26"/>
  <c r="H37" i="26" s="1"/>
  <c r="F36" i="26"/>
  <c r="H36" i="26" s="1"/>
  <c r="F35" i="26"/>
  <c r="H35" i="26" s="1"/>
  <c r="F34" i="26"/>
  <c r="H34" i="26" s="1"/>
  <c r="F33" i="26"/>
  <c r="H33" i="26" s="1"/>
  <c r="E33" i="26"/>
  <c r="F32" i="26"/>
  <c r="H32" i="26" s="1"/>
  <c r="F31" i="26"/>
  <c r="H31" i="26" s="1"/>
  <c r="F30" i="26"/>
  <c r="H30" i="26" s="1"/>
  <c r="F29" i="26"/>
  <c r="H29" i="26" s="1"/>
  <c r="F28" i="26"/>
  <c r="H28" i="26" s="1"/>
  <c r="F27" i="26"/>
  <c r="H27" i="26" s="1"/>
  <c r="F26" i="26"/>
  <c r="H26" i="26" s="1"/>
  <c r="J26" i="26" s="1"/>
  <c r="E26" i="26"/>
  <c r="F25" i="26"/>
  <c r="H25" i="26" s="1"/>
  <c r="F24" i="26"/>
  <c r="H24" i="26" s="1"/>
  <c r="F23" i="26"/>
  <c r="H23" i="26" s="1"/>
  <c r="F22" i="26"/>
  <c r="H22" i="26" s="1"/>
  <c r="F21" i="26"/>
  <c r="H21" i="26" s="1"/>
  <c r="F20" i="26"/>
  <c r="H20" i="26" s="1"/>
  <c r="F19" i="26"/>
  <c r="H19" i="26" s="1"/>
  <c r="F18" i="26"/>
  <c r="E11" i="31" l="1"/>
  <c r="E15" i="31" s="1"/>
  <c r="E24" i="26"/>
  <c r="F39" i="26"/>
  <c r="E36" i="26"/>
  <c r="E22" i="26"/>
  <c r="E20" i="26"/>
  <c r="H18" i="26"/>
  <c r="H39" i="26" s="1"/>
  <c r="E28" i="26"/>
  <c r="E30" i="26"/>
  <c r="J34" i="26"/>
  <c r="K34" i="26" s="1"/>
  <c r="E19" i="26"/>
  <c r="E21" i="26"/>
  <c r="E23" i="26"/>
  <c r="E25" i="26"/>
  <c r="E32" i="26"/>
  <c r="E34" i="26"/>
  <c r="E35" i="26"/>
  <c r="E37" i="26"/>
  <c r="E18" i="26"/>
  <c r="E27" i="26"/>
  <c r="E29" i="26"/>
  <c r="J33" i="26"/>
  <c r="K33" i="26" s="1"/>
  <c r="J36" i="26"/>
  <c r="K36" i="26" s="1"/>
  <c r="J30" i="26"/>
  <c r="K30" i="26" s="1"/>
  <c r="J19" i="26"/>
  <c r="K19" i="26" s="1"/>
  <c r="J23" i="26"/>
  <c r="K23" i="26" s="1"/>
  <c r="J37" i="26"/>
  <c r="K37" i="26" s="1"/>
  <c r="J27" i="26"/>
  <c r="K27" i="26" s="1"/>
  <c r="J20" i="26"/>
  <c r="K20" i="26" s="1"/>
  <c r="J24" i="26"/>
  <c r="K24" i="26"/>
  <c r="J28" i="26"/>
  <c r="K28" i="26" s="1"/>
  <c r="J22" i="26"/>
  <c r="K22" i="26" s="1"/>
  <c r="J21" i="26"/>
  <c r="K21" i="26" s="1"/>
  <c r="J25" i="26"/>
  <c r="K25" i="26" s="1"/>
  <c r="J32" i="26"/>
  <c r="K32" i="26" s="1"/>
  <c r="J35" i="26"/>
  <c r="K35" i="26" s="1"/>
  <c r="J29" i="26"/>
  <c r="K29" i="26"/>
  <c r="J31" i="26"/>
  <c r="K31" i="26" s="1"/>
  <c r="K18" i="26"/>
  <c r="K26" i="26"/>
  <c r="J18" i="26"/>
  <c r="E39" i="26" l="1"/>
  <c r="K39" i="26"/>
  <c r="J39" i="26"/>
  <c r="J42" i="26" s="1"/>
  <c r="E207" i="25" l="1"/>
  <c r="E177" i="25"/>
  <c r="A181" i="25"/>
  <c r="A182" i="25" s="1"/>
  <c r="A183" i="25" s="1"/>
  <c r="A184" i="25" s="1"/>
  <c r="A185" i="25" s="1"/>
  <c r="A186" i="25" s="1"/>
  <c r="A187" i="25" s="1"/>
  <c r="A188" i="25" s="1"/>
  <c r="A189" i="25" s="1"/>
  <c r="A190" i="25" s="1"/>
  <c r="A191" i="25" s="1"/>
  <c r="A192" i="25" s="1"/>
  <c r="A193" i="25" s="1"/>
  <c r="A194" i="25" s="1"/>
  <c r="A200" i="25" s="1"/>
  <c r="H194" i="25"/>
  <c r="E69" i="25" s="1"/>
  <c r="G194" i="25"/>
  <c r="E65" i="25" s="1"/>
  <c r="E194" i="25"/>
  <c r="E40" i="25" s="1"/>
  <c r="D186" i="25"/>
  <c r="D187" i="25" s="1"/>
  <c r="D188" i="25" s="1"/>
  <c r="D189" i="25" s="1"/>
  <c r="D190" i="25" s="1"/>
  <c r="D191" i="25" s="1"/>
  <c r="D192" i="25" s="1"/>
  <c r="D193" i="25" s="1"/>
  <c r="L207" i="25" l="1"/>
  <c r="E59" i="25" s="1"/>
  <c r="D194" i="25"/>
  <c r="E32" i="25" s="1"/>
  <c r="F51" i="22" l="1"/>
  <c r="G52" i="22" s="1"/>
  <c r="J52" i="22" s="1"/>
  <c r="I43" i="22"/>
  <c r="H43" i="22"/>
  <c r="G43" i="22"/>
  <c r="F43" i="22"/>
  <c r="E43" i="22"/>
  <c r="D43" i="22"/>
  <c r="C43" i="22"/>
  <c r="D40" i="22"/>
  <c r="E40" i="22" s="1"/>
  <c r="F40" i="22" s="1"/>
  <c r="G40" i="22" s="1"/>
  <c r="H40" i="22" s="1"/>
  <c r="I40" i="22" s="1"/>
  <c r="F36" i="22"/>
  <c r="F28" i="22"/>
  <c r="F31" i="22" l="1"/>
  <c r="H55" i="22" s="1"/>
  <c r="F70" i="22"/>
  <c r="I71" i="22" s="1"/>
  <c r="J51" i="22"/>
  <c r="F68" i="22"/>
  <c r="I69" i="22" s="1"/>
  <c r="F63" i="22"/>
  <c r="F71" i="22"/>
  <c r="F56" i="22"/>
  <c r="F60" i="22"/>
  <c r="F64" i="22"/>
  <c r="F57" i="22"/>
  <c r="F61" i="22"/>
  <c r="F65" i="22"/>
  <c r="F69" i="22"/>
  <c r="F59" i="22"/>
  <c r="F67" i="22"/>
  <c r="F52" i="22"/>
  <c r="G53" i="22" s="1"/>
  <c r="J53" i="22" s="1"/>
  <c r="F53" i="22"/>
  <c r="G54" i="22" s="1"/>
  <c r="J54" i="22" s="1"/>
  <c r="F54" i="22"/>
  <c r="F55" i="22"/>
  <c r="F58" i="22"/>
  <c r="F62" i="22"/>
  <c r="F66" i="22"/>
  <c r="G69" i="22" l="1"/>
  <c r="J69" i="22" s="1"/>
  <c r="G71" i="22"/>
  <c r="J71" i="22" s="1"/>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J55" i="22" l="1"/>
  <c r="J56" i="22"/>
  <c r="J67" i="22"/>
  <c r="J68" i="22"/>
  <c r="J66" i="22"/>
  <c r="J60" i="22"/>
  <c r="J62" i="22"/>
  <c r="J64" i="22"/>
  <c r="J70" i="22"/>
  <c r="J58" i="22"/>
  <c r="J61" i="22"/>
  <c r="J65" i="22"/>
  <c r="J57" i="22"/>
  <c r="J59" i="22"/>
  <c r="J63" i="22"/>
  <c r="F14" i="22" l="1"/>
  <c r="C43" i="5" l="1"/>
  <c r="D10" i="25" l="1"/>
  <c r="E149" i="25"/>
  <c r="E148" i="25"/>
  <c r="E147" i="25"/>
  <c r="E146" i="25"/>
  <c r="H163" i="25" l="1"/>
  <c r="H162" i="25"/>
  <c r="H161" i="25"/>
  <c r="G162" i="25"/>
  <c r="E163" i="25"/>
  <c r="E162" i="25"/>
  <c r="E161" i="25"/>
  <c r="A146" i="25"/>
  <c r="A147" i="25" s="1"/>
  <c r="A148" i="25" s="1"/>
  <c r="A149" i="25" s="1"/>
  <c r="E98" i="25"/>
  <c r="A87" i="25"/>
  <c r="A88" i="25" s="1"/>
  <c r="A89" i="25" s="1"/>
  <c r="A90" i="25" s="1"/>
  <c r="E92" i="25"/>
  <c r="E42" i="25"/>
  <c r="J40" i="25"/>
  <c r="E38" i="25"/>
  <c r="J38" i="25" s="1"/>
  <c r="E34" i="25"/>
  <c r="J32" i="25"/>
  <c r="J169" i="25" s="1"/>
  <c r="E30" i="25"/>
  <c r="J30" i="25" s="1"/>
  <c r="D91" i="25"/>
  <c r="D90" i="25"/>
  <c r="D30" i="25"/>
  <c r="E150" i="25"/>
  <c r="H149" i="25"/>
  <c r="H148" i="25"/>
  <c r="H146" i="25"/>
  <c r="G61" i="25"/>
  <c r="J46" i="25"/>
  <c r="A31" i="25"/>
  <c r="A32" i="25" s="1"/>
  <c r="J48" i="25" l="1"/>
  <c r="J172" i="25" s="1"/>
  <c r="E48" i="25"/>
  <c r="A91" i="25"/>
  <c r="A92" i="25" s="1"/>
  <c r="A93" i="25" s="1"/>
  <c r="A95" i="25" s="1"/>
  <c r="A96" i="25" s="1"/>
  <c r="A97" i="25" s="1"/>
  <c r="A98" i="25" s="1"/>
  <c r="A99" i="25" s="1"/>
  <c r="E164" i="25"/>
  <c r="E50" i="25"/>
  <c r="E46" i="25"/>
  <c r="A33" i="25"/>
  <c r="A34" i="25" s="1"/>
  <c r="A150" i="25"/>
  <c r="A153" i="25" s="1"/>
  <c r="A154" i="25" s="1"/>
  <c r="A155" i="25" s="1"/>
  <c r="A156" i="25" s="1"/>
  <c r="A157" i="25" s="1"/>
  <c r="A159" i="25" s="1"/>
  <c r="A160" i="25" s="1"/>
  <c r="A161" i="25" s="1"/>
  <c r="A162" i="25" s="1"/>
  <c r="A163" i="25" s="1"/>
  <c r="A101" i="25" l="1"/>
  <c r="A102" i="25" s="1"/>
  <c r="A103" i="25" s="1"/>
  <c r="A104" i="25" s="1"/>
  <c r="A105" i="25" s="1"/>
  <c r="A106" i="25" s="1"/>
  <c r="A107" i="25" s="1"/>
  <c r="A108" i="25" s="1"/>
  <c r="A109" i="25" s="1"/>
  <c r="A110" i="25" s="1"/>
  <c r="A35" i="25"/>
  <c r="A37" i="25" s="1"/>
  <c r="A38" i="25" s="1"/>
  <c r="I87" i="6"/>
  <c r="G57" i="24"/>
  <c r="G56" i="24"/>
  <c r="G7" i="24"/>
  <c r="G58" i="24" s="1"/>
  <c r="G5" i="25" l="1"/>
  <c r="G4" i="25"/>
  <c r="G6" i="25"/>
  <c r="A112" i="25"/>
  <c r="A113" i="25" s="1"/>
  <c r="C117" i="25" s="1"/>
  <c r="H147" i="25"/>
  <c r="H150" i="25" s="1"/>
  <c r="J150" i="25" s="1"/>
  <c r="J154" i="25" s="1"/>
  <c r="D46" i="25"/>
  <c r="A39" i="25"/>
  <c r="A40" i="25" s="1"/>
  <c r="E15" i="7"/>
  <c r="H15" i="7" s="1"/>
  <c r="I3" i="7"/>
  <c r="F88" i="6"/>
  <c r="K86" i="6"/>
  <c r="J80" i="6"/>
  <c r="G68" i="6"/>
  <c r="D16" i="1" s="1"/>
  <c r="F68" i="6"/>
  <c r="I226" i="1" s="1"/>
  <c r="E68" i="6"/>
  <c r="I225" i="1" s="1"/>
  <c r="D68" i="6"/>
  <c r="I222" i="1" s="1"/>
  <c r="C68" i="6"/>
  <c r="I219" i="1" s="1"/>
  <c r="A56" i="6"/>
  <c r="A57" i="6" s="1"/>
  <c r="A58" i="6" s="1"/>
  <c r="A59" i="6" s="1"/>
  <c r="A60" i="6" s="1"/>
  <c r="A61" i="6" s="1"/>
  <c r="A62" i="6" s="1"/>
  <c r="A63" i="6" s="1"/>
  <c r="A64" i="6" s="1"/>
  <c r="A65" i="6" s="1"/>
  <c r="A66" i="6" s="1"/>
  <c r="A67" i="6" s="1"/>
  <c r="A68" i="6" s="1"/>
  <c r="A69" i="6" s="1"/>
  <c r="A70" i="6" s="1"/>
  <c r="A73" i="6" s="1"/>
  <c r="A75" i="6" s="1"/>
  <c r="A77" i="6" s="1"/>
  <c r="A78" i="6" s="1"/>
  <c r="A79" i="6" s="1"/>
  <c r="A80" i="6" s="1"/>
  <c r="A85" i="6" s="1"/>
  <c r="A86" i="6" s="1"/>
  <c r="A87" i="6" s="1"/>
  <c r="A88" i="6" s="1"/>
  <c r="F54" i="6"/>
  <c r="F30" i="6"/>
  <c r="G30" i="6" s="1"/>
  <c r="H30" i="6" s="1"/>
  <c r="I30" i="6" s="1"/>
  <c r="J30" i="6" s="1"/>
  <c r="H9" i="6"/>
  <c r="I9" i="6" s="1"/>
  <c r="E59" i="21"/>
  <c r="B57" i="21"/>
  <c r="G39" i="21"/>
  <c r="D39" i="21"/>
  <c r="E37" i="21" s="1"/>
  <c r="F37" i="21" s="1"/>
  <c r="H37" i="21" s="1"/>
  <c r="J37" i="21" s="1"/>
  <c r="E22" i="21" l="1"/>
  <c r="F22" i="21" s="1"/>
  <c r="H22" i="21" s="1"/>
  <c r="J22" i="21" s="1"/>
  <c r="E24" i="21"/>
  <c r="F24" i="21" s="1"/>
  <c r="H24" i="21" s="1"/>
  <c r="J24" i="21" s="1"/>
  <c r="E32" i="21"/>
  <c r="F32" i="21" s="1"/>
  <c r="H32" i="21" s="1"/>
  <c r="J32" i="21" s="1"/>
  <c r="E30" i="21"/>
  <c r="F30" i="21" s="1"/>
  <c r="H30" i="21" s="1"/>
  <c r="J30" i="21" s="1"/>
  <c r="E20" i="21"/>
  <c r="F20" i="21" s="1"/>
  <c r="H20" i="21" s="1"/>
  <c r="E28" i="21"/>
  <c r="F28" i="21" s="1"/>
  <c r="H28" i="21" s="1"/>
  <c r="E36" i="21"/>
  <c r="F36" i="21" s="1"/>
  <c r="H36" i="21" s="1"/>
  <c r="J36" i="21" s="1"/>
  <c r="P31" i="7"/>
  <c r="Q31" i="7" s="1"/>
  <c r="K37" i="21"/>
  <c r="E18" i="21"/>
  <c r="F18" i="21" s="1"/>
  <c r="H18" i="21" s="1"/>
  <c r="J18" i="21" s="1"/>
  <c r="E26" i="21"/>
  <c r="F26" i="21" s="1"/>
  <c r="H26" i="21" s="1"/>
  <c r="J26" i="21" s="1"/>
  <c r="E34" i="21"/>
  <c r="F34" i="21" s="1"/>
  <c r="H34" i="21" s="1"/>
  <c r="J34" i="21" s="1"/>
  <c r="P32" i="7"/>
  <c r="Q32" i="7" s="1"/>
  <c r="A114" i="25"/>
  <c r="A115" i="25" s="1"/>
  <c r="A116" i="25" s="1"/>
  <c r="A117" i="25" s="1"/>
  <c r="A118" i="25" s="1"/>
  <c r="A119" i="25" s="1"/>
  <c r="A120" i="25" s="1"/>
  <c r="A121" i="25" s="1"/>
  <c r="A122" i="25" s="1"/>
  <c r="A123" i="25" s="1"/>
  <c r="A124" i="25" s="1"/>
  <c r="A125" i="25" s="1"/>
  <c r="H33" i="25"/>
  <c r="J69" i="25"/>
  <c r="J86" i="25"/>
  <c r="A41" i="25"/>
  <c r="A42" i="25" s="1"/>
  <c r="D48" i="25"/>
  <c r="E19" i="21"/>
  <c r="F19" i="21" s="1"/>
  <c r="H19" i="21" s="1"/>
  <c r="J19" i="21" s="1"/>
  <c r="E21" i="21"/>
  <c r="F21" i="21" s="1"/>
  <c r="H21" i="21" s="1"/>
  <c r="J21" i="21" s="1"/>
  <c r="E23" i="21"/>
  <c r="F23" i="21" s="1"/>
  <c r="H23" i="21" s="1"/>
  <c r="E25" i="21"/>
  <c r="F25" i="21" s="1"/>
  <c r="H25" i="21" s="1"/>
  <c r="J25" i="21" s="1"/>
  <c r="E27" i="21"/>
  <c r="F27" i="21" s="1"/>
  <c r="H27" i="21" s="1"/>
  <c r="J27" i="21" s="1"/>
  <c r="E29" i="21"/>
  <c r="F29" i="21" s="1"/>
  <c r="H29" i="21" s="1"/>
  <c r="E31" i="21"/>
  <c r="F31" i="21" s="1"/>
  <c r="H31" i="21" s="1"/>
  <c r="J31" i="21" s="1"/>
  <c r="E33" i="21"/>
  <c r="F33" i="21" s="1"/>
  <c r="H33" i="21" s="1"/>
  <c r="J33" i="21" s="1"/>
  <c r="E35" i="21"/>
  <c r="F35" i="21" s="1"/>
  <c r="H35" i="21" s="1"/>
  <c r="J23" i="21" l="1"/>
  <c r="K23" i="21" s="1"/>
  <c r="K30" i="21"/>
  <c r="J28" i="21"/>
  <c r="K28" i="21" s="1"/>
  <c r="J20" i="21"/>
  <c r="K20" i="21" s="1"/>
  <c r="R66" i="2" s="1"/>
  <c r="J35" i="21"/>
  <c r="K35" i="21" s="1"/>
  <c r="J29" i="21"/>
  <c r="K29" i="21" s="1"/>
  <c r="K36" i="21"/>
  <c r="H39" i="21"/>
  <c r="K19" i="21"/>
  <c r="F39" i="21"/>
  <c r="K31" i="21"/>
  <c r="K21" i="21"/>
  <c r="K32" i="21"/>
  <c r="K18" i="21"/>
  <c r="K25" i="21"/>
  <c r="K24" i="21"/>
  <c r="R72" i="2" s="1"/>
  <c r="K34" i="21"/>
  <c r="K26" i="21"/>
  <c r="R78" i="2" s="1"/>
  <c r="K33" i="21"/>
  <c r="K22" i="21"/>
  <c r="R69" i="2" s="1"/>
  <c r="K27" i="21"/>
  <c r="P33" i="7"/>
  <c r="Q33" i="7" s="1"/>
  <c r="A127" i="25"/>
  <c r="A128" i="25" s="1"/>
  <c r="A130" i="25" s="1"/>
  <c r="H41" i="25"/>
  <c r="A43" i="25"/>
  <c r="A45" i="25" s="1"/>
  <c r="A46" i="25" s="1"/>
  <c r="A47" i="25" s="1"/>
  <c r="A48" i="25" s="1"/>
  <c r="A49" i="25" s="1"/>
  <c r="A50" i="25" s="1"/>
  <c r="A51" i="25" s="1"/>
  <c r="A53" i="25" s="1"/>
  <c r="A54" i="25" s="1"/>
  <c r="A55" i="25" s="1"/>
  <c r="A56" i="25" s="1"/>
  <c r="A57" i="25" s="1"/>
  <c r="A58" i="25" s="1"/>
  <c r="A60" i="25" s="1"/>
  <c r="A61" i="25" s="1"/>
  <c r="A62" i="25" s="1"/>
  <c r="A63" i="25" s="1"/>
  <c r="A65" i="25" s="1"/>
  <c r="A67" i="25" s="1"/>
  <c r="A68" i="25" s="1"/>
  <c r="A69" i="25" s="1"/>
  <c r="A70" i="25" s="1"/>
  <c r="A71" i="25" s="1"/>
  <c r="A73" i="25" s="1"/>
  <c r="D50" i="25"/>
  <c r="E39" i="21"/>
  <c r="K39" i="21" l="1"/>
  <c r="D23" i="1" s="1"/>
  <c r="J39" i="21"/>
  <c r="J42" i="21" s="1"/>
  <c r="P34" i="7"/>
  <c r="Q34" i="7" s="1"/>
  <c r="H87" i="25"/>
  <c r="H96" i="25"/>
  <c r="J96" i="25" s="1"/>
  <c r="J65" i="25"/>
  <c r="P35" i="7" l="1"/>
  <c r="Q35" i="7" s="1"/>
  <c r="H97" i="25"/>
  <c r="H88" i="25"/>
  <c r="I79" i="1"/>
  <c r="P36" i="7" l="1"/>
  <c r="Q36" i="7" s="1"/>
  <c r="H89" i="25"/>
  <c r="H103" i="25"/>
  <c r="I16" i="17"/>
  <c r="H13" i="17"/>
  <c r="G13" i="17"/>
  <c r="F13" i="17"/>
  <c r="E13" i="17"/>
  <c r="D13" i="17"/>
  <c r="I13" i="17" l="1"/>
  <c r="P37" i="7"/>
  <c r="Q37" i="7" s="1"/>
  <c r="H104" i="25"/>
  <c r="H90" i="25"/>
  <c r="A4" i="22"/>
  <c r="A41" i="22"/>
  <c r="A42" i="22" s="1"/>
  <c r="A43"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15" i="22"/>
  <c r="A16" i="22" s="1"/>
  <c r="A17" i="22" s="1"/>
  <c r="A18" i="22" s="1"/>
  <c r="A19" i="22" s="1"/>
  <c r="A20" i="22" s="1"/>
  <c r="A23" i="22" s="1"/>
  <c r="A24" i="22" s="1"/>
  <c r="A25" i="22" s="1"/>
  <c r="A26" i="22" s="1"/>
  <c r="A27" i="22" s="1"/>
  <c r="A28" i="22" s="1"/>
  <c r="A29" i="22" s="1"/>
  <c r="A31" i="22" s="1"/>
  <c r="A33" i="22" s="1"/>
  <c r="A34" i="22" s="1"/>
  <c r="A35" i="22" s="1"/>
  <c r="D59" i="5"/>
  <c r="I59" i="5"/>
  <c r="D92" i="1" s="1"/>
  <c r="J59" i="25" s="1"/>
  <c r="P38" i="7" l="1"/>
  <c r="Q38" i="7" s="1"/>
  <c r="H91" i="25"/>
  <c r="P39" i="7" l="1"/>
  <c r="Q39" i="7" s="1"/>
  <c r="P40" i="7" l="1"/>
  <c r="Q40" i="7" s="1"/>
  <c r="P41" i="7" l="1"/>
  <c r="Q41" i="7" s="1"/>
  <c r="G92" i="1"/>
  <c r="I92" i="1" s="1"/>
  <c r="P42" i="7" l="1"/>
  <c r="Q42" i="7" s="1"/>
  <c r="G7" i="2"/>
  <c r="G57" i="2" s="1"/>
  <c r="G56" i="2"/>
  <c r="G55" i="2"/>
  <c r="J24" i="6"/>
  <c r="D129" i="1" s="1"/>
  <c r="I129" i="1" s="1"/>
  <c r="E19" i="16"/>
  <c r="E23" i="16" s="1"/>
  <c r="E15" i="16"/>
  <c r="J13" i="16"/>
  <c r="A9" i="16"/>
  <c r="A12" i="16" s="1"/>
  <c r="A13" i="16" s="1"/>
  <c r="A14" i="16" s="1"/>
  <c r="A15" i="16" s="1"/>
  <c r="A16" i="16" s="1"/>
  <c r="A18" i="16" s="1"/>
  <c r="A19" i="16" s="1"/>
  <c r="D87" i="1"/>
  <c r="C3" i="1"/>
  <c r="C3" i="17"/>
  <c r="D125" i="1"/>
  <c r="E90" i="25" s="1"/>
  <c r="J90" i="25" s="1"/>
  <c r="E113" i="25"/>
  <c r="S85" i="2"/>
  <c r="P86" i="2"/>
  <c r="B3" i="13"/>
  <c r="G3" i="6"/>
  <c r="F5" i="16"/>
  <c r="D14" i="1"/>
  <c r="I220" i="1"/>
  <c r="I44" i="5"/>
  <c r="D91" i="1" s="1"/>
  <c r="E58" i="25" s="1"/>
  <c r="D45" i="6"/>
  <c r="D140" i="1" s="1"/>
  <c r="I140" i="1" s="1"/>
  <c r="E24" i="6"/>
  <c r="D121" i="1" s="1"/>
  <c r="D24" i="6"/>
  <c r="D120" i="1" s="1"/>
  <c r="K45" i="6"/>
  <c r="D160" i="1" s="1"/>
  <c r="D164" i="1" s="1"/>
  <c r="L24" i="6"/>
  <c r="D132" i="1" s="1"/>
  <c r="J45" i="6"/>
  <c r="D151" i="1" s="1"/>
  <c r="E109" i="25" s="1"/>
  <c r="H45" i="6"/>
  <c r="D149" i="1" s="1"/>
  <c r="F45" i="6"/>
  <c r="D146" i="1" s="1"/>
  <c r="E104" i="25" s="1"/>
  <c r="J104" i="25" s="1"/>
  <c r="G24" i="6"/>
  <c r="D123" i="1" s="1"/>
  <c r="E88" i="25" s="1"/>
  <c r="J88" i="25" s="1"/>
  <c r="J24" i="5"/>
  <c r="D74" i="1" s="1"/>
  <c r="E41" i="25" s="1"/>
  <c r="J41" i="25" s="1"/>
  <c r="F129" i="1"/>
  <c r="G209" i="1"/>
  <c r="I24" i="5"/>
  <c r="D72" i="1" s="1"/>
  <c r="E39" i="25" s="1"/>
  <c r="D44" i="5"/>
  <c r="D95" i="1" s="1"/>
  <c r="C44" i="5"/>
  <c r="D94" i="1" s="1"/>
  <c r="H24" i="5"/>
  <c r="G24" i="5"/>
  <c r="D102" i="1" s="1"/>
  <c r="F24" i="5"/>
  <c r="D98" i="1" s="1"/>
  <c r="E24" i="5"/>
  <c r="D93" i="1" s="1"/>
  <c r="D24" i="5"/>
  <c r="D66" i="1" s="1"/>
  <c r="E33" i="25" s="1"/>
  <c r="C24" i="5"/>
  <c r="D64" i="1" s="1"/>
  <c r="D56" i="1"/>
  <c r="D113" i="1" s="1"/>
  <c r="D179" i="1" s="1"/>
  <c r="D244" i="1" s="1"/>
  <c r="C154" i="1"/>
  <c r="F120" i="1"/>
  <c r="F121" i="1" s="1"/>
  <c r="K24" i="6"/>
  <c r="D131" i="1"/>
  <c r="L45" i="6"/>
  <c r="D161" i="1" s="1"/>
  <c r="D165" i="1" s="1"/>
  <c r="I45" i="6"/>
  <c r="D150" i="1" s="1"/>
  <c r="E108" i="25" s="1"/>
  <c r="G45" i="6"/>
  <c r="D148" i="1" s="1"/>
  <c r="E106" i="25" s="1"/>
  <c r="C45" i="6"/>
  <c r="D138" i="1" s="1"/>
  <c r="E97" i="25" s="1"/>
  <c r="M24" i="6"/>
  <c r="D137" i="1" s="1"/>
  <c r="H24" i="6"/>
  <c r="D124" i="1" s="1"/>
  <c r="E89" i="25" s="1"/>
  <c r="J89" i="25" s="1"/>
  <c r="E45" i="6"/>
  <c r="D145" i="1" s="1"/>
  <c r="E103" i="25" s="1"/>
  <c r="I24" i="6"/>
  <c r="D126" i="1" s="1"/>
  <c r="C24" i="6"/>
  <c r="D119" i="1" s="1"/>
  <c r="F24" i="6"/>
  <c r="D122" i="1" s="1"/>
  <c r="E87" i="25" s="1"/>
  <c r="D199" i="1"/>
  <c r="A187" i="1"/>
  <c r="A188" i="1" s="1"/>
  <c r="A189" i="1" s="1"/>
  <c r="A191" i="1" s="1"/>
  <c r="A193" i="1" s="1"/>
  <c r="A195" i="1" s="1"/>
  <c r="A120" i="1"/>
  <c r="A121" i="1" s="1"/>
  <c r="A122" i="1" s="1"/>
  <c r="A14" i="1"/>
  <c r="A15" i="1" s="1"/>
  <c r="A16" i="1" s="1"/>
  <c r="A17" i="1" s="1"/>
  <c r="A18" i="1" s="1"/>
  <c r="A19" i="1" s="1"/>
  <c r="A21" i="1" s="1"/>
  <c r="A23" i="1" s="1"/>
  <c r="A25" i="1" s="1"/>
  <c r="A64" i="1"/>
  <c r="F94" i="1"/>
  <c r="F93" i="1" s="1"/>
  <c r="D213" i="1"/>
  <c r="I211" i="1"/>
  <c r="J162" i="25" s="1"/>
  <c r="G198" i="1"/>
  <c r="G197" i="1"/>
  <c r="G195" i="1"/>
  <c r="D83" i="1"/>
  <c r="D81" i="1"/>
  <c r="D79" i="1"/>
  <c r="G73" i="1"/>
  <c r="I73" i="1" s="1"/>
  <c r="I81" i="1" s="1"/>
  <c r="K111" i="1"/>
  <c r="K177" i="1"/>
  <c r="K242" i="1"/>
  <c r="K54" i="1"/>
  <c r="E212" i="1" l="1"/>
  <c r="E210" i="1"/>
  <c r="E54" i="25"/>
  <c r="I87" i="1"/>
  <c r="D103" i="1"/>
  <c r="E70" i="25"/>
  <c r="E107" i="25"/>
  <c r="J107" i="25" s="1"/>
  <c r="I149" i="1"/>
  <c r="E7" i="21"/>
  <c r="E7" i="26"/>
  <c r="A123" i="1"/>
  <c r="D87" i="25"/>
  <c r="A65" i="1"/>
  <c r="A66" i="1" s="1"/>
  <c r="D31" i="25"/>
  <c r="A196" i="1"/>
  <c r="D146" i="25"/>
  <c r="E25" i="16"/>
  <c r="E29" i="16" s="1"/>
  <c r="E119" i="25"/>
  <c r="E49" i="25"/>
  <c r="J33" i="25"/>
  <c r="J49" i="25" s="1"/>
  <c r="E24" i="16"/>
  <c r="E118" i="25"/>
  <c r="E99" i="25"/>
  <c r="J97" i="25"/>
  <c r="I93" i="1"/>
  <c r="E60" i="25"/>
  <c r="J60" i="25" s="1"/>
  <c r="J103" i="25"/>
  <c r="I95" i="1"/>
  <c r="E62" i="25"/>
  <c r="J62" i="25" s="1"/>
  <c r="I94" i="1"/>
  <c r="E61" i="25"/>
  <c r="E43" i="25"/>
  <c r="J39" i="25"/>
  <c r="I186" i="1"/>
  <c r="I189" i="1" s="1"/>
  <c r="I191" i="1" s="1"/>
  <c r="G64" i="1" s="1"/>
  <c r="E31" i="25"/>
  <c r="P43" i="7"/>
  <c r="Q43" i="7" s="1"/>
  <c r="J87" i="25"/>
  <c r="D141" i="1"/>
  <c r="D127" i="1"/>
  <c r="E91" i="25" s="1"/>
  <c r="J91" i="25" s="1"/>
  <c r="D152" i="1"/>
  <c r="D76" i="1"/>
  <c r="I227" i="1"/>
  <c r="D15" i="1" s="1"/>
  <c r="D19" i="1" s="1"/>
  <c r="D80" i="1"/>
  <c r="D68" i="1"/>
  <c r="E28" i="16"/>
  <c r="I131" i="1"/>
  <c r="D133" i="1"/>
  <c r="D82" i="1"/>
  <c r="A20" i="16"/>
  <c r="B23" i="16"/>
  <c r="F12" i="16" l="1"/>
  <c r="J12" i="16" s="1"/>
  <c r="G85" i="6"/>
  <c r="K85" i="6" s="1"/>
  <c r="I210" i="1"/>
  <c r="F14" i="16"/>
  <c r="J14" i="16" s="1"/>
  <c r="G87" i="6"/>
  <c r="K87" i="6" s="1"/>
  <c r="E110" i="25"/>
  <c r="D33" i="25"/>
  <c r="A67" i="1"/>
  <c r="A197" i="1"/>
  <c r="D147" i="25"/>
  <c r="A124" i="1"/>
  <c r="D88" i="25"/>
  <c r="G161" i="25"/>
  <c r="G163" i="25"/>
  <c r="I212" i="1"/>
  <c r="J163" i="25" s="1"/>
  <c r="E93" i="25"/>
  <c r="E68" i="25" s="1"/>
  <c r="E71" i="25" s="1"/>
  <c r="J61" i="25"/>
  <c r="E117" i="25"/>
  <c r="D202" i="1"/>
  <c r="E47" i="25"/>
  <c r="E35" i="25"/>
  <c r="J31" i="25"/>
  <c r="P44" i="7"/>
  <c r="Q44" i="7" s="1"/>
  <c r="D134" i="1"/>
  <c r="D101" i="1" s="1"/>
  <c r="D104" i="1" s="1"/>
  <c r="E196" i="1"/>
  <c r="G196" i="1" s="1"/>
  <c r="G199" i="1" s="1"/>
  <c r="I199" i="1" s="1"/>
  <c r="G14" i="1"/>
  <c r="G15" i="1" s="1"/>
  <c r="G119" i="1"/>
  <c r="D84" i="1"/>
  <c r="A21" i="16"/>
  <c r="A22" i="16" s="1"/>
  <c r="A23" i="16" s="1"/>
  <c r="G72" i="1"/>
  <c r="I64" i="1"/>
  <c r="I19" i="24" s="1"/>
  <c r="K88" i="6" l="1"/>
  <c r="J15" i="16"/>
  <c r="E20" i="16" s="1"/>
  <c r="E123" i="25"/>
  <c r="E122" i="25"/>
  <c r="D205" i="1"/>
  <c r="G203" i="1" s="1"/>
  <c r="E153" i="25"/>
  <c r="E156" i="25" s="1"/>
  <c r="H154" i="25" s="1"/>
  <c r="L154" i="25" s="1"/>
  <c r="H34" i="25" s="1"/>
  <c r="I203" i="1"/>
  <c r="H34" i="27"/>
  <c r="H34" i="31"/>
  <c r="H35" i="31" s="1"/>
  <c r="H14" i="31"/>
  <c r="H15" i="31" s="1"/>
  <c r="H24" i="27"/>
  <c r="H25" i="27" s="1"/>
  <c r="H24" i="31"/>
  <c r="H25" i="31" s="1"/>
  <c r="H14" i="27"/>
  <c r="H15" i="27" s="1"/>
  <c r="A198" i="1"/>
  <c r="D148" i="25"/>
  <c r="A68" i="1"/>
  <c r="A70" i="1" s="1"/>
  <c r="A71" i="1" s="1"/>
  <c r="D34" i="25"/>
  <c r="I119" i="1"/>
  <c r="G132" i="1"/>
  <c r="I132" i="1" s="1"/>
  <c r="I133" i="1" s="1"/>
  <c r="A126" i="1"/>
  <c r="A128" i="1" s="1"/>
  <c r="D89" i="25"/>
  <c r="J161" i="25"/>
  <c r="J164" i="25" s="1"/>
  <c r="I213" i="1"/>
  <c r="J47" i="25"/>
  <c r="E51" i="25"/>
  <c r="P45" i="7"/>
  <c r="Q45" i="7" s="1"/>
  <c r="G66" i="1"/>
  <c r="G74" i="1" s="1"/>
  <c r="G120" i="1"/>
  <c r="G121" i="1" s="1"/>
  <c r="I121" i="1" s="1"/>
  <c r="G126" i="1"/>
  <c r="I126" i="1" s="1"/>
  <c r="G102" i="1"/>
  <c r="I102" i="1" s="1"/>
  <c r="I14" i="1"/>
  <c r="I18" i="2"/>
  <c r="G98" i="1"/>
  <c r="I72" i="1"/>
  <c r="A24" i="16"/>
  <c r="A25" i="16" s="1"/>
  <c r="A26" i="16" s="1"/>
  <c r="A27" i="16" s="1"/>
  <c r="G17" i="1"/>
  <c r="G16" i="1"/>
  <c r="I16" i="1" s="1"/>
  <c r="I15" i="1"/>
  <c r="I120" i="1" l="1"/>
  <c r="D156" i="1"/>
  <c r="E114" i="25" s="1"/>
  <c r="K203" i="1"/>
  <c r="G67" i="1" s="1"/>
  <c r="G75" i="1" s="1"/>
  <c r="G128" i="1" s="1"/>
  <c r="B29" i="16"/>
  <c r="H35" i="27"/>
  <c r="D92" i="25"/>
  <c r="A129" i="1"/>
  <c r="A130" i="1" s="1"/>
  <c r="A131" i="1" s="1"/>
  <c r="A132" i="1" s="1"/>
  <c r="A133" i="1" s="1"/>
  <c r="A134" i="1" s="1"/>
  <c r="A136" i="1" s="1"/>
  <c r="A137" i="1" s="1"/>
  <c r="A138" i="1" s="1"/>
  <c r="D38" i="25"/>
  <c r="A72" i="1"/>
  <c r="C79" i="1"/>
  <c r="A199" i="1"/>
  <c r="A201" i="1" s="1"/>
  <c r="A202" i="1" s="1"/>
  <c r="D149" i="25"/>
  <c r="J34" i="25"/>
  <c r="J35" i="25" s="1"/>
  <c r="H35" i="25" s="1"/>
  <c r="H70" i="25" s="1"/>
  <c r="J70" i="25" s="1"/>
  <c r="H42" i="25"/>
  <c r="P46" i="7"/>
  <c r="Q46" i="7" s="1"/>
  <c r="I66" i="1"/>
  <c r="B28" i="16"/>
  <c r="I17" i="1"/>
  <c r="G18" i="1"/>
  <c r="I18" i="1" s="1"/>
  <c r="G122" i="1"/>
  <c r="I74" i="1"/>
  <c r="B30" i="16"/>
  <c r="I98" i="1"/>
  <c r="G137" i="1"/>
  <c r="I137" i="1" s="1"/>
  <c r="I80" i="1"/>
  <c r="I20" i="24" s="1"/>
  <c r="A28" i="16"/>
  <c r="A29" i="16" s="1"/>
  <c r="A30" i="16" s="1"/>
  <c r="A31" i="16" s="1"/>
  <c r="A33" i="16" s="1"/>
  <c r="A35" i="16" s="1"/>
  <c r="A36" i="16" s="1"/>
  <c r="A37" i="16" s="1"/>
  <c r="A38" i="16" s="1"/>
  <c r="A39" i="16" s="1"/>
  <c r="A40" i="16" s="1"/>
  <c r="I75" i="1" l="1"/>
  <c r="I67" i="1"/>
  <c r="I83" i="1" s="1"/>
  <c r="A73" i="1"/>
  <c r="D39" i="25"/>
  <c r="A203" i="1"/>
  <c r="D153" i="25"/>
  <c r="A139" i="1"/>
  <c r="D97" i="25"/>
  <c r="H106" i="25"/>
  <c r="H109" i="25" s="1"/>
  <c r="J109" i="25" s="1"/>
  <c r="J42" i="25"/>
  <c r="H92" i="25"/>
  <c r="I68" i="1"/>
  <c r="G68" i="1" s="1"/>
  <c r="G148" i="1" s="1"/>
  <c r="G150" i="1" s="1"/>
  <c r="I150" i="1" s="1"/>
  <c r="P47" i="7"/>
  <c r="Q47" i="7" s="1"/>
  <c r="I82" i="1"/>
  <c r="I76" i="1"/>
  <c r="I19" i="1"/>
  <c r="G138" i="1"/>
  <c r="G123" i="1"/>
  <c r="I122" i="1"/>
  <c r="I128" i="1"/>
  <c r="G139" i="1"/>
  <c r="I139" i="1" s="1"/>
  <c r="I19" i="2"/>
  <c r="B31" i="16"/>
  <c r="J106" i="25" l="1"/>
  <c r="H108" i="25"/>
  <c r="J108" i="25" s="1"/>
  <c r="A204" i="1"/>
  <c r="D154" i="25"/>
  <c r="A140" i="1"/>
  <c r="A141" i="1" s="1"/>
  <c r="A143" i="1" s="1"/>
  <c r="A144" i="1" s="1"/>
  <c r="A145" i="1" s="1"/>
  <c r="D98" i="25"/>
  <c r="A74" i="1"/>
  <c r="C81" i="1"/>
  <c r="H98" i="25"/>
  <c r="J98" i="25" s="1"/>
  <c r="J99" i="25" s="1"/>
  <c r="J92" i="25"/>
  <c r="J93" i="25" s="1"/>
  <c r="J68" i="25" s="1"/>
  <c r="J71" i="25" s="1"/>
  <c r="J50" i="25"/>
  <c r="J51" i="25" s="1"/>
  <c r="H51" i="25" s="1"/>
  <c r="H58" i="25" s="1"/>
  <c r="J43" i="25"/>
  <c r="I148" i="1"/>
  <c r="G103" i="1"/>
  <c r="I103" i="1" s="1"/>
  <c r="G151" i="1"/>
  <c r="I151" i="1" s="1"/>
  <c r="P48" i="7"/>
  <c r="Q48" i="7" s="1"/>
  <c r="I33" i="2"/>
  <c r="I34" i="2" s="1"/>
  <c r="L34" i="2" s="1"/>
  <c r="I34" i="24"/>
  <c r="I35" i="24" s="1"/>
  <c r="L35" i="24" s="1"/>
  <c r="I84" i="1"/>
  <c r="I123" i="1"/>
  <c r="G124" i="1"/>
  <c r="I138" i="1"/>
  <c r="I27" i="24" s="1"/>
  <c r="I28" i="24" s="1"/>
  <c r="L28" i="24" s="1"/>
  <c r="G145" i="1"/>
  <c r="G84" i="1" l="1"/>
  <c r="J110" i="25"/>
  <c r="G169" i="25" s="1"/>
  <c r="K169" i="25" s="1"/>
  <c r="E10" i="25" s="1"/>
  <c r="G10" i="25" s="1"/>
  <c r="G91" i="1"/>
  <c r="G23" i="31"/>
  <c r="G25" i="31" s="1"/>
  <c r="I25" i="31" s="1"/>
  <c r="G33" i="27"/>
  <c r="G13" i="27"/>
  <c r="G15" i="27" s="1"/>
  <c r="I15" i="27" s="1"/>
  <c r="F44" i="5" s="1"/>
  <c r="D88" i="1" s="1"/>
  <c r="I88" i="1" s="1"/>
  <c r="G13" i="31"/>
  <c r="G15" i="31" s="1"/>
  <c r="I15" i="31" s="1"/>
  <c r="G33" i="31"/>
  <c r="G35" i="31" s="1"/>
  <c r="I35" i="31" s="1"/>
  <c r="G23" i="27"/>
  <c r="A146" i="1"/>
  <c r="D103" i="25"/>
  <c r="A75" i="1"/>
  <c r="D41" i="25"/>
  <c r="A205" i="1"/>
  <c r="A207" i="1" s="1"/>
  <c r="A208" i="1" s="1"/>
  <c r="A209" i="1" s="1"/>
  <c r="A210" i="1" s="1"/>
  <c r="D155" i="25"/>
  <c r="H122" i="25"/>
  <c r="J122" i="25" s="1"/>
  <c r="P49" i="7"/>
  <c r="Q49" i="7" s="1"/>
  <c r="H28" i="16"/>
  <c r="G164" i="1"/>
  <c r="G165" i="1" s="1"/>
  <c r="I26" i="2"/>
  <c r="I27" i="2" s="1"/>
  <c r="L27" i="2" s="1"/>
  <c r="I141" i="1"/>
  <c r="G125" i="1"/>
  <c r="I124" i="1"/>
  <c r="G146" i="1"/>
  <c r="I146" i="1" s="1"/>
  <c r="I145" i="1"/>
  <c r="G35" i="27" l="1"/>
  <c r="I35" i="27" s="1"/>
  <c r="H44" i="5" s="1"/>
  <c r="D90" i="1" s="1"/>
  <c r="E57" i="25" s="1"/>
  <c r="G25" i="27"/>
  <c r="I25" i="27" s="1"/>
  <c r="G44" i="5" s="1"/>
  <c r="D89" i="1" s="1"/>
  <c r="E55" i="25"/>
  <c r="J55" i="25" s="1"/>
  <c r="H29" i="16"/>
  <c r="J29" i="16" s="1"/>
  <c r="J28" i="16"/>
  <c r="A76" i="1"/>
  <c r="A78" i="1" s="1"/>
  <c r="A79" i="1" s="1"/>
  <c r="A80" i="1" s="1"/>
  <c r="A81" i="1" s="1"/>
  <c r="A82" i="1" s="1"/>
  <c r="A83" i="1" s="1"/>
  <c r="A84" i="1" s="1"/>
  <c r="A86" i="1" s="1"/>
  <c r="A87" i="1" s="1"/>
  <c r="D42" i="25"/>
  <c r="C83" i="1"/>
  <c r="B81" i="22"/>
  <c r="D161" i="25"/>
  <c r="A211" i="1"/>
  <c r="A147" i="1"/>
  <c r="A148" i="1" s="1"/>
  <c r="D104" i="25"/>
  <c r="E11" i="25"/>
  <c r="G11" i="25" s="1"/>
  <c r="H123" i="25"/>
  <c r="J123" i="25" s="1"/>
  <c r="I164" i="1"/>
  <c r="G166" i="1"/>
  <c r="I165" i="1"/>
  <c r="I152" i="1"/>
  <c r="I125" i="1"/>
  <c r="G127" i="1"/>
  <c r="I127" i="1" s="1"/>
  <c r="I91" i="1"/>
  <c r="I90" i="1" l="1"/>
  <c r="H30" i="16"/>
  <c r="E56" i="25"/>
  <c r="E63" i="25" s="1"/>
  <c r="E73" i="25" s="1"/>
  <c r="E128" i="25" s="1"/>
  <c r="I89" i="1"/>
  <c r="I96" i="1" s="1"/>
  <c r="D96" i="1"/>
  <c r="D106" i="1" s="1"/>
  <c r="D170" i="1" s="1"/>
  <c r="D163" i="1" s="1"/>
  <c r="A149" i="1"/>
  <c r="D106" i="25"/>
  <c r="A212" i="1"/>
  <c r="D162" i="25"/>
  <c r="A88" i="1"/>
  <c r="D54" i="25"/>
  <c r="E12" i="25"/>
  <c r="E13" i="25" s="1"/>
  <c r="E14" i="25" s="1"/>
  <c r="H124" i="25"/>
  <c r="J58" i="25"/>
  <c r="J57" i="25"/>
  <c r="I30" i="2"/>
  <c r="I31" i="2" s="1"/>
  <c r="L31" i="2" s="1"/>
  <c r="I31" i="24"/>
  <c r="I32" i="24" s="1"/>
  <c r="L32" i="24" s="1"/>
  <c r="I134" i="1"/>
  <c r="I23" i="24" l="1"/>
  <c r="E121" i="25"/>
  <c r="E27" i="16"/>
  <c r="I163" i="1"/>
  <c r="J56" i="25"/>
  <c r="J63" i="25" s="1"/>
  <c r="J73" i="25" s="1"/>
  <c r="J128" i="25" s="1"/>
  <c r="A213" i="1"/>
  <c r="A215" i="1" s="1"/>
  <c r="A217" i="1" s="1"/>
  <c r="A218" i="1" s="1"/>
  <c r="A219" i="1" s="1"/>
  <c r="A220" i="1" s="1"/>
  <c r="A222" i="1" s="1"/>
  <c r="D163" i="25"/>
  <c r="A89" i="1"/>
  <c r="D55" i="25"/>
  <c r="A150" i="1"/>
  <c r="D107" i="25"/>
  <c r="G12" i="25"/>
  <c r="I24" i="24"/>
  <c r="L24" i="24" s="1"/>
  <c r="L37" i="24" s="1"/>
  <c r="G13" i="25"/>
  <c r="G14" i="25"/>
  <c r="I101" i="1"/>
  <c r="I104" i="1" s="1"/>
  <c r="I22" i="2"/>
  <c r="I106" i="1" l="1"/>
  <c r="J27" i="16"/>
  <c r="J121" i="25"/>
  <c r="A90" i="1"/>
  <c r="D56" i="25"/>
  <c r="A151" i="1"/>
  <c r="D108" i="25"/>
  <c r="C14" i="1"/>
  <c r="A224" i="1"/>
  <c r="A225" i="1" s="1"/>
  <c r="A226" i="1" s="1"/>
  <c r="A227" i="1" s="1"/>
  <c r="C15" i="1" s="1"/>
  <c r="I23" i="2"/>
  <c r="L23" i="2" s="1"/>
  <c r="L36" i="2" s="1"/>
  <c r="E68" i="24"/>
  <c r="F68" i="24" s="1"/>
  <c r="E72" i="24"/>
  <c r="F72" i="24" s="1"/>
  <c r="E76" i="24"/>
  <c r="F76" i="24" s="1"/>
  <c r="E80" i="24"/>
  <c r="F80" i="24" s="1"/>
  <c r="E84" i="24"/>
  <c r="F84" i="24" s="1"/>
  <c r="E69" i="24"/>
  <c r="F69" i="24" s="1"/>
  <c r="E73" i="24"/>
  <c r="F73" i="24" s="1"/>
  <c r="E77" i="24"/>
  <c r="F77" i="24" s="1"/>
  <c r="E81" i="24"/>
  <c r="F81" i="24" s="1"/>
  <c r="E85" i="24"/>
  <c r="F85" i="24" s="1"/>
  <c r="E70" i="24"/>
  <c r="F70" i="24" s="1"/>
  <c r="E74" i="24"/>
  <c r="F74" i="24" s="1"/>
  <c r="E78" i="24"/>
  <c r="F78" i="24" s="1"/>
  <c r="E82" i="24"/>
  <c r="F82" i="24" s="1"/>
  <c r="E71" i="24"/>
  <c r="F71" i="24" s="1"/>
  <c r="E75" i="24"/>
  <c r="F75" i="24" s="1"/>
  <c r="E79" i="24"/>
  <c r="F79" i="24" s="1"/>
  <c r="E83" i="24"/>
  <c r="F83" i="24" s="1"/>
  <c r="E67" i="24"/>
  <c r="F67" i="24" s="1"/>
  <c r="K7" i="16"/>
  <c r="K39" i="16" s="1"/>
  <c r="I170" i="1"/>
  <c r="A152" i="1" l="1"/>
  <c r="A154" i="1" s="1"/>
  <c r="A155" i="1" s="1"/>
  <c r="D109" i="25"/>
  <c r="A91" i="1"/>
  <c r="D57" i="25"/>
  <c r="F83" i="2"/>
  <c r="G83" i="2" s="1"/>
  <c r="F68" i="2"/>
  <c r="G68" i="2" s="1"/>
  <c r="F81" i="2"/>
  <c r="G81" i="2" s="1"/>
  <c r="F73" i="2"/>
  <c r="G73" i="2" s="1"/>
  <c r="F77" i="2"/>
  <c r="G77" i="2" s="1"/>
  <c r="F66" i="2"/>
  <c r="F75" i="2"/>
  <c r="G75" i="2" s="1"/>
  <c r="F82" i="2"/>
  <c r="F84" i="2"/>
  <c r="G84" i="2" s="1"/>
  <c r="F67" i="2"/>
  <c r="G67" i="2" s="1"/>
  <c r="F72" i="2"/>
  <c r="G72" i="2" s="1"/>
  <c r="F74" i="2"/>
  <c r="G74" i="2" s="1"/>
  <c r="F80" i="2"/>
  <c r="G80" i="2" s="1"/>
  <c r="F78" i="2"/>
  <c r="F79" i="2"/>
  <c r="G79" i="2" s="1"/>
  <c r="F76" i="2"/>
  <c r="G76" i="2" s="1"/>
  <c r="F71" i="2"/>
  <c r="G71" i="2" s="1"/>
  <c r="F70" i="2"/>
  <c r="G70" i="2" s="1"/>
  <c r="F69" i="2"/>
  <c r="I44" i="24"/>
  <c r="I45" i="24" s="1"/>
  <c r="L45" i="24" s="1"/>
  <c r="K16" i="16"/>
  <c r="I43" i="2"/>
  <c r="I44" i="2" s="1"/>
  <c r="K35" i="16"/>
  <c r="A93" i="1" l="1"/>
  <c r="D58" i="25"/>
  <c r="D113" i="25"/>
  <c r="B159" i="1"/>
  <c r="A156" i="1"/>
  <c r="L44" i="2"/>
  <c r="A157" i="1" l="1"/>
  <c r="D114" i="25"/>
  <c r="A94" i="1"/>
  <c r="D60" i="25"/>
  <c r="A158" i="1" l="1"/>
  <c r="A159" i="1" s="1"/>
  <c r="A160" i="1" s="1"/>
  <c r="D115" i="25"/>
  <c r="A95" i="1"/>
  <c r="D61" i="25"/>
  <c r="A96" i="1" l="1"/>
  <c r="A98" i="1" s="1"/>
  <c r="A100" i="1" s="1"/>
  <c r="A101" i="1" s="1"/>
  <c r="A102" i="1" s="1"/>
  <c r="A103" i="1" s="1"/>
  <c r="D62" i="25"/>
  <c r="A161" i="1"/>
  <c r="D118" i="25"/>
  <c r="A162" i="1" l="1"/>
  <c r="D119" i="25"/>
  <c r="A104" i="1"/>
  <c r="A106" i="1" s="1"/>
  <c r="D70" i="25"/>
  <c r="A163" i="1" l="1"/>
  <c r="A164" i="1" s="1"/>
  <c r="A165" i="1" s="1"/>
  <c r="A166" i="1" s="1"/>
  <c r="A167" i="1" s="1"/>
  <c r="A169" i="1" s="1"/>
  <c r="A170" i="1" s="1"/>
  <c r="A172" i="1" s="1"/>
  <c r="D120" i="25"/>
  <c r="I23" i="1" l="1"/>
  <c r="G78" i="2" l="1"/>
  <c r="G82" i="2"/>
  <c r="M37" i="6" l="1"/>
  <c r="M41" i="6"/>
  <c r="M44" i="6"/>
  <c r="M39" i="6"/>
  <c r="M42" i="6"/>
  <c r="M40" i="6"/>
  <c r="M36" i="6"/>
  <c r="M38" i="6"/>
  <c r="M43" i="6"/>
  <c r="M35" i="6"/>
  <c r="M34" i="6"/>
  <c r="G69" i="2"/>
  <c r="M45" i="6" l="1"/>
  <c r="D162" i="1" s="1"/>
  <c r="D166" i="1"/>
  <c r="E120" i="25"/>
  <c r="E124" i="25" s="1"/>
  <c r="E26" i="16"/>
  <c r="E30" i="16" s="1"/>
  <c r="J30" i="16" l="1"/>
  <c r="J31" i="16" s="1"/>
  <c r="K31" i="16" s="1"/>
  <c r="K33" i="16" s="1"/>
  <c r="E31" i="16"/>
  <c r="J124" i="25"/>
  <c r="J125" i="25" s="1"/>
  <c r="E125" i="25"/>
  <c r="E130" i="25" s="1"/>
  <c r="I166" i="1"/>
  <c r="I167" i="1" s="1"/>
  <c r="D167" i="1"/>
  <c r="D172" i="1" s="1"/>
  <c r="G172" i="25" l="1"/>
  <c r="K172" i="25" s="1"/>
  <c r="J10" i="25" s="1"/>
  <c r="J130" i="25"/>
  <c r="I39" i="2"/>
  <c r="I40" i="2" s="1"/>
  <c r="I40" i="24"/>
  <c r="I41" i="24" s="1"/>
  <c r="I172" i="1"/>
  <c r="I11" i="1" s="1"/>
  <c r="I21" i="1" s="1"/>
  <c r="I25" i="1" s="1"/>
  <c r="K36" i="16"/>
  <c r="K37" i="16" s="1"/>
  <c r="K38" i="16" s="1"/>
  <c r="K40" i="16" s="1"/>
  <c r="G66" i="2"/>
  <c r="L41" i="24" l="1"/>
  <c r="L47" i="24" s="1"/>
  <c r="I47" i="24"/>
  <c r="N73" i="2"/>
  <c r="N80" i="2"/>
  <c r="N82" i="2"/>
  <c r="N84" i="2"/>
  <c r="N70" i="2"/>
  <c r="N77" i="2"/>
  <c r="N71" i="2"/>
  <c r="N74" i="2"/>
  <c r="N68" i="2"/>
  <c r="N78" i="2"/>
  <c r="N72" i="2"/>
  <c r="N81" i="2"/>
  <c r="N66" i="2"/>
  <c r="N79" i="2"/>
  <c r="N67" i="2"/>
  <c r="N75" i="2"/>
  <c r="N76" i="2"/>
  <c r="N83" i="2"/>
  <c r="N69" i="2"/>
  <c r="L40" i="2"/>
  <c r="L46" i="2" s="1"/>
  <c r="I46" i="2"/>
  <c r="J11" i="25"/>
  <c r="K10" i="25"/>
  <c r="M10" i="25" s="1"/>
  <c r="O10" i="25" s="1"/>
  <c r="I82" i="2" l="1"/>
  <c r="J82" i="2" s="1"/>
  <c r="L82" i="2" s="1"/>
  <c r="I74" i="2"/>
  <c r="J74" i="2" s="1"/>
  <c r="L74" i="2" s="1"/>
  <c r="I73" i="2"/>
  <c r="J73" i="2" s="1"/>
  <c r="L73" i="2" s="1"/>
  <c r="I77" i="2"/>
  <c r="J77" i="2" s="1"/>
  <c r="L77" i="2" s="1"/>
  <c r="I76" i="2"/>
  <c r="J76" i="2" s="1"/>
  <c r="L76" i="2" s="1"/>
  <c r="I70" i="2"/>
  <c r="J70" i="2" s="1"/>
  <c r="L70" i="2" s="1"/>
  <c r="I83" i="2"/>
  <c r="J83" i="2" s="1"/>
  <c r="L83" i="2" s="1"/>
  <c r="I79" i="2"/>
  <c r="J79" i="2" s="1"/>
  <c r="L79" i="2" s="1"/>
  <c r="I67" i="2"/>
  <c r="J67" i="2" s="1"/>
  <c r="L67" i="2" s="1"/>
  <c r="I75" i="2"/>
  <c r="J75" i="2" s="1"/>
  <c r="L75" i="2" s="1"/>
  <c r="I78" i="2"/>
  <c r="J78" i="2" s="1"/>
  <c r="L78" i="2" s="1"/>
  <c r="I69" i="2"/>
  <c r="J69" i="2" s="1"/>
  <c r="L69" i="2" s="1"/>
  <c r="I72" i="2"/>
  <c r="J72" i="2" s="1"/>
  <c r="L72" i="2" s="1"/>
  <c r="I84" i="2"/>
  <c r="J84" i="2" s="1"/>
  <c r="L84" i="2" s="1"/>
  <c r="I81" i="2"/>
  <c r="J81" i="2" s="1"/>
  <c r="L81" i="2" s="1"/>
  <c r="I66" i="2"/>
  <c r="J66" i="2" s="1"/>
  <c r="L66" i="2" s="1"/>
  <c r="I80" i="2"/>
  <c r="J80" i="2" s="1"/>
  <c r="L80" i="2" s="1"/>
  <c r="I68" i="2"/>
  <c r="J68" i="2" s="1"/>
  <c r="L68" i="2" s="1"/>
  <c r="I71" i="2"/>
  <c r="J71" i="2" s="1"/>
  <c r="L71" i="2" s="1"/>
  <c r="J12" i="25"/>
  <c r="K11" i="25"/>
  <c r="M11" i="25" s="1"/>
  <c r="O11" i="25" s="1"/>
  <c r="H85" i="24"/>
  <c r="I85" i="24" s="1"/>
  <c r="K85" i="24" s="1"/>
  <c r="M85" i="24" s="1"/>
  <c r="H77" i="24"/>
  <c r="I77" i="24" s="1"/>
  <c r="K77" i="24" s="1"/>
  <c r="M77" i="24" s="1"/>
  <c r="H79" i="24"/>
  <c r="I79" i="24" s="1"/>
  <c r="K79" i="24" s="1"/>
  <c r="M79" i="24" s="1"/>
  <c r="H72" i="24"/>
  <c r="I72" i="24" s="1"/>
  <c r="K72" i="24" s="1"/>
  <c r="M72" i="24" s="1"/>
  <c r="H78" i="24"/>
  <c r="I78" i="24" s="1"/>
  <c r="K78" i="24" s="1"/>
  <c r="M78" i="24" s="1"/>
  <c r="H69" i="24"/>
  <c r="I69" i="24" s="1"/>
  <c r="K69" i="24" s="1"/>
  <c r="M69" i="24" s="1"/>
  <c r="H68" i="24"/>
  <c r="I68" i="24" s="1"/>
  <c r="K68" i="24" s="1"/>
  <c r="M68" i="24" s="1"/>
  <c r="H75" i="24"/>
  <c r="I75" i="24" s="1"/>
  <c r="K75" i="24" s="1"/>
  <c r="M75" i="24" s="1"/>
  <c r="H71" i="24"/>
  <c r="I71" i="24" s="1"/>
  <c r="K71" i="24" s="1"/>
  <c r="M71" i="24" s="1"/>
  <c r="H84" i="24"/>
  <c r="I84" i="24" s="1"/>
  <c r="K84" i="24" s="1"/>
  <c r="M84" i="24" s="1"/>
  <c r="H74" i="24"/>
  <c r="I74" i="24" s="1"/>
  <c r="K74" i="24" s="1"/>
  <c r="M74" i="24" s="1"/>
  <c r="H67" i="24"/>
  <c r="I67" i="24" s="1"/>
  <c r="K67" i="24" s="1"/>
  <c r="M67" i="24" s="1"/>
  <c r="H82" i="24"/>
  <c r="I82" i="24" s="1"/>
  <c r="K82" i="24" s="1"/>
  <c r="M82" i="24" s="1"/>
  <c r="H73" i="24"/>
  <c r="I73" i="24" s="1"/>
  <c r="K73" i="24" s="1"/>
  <c r="M73" i="24" s="1"/>
  <c r="H81" i="24"/>
  <c r="I81" i="24" s="1"/>
  <c r="K81" i="24" s="1"/>
  <c r="M81" i="24" s="1"/>
  <c r="H70" i="24"/>
  <c r="I70" i="24" s="1"/>
  <c r="K70" i="24" s="1"/>
  <c r="M70" i="24" s="1"/>
  <c r="H80" i="24"/>
  <c r="I80" i="24" s="1"/>
  <c r="K80" i="24" s="1"/>
  <c r="M80" i="24" s="1"/>
  <c r="H76" i="24"/>
  <c r="I76" i="24" s="1"/>
  <c r="K76" i="24" s="1"/>
  <c r="M76" i="24" s="1"/>
  <c r="H83" i="24"/>
  <c r="I83" i="24" s="1"/>
  <c r="K83" i="24" s="1"/>
  <c r="M83" i="24" s="1"/>
  <c r="Q81" i="2" l="1"/>
  <c r="O81" i="2"/>
  <c r="S81" i="2"/>
  <c r="O83" i="2"/>
  <c r="Q83" i="2"/>
  <c r="S83" i="2"/>
  <c r="O84" i="2"/>
  <c r="Q84" i="2"/>
  <c r="S84" i="2"/>
  <c r="O70" i="2"/>
  <c r="Q70" i="2"/>
  <c r="S70" i="2" s="1"/>
  <c r="K12" i="25"/>
  <c r="M12" i="25" s="1"/>
  <c r="O12" i="25" s="1"/>
  <c r="J13" i="25"/>
  <c r="O69" i="2"/>
  <c r="Q69" i="2"/>
  <c r="S69" i="2" s="1"/>
  <c r="Q77" i="2"/>
  <c r="S77" i="2"/>
  <c r="O77" i="2"/>
  <c r="O71" i="2"/>
  <c r="Q71" i="2"/>
  <c r="S71" i="2"/>
  <c r="S78" i="2"/>
  <c r="O78" i="2"/>
  <c r="Q78" i="2"/>
  <c r="O73" i="2"/>
  <c r="S73" i="2"/>
  <c r="Q73" i="2"/>
  <c r="Q72" i="2"/>
  <c r="O72" i="2"/>
  <c r="S72" i="2"/>
  <c r="Q68" i="2"/>
  <c r="S68" i="2" s="1"/>
  <c r="O68" i="2"/>
  <c r="Q75" i="2"/>
  <c r="O75" i="2"/>
  <c r="S75" i="2"/>
  <c r="S74" i="2"/>
  <c r="O74" i="2"/>
  <c r="Q74" i="2"/>
  <c r="M87" i="24"/>
  <c r="O80" i="2"/>
  <c r="Q80" i="2"/>
  <c r="S80" i="2"/>
  <c r="O67" i="2"/>
  <c r="Q67" i="2"/>
  <c r="S67" i="2" s="1"/>
  <c r="Q82" i="2"/>
  <c r="O82" i="2"/>
  <c r="S82" i="2"/>
  <c r="Q76" i="2"/>
  <c r="S76" i="2"/>
  <c r="O76" i="2"/>
  <c r="Q66" i="2"/>
  <c r="S66" i="2" s="1"/>
  <c r="O66" i="2"/>
  <c r="Q79" i="2"/>
  <c r="S79" i="2"/>
  <c r="O79" i="2"/>
  <c r="J14" i="25" l="1"/>
  <c r="K14" i="25" s="1"/>
  <c r="M14" i="25" s="1"/>
  <c r="O14" i="25" s="1"/>
  <c r="K13" i="25"/>
  <c r="M13" i="25" s="1"/>
  <c r="O13" i="25" s="1"/>
  <c r="S86" i="2"/>
  <c r="O15" i="25" l="1"/>
</calcChain>
</file>

<file path=xl/sharedStrings.xml><?xml version="1.0" encoding="utf-8"?>
<sst xmlns="http://schemas.openxmlformats.org/spreadsheetml/2006/main" count="2726" uniqueCount="1143">
  <si>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</si>
  <si>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</si>
  <si>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</si>
  <si>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</si>
  <si>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</si>
  <si>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</si>
  <si>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</si>
  <si>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</si>
  <si>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</si>
  <si>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</si>
  <si>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</si>
  <si>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</si>
  <si>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</si>
  <si>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</si>
  <si>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</si>
  <si>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</si>
  <si>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</si>
  <si>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</si>
  <si>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</si>
  <si>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</si>
  <si>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</si>
  <si>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</si>
  <si>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</si>
  <si>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</si>
  <si>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</si>
  <si>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</si>
  <si>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</si>
  <si>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</si>
  <si>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</si>
  <si>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</si>
  <si>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</si>
  <si>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</si>
  <si>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</si>
  <si>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</si>
  <si>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</si>
  <si>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</si>
  <si>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</si>
  <si>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</si>
  <si>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</si>
  <si>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</si>
  <si>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</si>
  <si>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</si>
  <si>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</si>
  <si>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</si>
  <si>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</si>
  <si>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</si>
  <si>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</si>
  <si>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</si>
  <si>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</si>
  <si>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</si>
  <si>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</si>
  <si>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</si>
  <si>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</si>
  <si>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</si>
  <si>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</si>
  <si>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</si>
  <si>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</si>
  <si>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</si>
  <si>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</si>
  <si>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</si>
  <si>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</si>
  <si>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</si>
  <si>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</si>
  <si>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</si>
  <si>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</si>
  <si>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</si>
  <si>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</si>
  <si>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</si>
  <si>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</si>
  <si>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</si>
  <si>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</si>
  <si>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</si>
  <si>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</si>
  <si>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</si>
  <si>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</si>
  <si>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</si>
  <si>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</si>
  <si>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</si>
  <si>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</si>
  <si>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</si>
  <si>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</si>
  <si>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</si>
  <si>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</si>
  <si>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</si>
  <si>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</si>
  <si>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</si>
  <si>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</si>
  <si>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</si>
  <si>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</si>
  <si>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</si>
  <si>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</si>
  <si>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</si>
  <si>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</si>
  <si>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</si>
  <si>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</si>
  <si>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</si>
  <si>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</si>
  <si>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</si>
  <si>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</si>
  <si>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</si>
  <si>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</si>
  <si>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</si>
  <si>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</si>
  <si>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</si>
  <si>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</si>
  <si>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</si>
  <si>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</si>
  <si>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</si>
  <si>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</si>
  <si>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</si>
  <si>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</si>
  <si>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</si>
  <si>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</si>
  <si>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</si>
  <si>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</si>
  <si>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</si>
  <si>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</si>
  <si>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</si>
  <si>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</si>
  <si>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</si>
  <si>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</si>
  <si>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</si>
  <si>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</si>
  <si>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</si>
  <si>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</si>
  <si>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</si>
  <si>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</si>
  <si>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</si>
  <si>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</si>
  <si>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</si>
  <si>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</si>
  <si>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</si>
  <si>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</si>
  <si>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</si>
  <si>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</si>
  <si>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</si>
  <si>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</si>
  <si>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</si>
  <si>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</si>
  <si>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</si>
  <si>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</si>
  <si>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</si>
  <si>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</si>
  <si>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</si>
  <si>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</si>
  <si>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</si>
  <si>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</si>
  <si>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</si>
  <si>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</si>
  <si>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</si>
  <si>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</si>
  <si>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</si>
  <si>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</si>
  <si>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</si>
  <si>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</si>
  <si>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</si>
  <si>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</si>
  <si>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</si>
  <si>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</si>
  <si>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</si>
  <si>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</si>
  <si>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</si>
  <si>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</si>
  <si>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</si>
  <si>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</si>
  <si>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</si>
  <si>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</si>
  <si>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</si>
  <si>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</si>
  <si>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</si>
  <si>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</si>
  <si>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</si>
  <si>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</si>
  <si>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</si>
  <si>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</si>
  <si>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</si>
  <si>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</si>
  <si>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</si>
  <si>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</si>
  <si>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</si>
  <si>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</si>
  <si>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</si>
  <si>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</si>
  <si>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</si>
  <si>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</si>
  <si>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</si>
  <si>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</si>
  <si>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</si>
  <si>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</si>
  <si>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</si>
  <si>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</si>
  <si>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</si>
  <si>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</si>
  <si>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</si>
  <si>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</si>
  <si>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</si>
  <si>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</si>
  <si>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</si>
  <si>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</si>
  <si>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</si>
  <si>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</si>
  <si>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</si>
  <si>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</si>
  <si>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</si>
  <si>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</si>
  <si>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</si>
  <si>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</si>
  <si>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</si>
  <si>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</si>
  <si>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</si>
  <si>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</si>
  <si>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</si>
  <si>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</si>
  <si>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</si>
  <si>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</si>
  <si>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</si>
  <si>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</si>
  <si>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</si>
  <si>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</si>
  <si>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</si>
  <si>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</si>
  <si>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</si>
  <si>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</si>
  <si>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</si>
  <si>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</si>
  <si>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</si>
  <si>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</si>
  <si>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</si>
  <si>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</si>
  <si>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</si>
  <si>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</si>
  <si>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</si>
  <si>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</si>
  <si>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</si>
  <si>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</si>
  <si>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</si>
  <si>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</si>
  <si>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</si>
  <si>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</si>
  <si>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</si>
  <si>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</si>
  <si>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</si>
  <si>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</si>
  <si>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</si>
  <si>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</si>
  <si>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</si>
  <si>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</si>
  <si>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</si>
  <si>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</si>
  <si>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</si>
  <si>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</si>
  <si>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</si>
  <si>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</si>
  <si>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</si>
  <si>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</si>
  <si>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</si>
  <si>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</si>
  <si>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</si>
  <si>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</si>
  <si>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</si>
  <si>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</si>
  <si>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</si>
  <si>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</si>
  <si>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</si>
  <si>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</si>
  <si>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</si>
  <si>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</si>
  <si>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</si>
  <si>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</si>
  <si>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</si>
  <si>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</si>
  <si>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</si>
  <si>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</si>
  <si>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</si>
  <si>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</si>
  <si>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</si>
  <si>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</si>
  <si>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</si>
  <si>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</si>
  <si>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</si>
  <si>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</si>
  <si>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</si>
  <si>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</si>
  <si>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</si>
  <si>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</si>
  <si>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</si>
  <si>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</si>
  <si>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</si>
  <si>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</si>
  <si>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</si>
  <si>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</si>
  <si>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</si>
  <si>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</si>
  <si>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</si>
  <si>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</si>
  <si>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</si>
  <si>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</si>
  <si>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</si>
  <si>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</si>
  <si>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</si>
  <si>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</si>
  <si>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</si>
  <si>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</si>
  <si>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</si>
  <si>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</si>
  <si>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</si>
  <si>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</si>
  <si>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</si>
  <si>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</si>
  <si>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</si>
  <si>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</si>
  <si>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</si>
  <si>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</si>
  <si>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</si>
  <si>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</si>
  <si>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</si>
  <si>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</si>
  <si>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</si>
  <si>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</si>
  <si>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</si>
  <si>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</si>
  <si>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</si>
  <si>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</si>
  <si>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</si>
  <si>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</si>
  <si>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</si>
  <si>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</si>
  <si>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</si>
  <si>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</si>
  <si>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</si>
  <si>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</si>
  <si>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</si>
  <si>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</si>
  <si>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</si>
  <si>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</si>
  <si>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</si>
  <si>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</si>
  <si>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</si>
  <si>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</si>
  <si>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</si>
  <si>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</si>
  <si>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</si>
  <si>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</si>
  <si>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</si>
  <si>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</si>
  <si>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</si>
  <si>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</si>
  <si>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</si>
  <si>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</si>
  <si>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</si>
  <si>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</si>
  <si>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</si>
  <si>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</si>
  <si>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</si>
  <si>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</si>
  <si>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</si>
  <si>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</si>
  <si>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</si>
  <si>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</si>
  <si>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</si>
  <si>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</si>
  <si>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</si>
  <si>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</si>
  <si>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</si>
  <si>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</si>
  <si>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</si>
  <si>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</si>
  <si>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</si>
  <si>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</si>
  <si>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</si>
  <si>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</si>
  <si>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</si>
  <si>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</si>
  <si>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</si>
  <si>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</si>
  <si>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</si>
  <si>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</si>
  <si>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</si>
  <si>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</si>
  <si>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</si>
  <si>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</si>
  <si>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</si>
  <si>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</si>
  <si>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</si>
  <si>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</si>
  <si>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</si>
  <si>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</si>
  <si>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</si>
  <si>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</si>
  <si>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</si>
  <si>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</si>
  <si>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</si>
  <si>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</si>
  <si>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</si>
  <si>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</si>
  <si>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</si>
  <si>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</si>
  <si>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</si>
  <si>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</si>
  <si>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</si>
  <si>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</si>
  <si>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</si>
  <si>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</si>
  <si>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</si>
  <si>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</si>
  <si>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</si>
  <si>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</si>
  <si>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</si>
  <si>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</si>
  <si>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</si>
  <si>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</si>
  <si>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</si>
  <si>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</si>
  <si>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</si>
  <si>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</si>
  <si>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</si>
  <si>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</si>
  <si>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</si>
  <si>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</si>
  <si>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</si>
  <si>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</si>
  <si>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</si>
  <si>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</si>
  <si>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</si>
  <si>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</si>
  <si>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</si>
  <si>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</si>
  <si>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</si>
  <si>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</si>
  <si>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</si>
  <si>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</si>
  <si>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</si>
  <si>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</si>
  <si>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</si>
  <si>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</si>
  <si>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</si>
  <si>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</si>
  <si>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</si>
  <si>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</si>
  <si>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</si>
  <si>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</si>
  <si>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</si>
  <si>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</si>
  <si>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</si>
  <si>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</si>
  <si>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</si>
  <si>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</si>
  <si>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</si>
  <si>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</si>
  <si>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</si>
  <si>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</si>
  <si>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</si>
  <si>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</si>
  <si>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</si>
  <si>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</si>
  <si>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</si>
  <si>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</si>
  <si>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</si>
  <si>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</si>
  <si>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</si>
  <si>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</si>
  <si>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</si>
  <si>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</si>
  <si>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</si>
  <si>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</si>
  <si>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</si>
  <si>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</si>
  <si>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</si>
  <si>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</si>
  <si>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</si>
  <si>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</si>
  <si>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</si>
  <si>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</si>
  <si>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</si>
  <si>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</si>
  <si>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</si>
  <si>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</si>
  <si>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</si>
  <si>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</si>
  <si>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</si>
  <si>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</si>
  <si>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</si>
  <si>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</si>
  <si>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</si>
  <si>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</si>
  <si>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</si>
  <si>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</si>
  <si>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</si>
  <si>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</si>
  <si>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</si>
  <si>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</si>
  <si>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</si>
  <si>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</si>
  <si>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</si>
  <si>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</si>
  <si>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</si>
  <si>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</si>
  <si>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</si>
  <si>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</si>
  <si>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</si>
  <si>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</si>
  <si>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</si>
  <si>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</si>
  <si>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</si>
  <si>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</si>
  <si>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</si>
  <si>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</si>
  <si>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</si>
  <si>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</si>
  <si>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</si>
  <si>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</si>
  <si>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</si>
  <si>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</si>
  <si>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</si>
  <si>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</si>
  <si>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</si>
  <si>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</si>
  <si>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</si>
  <si>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</si>
  <si>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</si>
  <si>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</si>
  <si>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</si>
  <si>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</si>
  <si>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</si>
  <si>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</si>
  <si>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</si>
  <si>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</si>
  <si>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</si>
  <si>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</si>
  <si>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</si>
  <si>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</si>
  <si>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</si>
  <si>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</si>
  <si>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</si>
  <si>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</si>
  <si>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</si>
  <si>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</si>
  <si>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</si>
  <si>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</si>
  <si>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</si>
  <si>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</si>
  <si>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</si>
  <si>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</si>
  <si>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</si>
  <si>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</si>
  <si>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</si>
  <si>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</si>
  <si>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</si>
  <si>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</si>
  <si>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</si>
  <si>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</si>
  <si>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</si>
  <si>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</si>
  <si>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</si>
  <si>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</si>
  <si>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</si>
  <si>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</si>
  <si>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4th Qtr</t>
  </si>
  <si>
    <t xml:space="preserve">1st Qtr </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</si>
  <si>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</si>
  <si>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</si>
  <si>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</si>
  <si>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</si>
  <si>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</si>
  <si>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</si>
  <si>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</si>
  <si>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</si>
  <si>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</si>
  <si>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</si>
  <si>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</si>
  <si>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</si>
  <si>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</si>
  <si>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</si>
  <si>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</si>
  <si>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</si>
  <si>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</si>
  <si>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</si>
  <si>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</si>
  <si>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</si>
  <si>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</si>
  <si>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</si>
  <si>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</si>
  <si>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</si>
  <si>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</si>
  <si>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</si>
  <si>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</si>
  <si>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</si>
  <si>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</si>
  <si>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</si>
  <si>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</si>
  <si>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</si>
  <si>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</si>
  <si>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</si>
  <si>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</si>
  <si>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</si>
  <si>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</si>
  <si>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</si>
  <si>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</si>
  <si>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</si>
  <si>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</si>
  <si>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</si>
  <si>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</si>
  <si>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</si>
  <si>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</si>
  <si>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</si>
  <si>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</si>
  <si>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</si>
  <si>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</si>
  <si>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</si>
  <si>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</si>
  <si>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</si>
  <si>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</si>
  <si>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</si>
  <si>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</si>
  <si>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</si>
  <si>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</si>
  <si>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</si>
  <si>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</si>
  <si>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</si>
  <si>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</si>
  <si>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</si>
  <si>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</si>
  <si>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</si>
  <si>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</si>
  <si>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</si>
  <si>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</si>
  <si>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</si>
  <si>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</si>
  <si>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</si>
  <si>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</si>
  <si>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</si>
  <si>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</si>
  <si>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</si>
  <si>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</si>
  <si>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</si>
  <si>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</si>
  <si>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</si>
  <si>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</si>
  <si>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</si>
  <si>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</si>
  <si>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</si>
  <si>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</si>
  <si>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</si>
  <si>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</si>
  <si>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</si>
  <si>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</si>
  <si>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</si>
  <si>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</si>
  <si>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</si>
  <si>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</si>
  <si>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</si>
  <si>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</si>
  <si>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</si>
  <si>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</si>
  <si>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</si>
  <si>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</si>
  <si>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</si>
  <si>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</si>
  <si>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</si>
  <si>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</si>
  <si>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</si>
  <si>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</si>
  <si>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</si>
  <si>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</si>
  <si>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</si>
  <si>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</si>
  <si>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</si>
  <si>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</si>
  <si>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</si>
  <si>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</si>
  <si>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</si>
  <si>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</si>
  <si>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</si>
  <si>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</si>
  <si>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</si>
  <si>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</si>
  <si>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</si>
  <si>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</si>
  <si>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</si>
  <si>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</si>
  <si>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</si>
  <si>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</si>
  <si>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</si>
  <si>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</si>
  <si>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</si>
  <si>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</si>
  <si>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</si>
  <si>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</si>
  <si>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</si>
  <si>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</si>
  <si>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</si>
  <si>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</si>
  <si>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</si>
  <si>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</si>
  <si>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</si>
  <si>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</si>
  <si>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</si>
  <si>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</si>
  <si>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</si>
  <si>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</si>
  <si>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</si>
  <si>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</si>
  <si>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</si>
  <si>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</si>
  <si>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</si>
  <si>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</si>
  <si>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</si>
  <si>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</si>
  <si>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</si>
  <si>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</si>
  <si>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</si>
  <si>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</si>
  <si>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</si>
  <si>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</si>
  <si>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</si>
  <si>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</si>
  <si>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</si>
  <si>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</si>
  <si>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</si>
  <si>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</si>
  <si>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</si>
  <si>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</si>
  <si>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</si>
  <si>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</si>
  <si>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</si>
  <si>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</si>
  <si>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</si>
  <si>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</si>
  <si>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</si>
  <si>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</si>
  <si>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</si>
  <si>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</si>
  <si>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</si>
  <si>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</si>
  <si>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</si>
  <si>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</si>
  <si>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</si>
  <si>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</si>
  <si>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</si>
  <si>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</si>
  <si>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</si>
  <si>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</si>
  <si>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</si>
  <si>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</si>
  <si>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</si>
  <si>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</si>
  <si>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</si>
  <si>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</si>
  <si>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</si>
  <si>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</si>
  <si>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</si>
  <si>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</si>
  <si>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</si>
  <si>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</si>
  <si>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</si>
  <si>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</si>
  <si>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</si>
  <si>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</si>
  <si>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</si>
  <si>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</si>
  <si>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</si>
  <si>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</si>
  <si>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</si>
  <si>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</si>
  <si>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</si>
  <si>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</si>
  <si>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</si>
  <si>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</si>
  <si>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</si>
  <si>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</si>
  <si>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</si>
  <si>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</si>
  <si>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</si>
  <si>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</si>
  <si>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</si>
  <si>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</si>
  <si>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</si>
  <si>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</si>
  <si>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</si>
  <si>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</si>
  <si>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</si>
  <si>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</si>
  <si>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</si>
  <si>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</si>
  <si>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</si>
  <si>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</si>
  <si>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</si>
  <si>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</si>
  <si>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</si>
  <si>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</si>
  <si>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</si>
  <si>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</si>
  <si>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</si>
  <si>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</si>
  <si>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</si>
  <si>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</si>
  <si>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</si>
  <si>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</si>
  <si>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</si>
  <si>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</si>
  <si>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</si>
  <si>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</si>
  <si>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</si>
  <si>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</si>
  <si>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</si>
  <si>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</si>
  <si>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</si>
  <si>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</si>
  <si>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</si>
  <si>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</si>
  <si>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</si>
  <si>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</si>
  <si>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</si>
  <si>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</si>
  <si>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</si>
  <si>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</si>
  <si>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</si>
  <si>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</si>
  <si>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</si>
  <si>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</si>
  <si>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</si>
  <si>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</si>
  <si>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</si>
  <si>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</si>
  <si>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</si>
  <si>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</si>
  <si>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</si>
  <si>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</si>
  <si>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</si>
  <si>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</si>
  <si>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</si>
  <si>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</si>
  <si>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</si>
  <si>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</si>
  <si>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Example 1</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</si>
  <si>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</si>
  <si>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</si>
  <si>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</si>
  <si>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</si>
  <si>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</si>
  <si>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</si>
  <si>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</si>
  <si>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</si>
  <si>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</si>
  <si>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</si>
  <si>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</si>
  <si>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</si>
  <si>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</si>
  <si>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</si>
  <si>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</si>
  <si>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</si>
  <si>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</si>
  <si>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</si>
  <si>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</si>
  <si>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</si>
  <si>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</si>
  <si>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</si>
  <si>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</si>
  <si>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</si>
  <si>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</si>
  <si>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</si>
  <si>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</si>
  <si>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</si>
  <si>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</si>
  <si>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</si>
  <si>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</si>
  <si>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</si>
  <si>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</si>
  <si>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</si>
  <si>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</si>
  <si>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</si>
  <si>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</si>
  <si>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</si>
  <si>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</si>
  <si>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</si>
  <si>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</si>
  <si>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</si>
  <si>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</si>
  <si>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</si>
  <si>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</si>
  <si>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</si>
  <si>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</si>
  <si>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</si>
  <si>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</si>
  <si>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</si>
  <si>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</si>
  <si>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</si>
  <si>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</si>
  <si>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</si>
  <si>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</si>
  <si>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</si>
  <si>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</si>
  <si>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</si>
  <si>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</si>
  <si>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</si>
  <si>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</si>
  <si>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</si>
  <si>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</si>
  <si>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</si>
  <si>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</si>
  <si>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</si>
  <si>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</si>
  <si>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</si>
  <si>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</si>
  <si>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</si>
  <si>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</si>
  <si>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</si>
  <si>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</si>
  <si>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</si>
  <si>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</si>
  <si>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</si>
  <si>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</si>
  <si>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</si>
  <si>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</si>
  <si>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</si>
  <si>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</si>
  <si>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</si>
  <si>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</si>
  <si>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</si>
  <si>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</si>
  <si>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</si>
  <si>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</si>
  <si>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</si>
  <si>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</si>
  <si>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</si>
  <si>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</si>
  <si>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</si>
  <si>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</si>
  <si>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</si>
  <si>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</si>
  <si>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</si>
  <si>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</si>
  <si>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</si>
  <si>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</si>
  <si>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 xml:space="preserve">Note B    The Wholesale Distribution Revenue Requirement is projected using either pages 1-2 or 4-6. The same pages are populated with actual data and the difference with interest is calculated on Attachment 3 </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</si>
  <si>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</si>
  <si>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</si>
  <si>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</si>
  <si>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</si>
  <si>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</si>
  <si>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</si>
  <si>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</si>
  <si>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</si>
  <si>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</si>
  <si>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</si>
  <si>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</si>
  <si>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</si>
  <si>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</si>
  <si>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</si>
  <si>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</si>
  <si>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205 or 206 filing</t>
  </si>
  <si>
    <t xml:space="preserve"> Column (f) above Divided by the</t>
  </si>
  <si>
    <t>Number of Months the Rate was in Effect</t>
  </si>
  <si>
    <t>(Line 1, Column f)</t>
  </si>
  <si>
    <t>(Line 2, Column f)</t>
  </si>
  <si>
    <t>(Line 62 + line 63)</t>
  </si>
  <si>
    <t>(Line 111 + line 112)</t>
  </si>
  <si>
    <t>(Line 3, Column f)</t>
  </si>
  <si>
    <t>(Line 155 + line 156)</t>
  </si>
  <si>
    <t>(Line 4, Column f)</t>
  </si>
  <si>
    <t>(Line 202 + line 203)</t>
  </si>
  <si>
    <t>(Line 5, Column f)</t>
  </si>
  <si>
    <t>(Line 244 + line 245)</t>
  </si>
  <si>
    <t>Project Net Plant is the Project Gross Plant Identified in Column 2 less the associated Accumulated Depreciation.  Net Plant includes CWIP and Unamortized Abandoned Plant and excludes any regulatory asset, which are to entered as a separate line item.</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</si>
  <si>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</si>
  <si>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</si>
  <si>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Wholesale Distribution Project True-Up</t>
  </si>
  <si>
    <t>Attachment 12</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</si>
  <si>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</si>
  <si>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</si>
  <si>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</si>
  <si>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</si>
  <si>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Attach H, p 2, line 16 col 5 plus line 27 &amp; 29 col 5</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</si>
  <si>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</si>
  <si>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</si>
  <si>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</si>
  <si>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</si>
  <si>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</si>
  <si>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</si>
  <si>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</si>
  <si>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</si>
  <si>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</si>
  <si>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</si>
  <si>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</si>
  <si>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</si>
  <si>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</si>
  <si>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</si>
  <si>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</si>
  <si>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Rate)</t>
  </si>
  <si>
    <t xml:space="preserve">       and FIT, SIT &amp; p are as given in Attachment H, Note G.</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</si>
  <si>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</si>
  <si>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</si>
  <si>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</si>
  <si>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</si>
  <si>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</si>
  <si>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</si>
  <si>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</si>
  <si>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</si>
  <si>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</si>
  <si>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</si>
  <si>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</si>
  <si>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</si>
  <si>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</si>
  <si>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</si>
  <si>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</si>
  <si>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</si>
  <si>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</si>
  <si>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</si>
  <si>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</si>
  <si>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</si>
  <si>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</si>
  <si>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</si>
  <si>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</si>
  <si>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</si>
  <si>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</si>
  <si>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</si>
  <si>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</si>
  <si>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0"/>
        <color rgb="FFFF0000"/>
        <rFont val="Arial Narrow"/>
        <family val="2"/>
      </rPr>
      <t>Note A</t>
    </r>
  </si>
  <si>
    <t>Balance (Attach 4c, Line 30)</t>
  </si>
  <si>
    <t>Increment</t>
  </si>
  <si>
    <t>ADIT 282-Prorated EOY Balance</t>
  </si>
  <si>
    <r>
      <t>ADIT-283-Proration-</t>
    </r>
    <r>
      <rPr>
        <b/>
        <sz val="10"/>
        <color rgb="FFFF0000"/>
        <rFont val="Arial Narrow"/>
        <family val="2"/>
      </rPr>
      <t>Note B</t>
    </r>
  </si>
  <si>
    <t>Balance (Attach 4c, Line 44)</t>
  </si>
  <si>
    <t>ADIT 283-Prorated EOY Balance</t>
  </si>
  <si>
    <r>
      <t>ADIT-190-Proration-</t>
    </r>
    <r>
      <rPr>
        <b/>
        <sz val="10"/>
        <color rgb="FFFF000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</si>
  <si>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</si>
  <si>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</si>
  <si>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</si>
  <si>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</si>
  <si>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</si>
  <si>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</si>
  <si>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</si>
  <si>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</si>
  <si>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</si>
  <si>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</si>
  <si>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</si>
  <si>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</si>
  <si>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</si>
  <si>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</si>
  <si>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</si>
  <si>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</si>
  <si>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</si>
  <si>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</si>
  <si>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</si>
  <si>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</si>
  <si>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</si>
  <si>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</si>
  <si>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</si>
  <si>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</si>
  <si>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</si>
  <si>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</si>
  <si>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</si>
  <si>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</si>
  <si>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</si>
  <si>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</si>
  <si>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</si>
  <si>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</si>
  <si>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</si>
  <si>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</si>
  <si>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</si>
  <si>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</si>
  <si>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</si>
  <si>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</si>
  <si>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</si>
  <si>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</si>
  <si>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</si>
  <si>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</si>
  <si>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</si>
  <si>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</si>
  <si>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t>Enter as negative Attachment 4, Page 1, Line 28 for Projection</t>
  </si>
  <si>
    <t>Enter as negative Attachment 4, Page 1, Line 28 for True-up</t>
  </si>
  <si>
    <t>Calculate using 13 month average balance, except ADIT which is calculated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</si>
  <si>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</si>
  <si>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the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</si>
  <si>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</si>
  <si>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</si>
  <si>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</si>
  <si>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</si>
  <si>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Balance-EOY-Total (Lines 9+10)</t>
  </si>
  <si>
    <t>Balance-EOY-Total (Lines 17+18)</t>
  </si>
  <si>
    <t>Balance-EOY-Prorated (Attach 4b, Line 28)</t>
  </si>
  <si>
    <t>Balance-EOY-Prorated (Attach 4b,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</si>
  <si>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</si>
  <si>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</si>
  <si>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</si>
  <si>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</si>
  <si>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</si>
  <si>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</si>
  <si>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</si>
  <si>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</si>
  <si>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</si>
  <si>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</si>
  <si>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</si>
  <si>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</si>
  <si>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</si>
  <si>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Balance-EOY-Prorated (Attach 4f, Line 14)</t>
  </si>
  <si>
    <t>Balance-EOY-Prorated (Attach 4f, Line 28)</t>
  </si>
  <si>
    <t>Balance-EOY-Prorated (Attach 4f, Line 42)</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</si>
  <si>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beginning and end of year balances for plant related ADIT.</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</si>
  <si>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</si>
  <si>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Gridliance High Plains LLC</t>
  </si>
  <si>
    <t>Southeast Missouri Assets (excludes Nixa NTC Project)</t>
  </si>
  <si>
    <t>Zone 11</t>
  </si>
  <si>
    <t>Networked Oklahoma Panhandle Assets</t>
  </si>
  <si>
    <t>Zone 10 Schedule 11</t>
  </si>
  <si>
    <t>Nixa NTC Project</t>
  </si>
  <si>
    <t>Zone 14</t>
  </si>
  <si>
    <t>Kansas Assets</t>
  </si>
  <si>
    <t>Zone 14 Schedule 11</t>
  </si>
  <si>
    <t>Winfield NTC Project</t>
  </si>
  <si>
    <t>15d</t>
  </si>
  <si>
    <t>15e</t>
  </si>
  <si>
    <t>15f</t>
  </si>
  <si>
    <t>Zone 10</t>
  </si>
  <si>
    <t>3d</t>
  </si>
  <si>
    <t>3e</t>
  </si>
  <si>
    <t>(Excess)/Deficient Deferred Income Taxes - Protected</t>
  </si>
  <si>
    <t>(Excess)/Deficient Deferred Income Taxes - Unprotected</t>
  </si>
  <si>
    <t>Plant related</t>
  </si>
  <si>
    <t>Balance-EOY (Attach 4d, Line 30 less Line 27)</t>
  </si>
  <si>
    <t>Balance-EOY (Attach 4d, Line 44 less Line 41)</t>
  </si>
  <si>
    <t>Balance-EOY (Attach 4d, Line 18 less Line 15)</t>
  </si>
  <si>
    <t xml:space="preserve">WCLTD = Page 4, Line 20 </t>
  </si>
  <si>
    <t>R = Page 4, Line 23</t>
  </si>
  <si>
    <t>(Federal Income Tax Rate)</t>
  </si>
  <si>
    <t>(Line 33 times Line 46)</t>
  </si>
  <si>
    <t>Attachment H, Page 3, Line 40</t>
  </si>
  <si>
    <t>Income Tax Calculation</t>
  </si>
  <si>
    <t>(Line 26 times line 39)</t>
  </si>
  <si>
    <t>**</t>
  </si>
  <si>
    <t>Calculation of Applicable Interest Expense for each ATRR period</t>
  </si>
  <si>
    <t>Calculated Interest</t>
  </si>
  <si>
    <t>Annual</t>
  </si>
  <si>
    <t>(Sum lines 48-59, column f)</t>
  </si>
  <si>
    <t>(Sum lines 97-108, column f)</t>
  </si>
  <si>
    <t>(Sum lines 141 - 152, column f)</t>
  </si>
  <si>
    <t>(Sum lines 188 -199 column f)</t>
  </si>
  <si>
    <t>(Sum lines 230 - 241, column f)</t>
  </si>
  <si>
    <t xml:space="preserve">Corrections to Rate Year 2019 True-Up </t>
  </si>
  <si>
    <t>For  the 12 months ended 12/31/2022</t>
  </si>
  <si>
    <t>Projection for the 12 Months Ended 12/31/2022</t>
  </si>
  <si>
    <t>For the 12 Months Ended 12/31/2022</t>
  </si>
  <si>
    <t xml:space="preserve">GidLiance High Plains depreciation and amortization rates may not be changed absent a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</si>
</sst>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0_);_(* \(#,##0.0000000\);_(* &quot;-&quot;??_);_(@_)"/>
    <numFmt numFmtId="280" formatCode="_(* #,##0.00000_);_(* \(#,##0.00000\);_(* &quot;-&quot;?????_);_(@_)"/>
  </numFmts>
  <fonts count="11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color rgb="FFFF0000"/>
      <name val="Times New Roman"/>
      <family val="1"/>
    </font>
    <font>
      <strike/>
      <sz val="10"/>
      <color rgb="FFFF0000"/>
      <name val="Times New Roman"/>
      <family val="1"/>
    </font>
    <font>
      <sz val="10"/>
      <color rgb="FF000000"/>
      <name val="Times New Roman"/>
      <family val="1"/>
    </font>
    <font>
      <sz val="11"/>
      <color theme="1"/>
      <name val="Times New Roman"/>
      <family val="2"/>
    </font>
    <font>
      <sz val="12"/>
      <name val="Arial MT"/>
      <family val="2"/>
    </font>
    <font>
      <sz val="10"/>
      <color theme="1"/>
      <name val="Calibri"/>
      <family val="2"/>
    </font>
    <font>
      <sz val="8"/>
      <color rgb="FF000000"/>
      <name val="Verdana"/>
      <family val="2"/>
    </font>
    <font>
      <u/>
      <sz val="11"/>
      <color theme="10"/>
      <name val="Calibri"/>
      <family val="2"/>
      <scheme val="minor"/>
    </font>
    <font>
      <sz val="11"/>
      <color indexed="8"/>
      <name val="Calibri"/>
      <family val="2"/>
      <scheme val="minor"/>
    </font>
  </fonts>
  <fills count="23">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s>
  <borders count="49">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s>
  <cellStyleXfs count="418">
    <xf numFmtId="174" fontId="0" fillId="0" borderId="0" applyProtection="0"/>
    <xf numFmtId="0" fontId="9" fillId="0" borderId="0"/>
    <xf numFmtId="188" fontId="47" fillId="0" borderId="0" applyFont="0" applyFill="0" applyBorder="0" applyAlignment="0" applyProtection="0"/>
    <xf numFmtId="189" fontId="47"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192" fontId="47" fillId="0" borderId="0" applyFont="0" applyFill="0" applyBorder="0" applyAlignment="0" applyProtection="0"/>
    <xf numFmtId="193" fontId="47" fillId="0" borderId="0" applyFont="0" applyFill="0" applyBorder="0" applyAlignment="0" applyProtection="0"/>
    <xf numFmtId="0" fontId="17" fillId="0" borderId="0"/>
    <xf numFmtId="194" fontId="9" fillId="2" borderId="0" applyNumberFormat="0" applyFill="0" applyBorder="0" applyAlignment="0" applyProtection="0">
      <alignment horizontal="right" vertical="center"/>
    </xf>
    <xf numFmtId="194" fontId="41" fillId="0" borderId="0" applyNumberFormat="0" applyFill="0" applyBorder="0" applyAlignment="0" applyProtection="0"/>
    <xf numFmtId="0" fontId="9" fillId="0" borderId="1" applyNumberFormat="0" applyFont="0" applyFill="0" applyAlignment="0" applyProtection="0"/>
    <xf numFmtId="195" fontId="39" fillId="0" borderId="0" applyFont="0" applyFill="0" applyBorder="0" applyAlignment="0" applyProtection="0"/>
    <xf numFmtId="196" fontId="47" fillId="0" borderId="0" applyFont="0" applyFill="0" applyBorder="0" applyProtection="0">
      <alignment horizontal="left"/>
    </xf>
    <xf numFmtId="197" fontId="47" fillId="0" borderId="0" applyFont="0" applyFill="0" applyBorder="0" applyProtection="0">
      <alignment horizontal="left"/>
    </xf>
    <xf numFmtId="198" fontId="47" fillId="0" borderId="0" applyFont="0" applyFill="0" applyBorder="0" applyProtection="0">
      <alignment horizontal="left"/>
    </xf>
    <xf numFmtId="37" fontId="48" fillId="0" borderId="0" applyFont="0" applyFill="0" applyBorder="0" applyAlignment="0" applyProtection="0">
      <alignment vertical="center"/>
      <protection locked="0"/>
    </xf>
    <xf numFmtId="199" fontId="49" fillId="0" borderId="0" applyFont="0" applyFill="0" applyBorder="0" applyAlignment="0" applyProtection="0"/>
    <xf numFmtId="0" fontId="50" fillId="0" borderId="0"/>
    <xf numFmtId="0" fontId="50" fillId="0" borderId="0"/>
    <xf numFmtId="174" fontId="7" fillId="0" borderId="0" applyFill="0"/>
    <xf numFmtId="174" fontId="7" fillId="0" borderId="0">
      <alignment horizontal="center"/>
    </xf>
    <xf numFmtId="0" fontId="7" fillId="0" borderId="0" applyFill="0">
      <alignment horizontal="center"/>
    </xf>
    <xf numFmtId="174" fontId="8" fillId="0" borderId="2" applyFill="0"/>
    <xf numFmtId="0" fontId="9" fillId="0" borderId="0" applyFont="0" applyAlignment="0"/>
    <xf numFmtId="0" fontId="10" fillId="0" borderId="0" applyFill="0">
      <alignment vertical="top"/>
    </xf>
    <xf numFmtId="0" fontId="8" fillId="0" borderId="0" applyFill="0">
      <alignment horizontal="left" vertical="top"/>
    </xf>
    <xf numFmtId="174" fontId="11" fillId="0" borderId="3"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74"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74"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74"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0" fontId="9" fillId="0" borderId="0" applyFill="0">
      <alignment horizontal="center" vertical="center" wrapText="1"/>
    </xf>
    <xf numFmtId="174" fontId="20" fillId="0" borderId="0" applyFill="0"/>
    <xf numFmtId="0" fontId="13"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174" fontId="23" fillId="0" borderId="0" applyFill="0"/>
    <xf numFmtId="0" fontId="13" fillId="0" borderId="0" applyNumberFormat="0" applyFont="0" applyAlignment="0">
      <alignment horizontal="center"/>
    </xf>
    <xf numFmtId="0" fontId="24" fillId="0" borderId="0">
      <alignment horizontal="center" wrapText="1"/>
    </xf>
    <xf numFmtId="0" fontId="20" fillId="0" borderId="0" applyFill="0">
      <alignment horizontal="center" wrapText="1"/>
    </xf>
    <xf numFmtId="181" fontId="51" fillId="0" borderId="0" applyFont="0" applyFill="0" applyBorder="0" applyAlignment="0" applyProtection="0">
      <protection locked="0"/>
    </xf>
    <xf numFmtId="200" fontId="51" fillId="0" borderId="0" applyFont="0" applyFill="0" applyBorder="0" applyAlignment="0" applyProtection="0">
      <protection locked="0"/>
    </xf>
    <xf numFmtId="39" fontId="9" fillId="0" borderId="0" applyFont="0" applyFill="0" applyBorder="0" applyAlignment="0" applyProtection="0"/>
    <xf numFmtId="201" fontId="52" fillId="0" borderId="0" applyFont="0" applyFill="0" applyBorder="0" applyAlignment="0" applyProtection="0"/>
    <xf numFmtId="185" fontId="49" fillId="0" borderId="0" applyFont="0" applyFill="0" applyBorder="0" applyAlignment="0" applyProtection="0"/>
    <xf numFmtId="0" fontId="9" fillId="0" borderId="1" applyNumberFormat="0" applyFont="0" applyFill="0" applyBorder="0" applyProtection="0">
      <alignment horizontal="centerContinuous" vertical="center"/>
    </xf>
    <xf numFmtId="0" fontId="33" fillId="0" borderId="0" applyFill="0" applyBorder="0" applyProtection="0">
      <alignment horizontal="center"/>
      <protection locked="0"/>
    </xf>
    <xf numFmtId="43" fontId="9" fillId="0" borderId="0" applyFont="0" applyFill="0" applyBorder="0" applyAlignment="0" applyProtection="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1" fontId="9"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205" fontId="45" fillId="0" borderId="0" applyFont="0" applyFill="0" applyBorder="0" applyAlignment="0" applyProtection="0"/>
    <xf numFmtId="206" fontId="54" fillId="0" borderId="0" applyFont="0" applyFill="0" applyBorder="0" applyAlignment="0" applyProtection="0"/>
    <xf numFmtId="207" fontId="54" fillId="0" borderId="0" applyFont="0" applyFill="0" applyBorder="0" applyAlignment="0" applyProtection="0"/>
    <xf numFmtId="208" fontId="12" fillId="0" borderId="0" applyFont="0" applyFill="0" applyBorder="0" applyAlignment="0" applyProtection="0">
      <protection locked="0"/>
    </xf>
    <xf numFmtId="43" fontId="5"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37" fontId="55" fillId="0" borderId="0" applyFill="0" applyBorder="0" applyAlignment="0" applyProtection="0"/>
    <xf numFmtId="3" fontId="9" fillId="0" borderId="0" applyFont="0" applyFill="0" applyBorder="0" applyAlignment="0" applyProtection="0"/>
    <xf numFmtId="0" fontId="8" fillId="0" borderId="0" applyFill="0" applyBorder="0" applyAlignment="0" applyProtection="0">
      <protection locked="0"/>
    </xf>
    <xf numFmtId="0" fontId="9" fillId="0" borderId="4"/>
    <xf numFmtId="44" fontId="9" fillId="0" borderId="0" applyFont="0" applyFill="0" applyBorder="0" applyAlignment="0" applyProtection="0"/>
    <xf numFmtId="209" fontId="47" fillId="0" borderId="0" applyFont="0" applyFill="0" applyBorder="0" applyAlignment="0" applyProtection="0"/>
    <xf numFmtId="210" fontId="47" fillId="0" borderId="0" applyFont="0" applyFill="0" applyBorder="0" applyAlignment="0" applyProtection="0"/>
    <xf numFmtId="211" fontId="47" fillId="0" borderId="0" applyFont="0" applyFill="0" applyBorder="0" applyAlignment="0" applyProtection="0"/>
    <xf numFmtId="212" fontId="54" fillId="0" borderId="0" applyFont="0" applyFill="0" applyBorder="0" applyAlignment="0" applyProtection="0"/>
    <xf numFmtId="213" fontId="54" fillId="0" borderId="0" applyFont="0" applyFill="0" applyBorder="0" applyAlignment="0" applyProtection="0"/>
    <xf numFmtId="214" fontId="54" fillId="0" borderId="0" applyFont="0" applyFill="0" applyBorder="0" applyAlignment="0" applyProtection="0"/>
    <xf numFmtId="215" fontId="12" fillId="0" borderId="0" applyFont="0" applyFill="0" applyBorder="0" applyAlignment="0" applyProtection="0">
      <protection locked="0"/>
    </xf>
    <xf numFmtId="44" fontId="19" fillId="0" borderId="0" applyFont="0" applyFill="0" applyBorder="0" applyAlignment="0" applyProtection="0"/>
    <xf numFmtId="44" fontId="9"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55"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216" fontId="49" fillId="0" borderId="0" applyFont="0" applyFill="0" applyBorder="0" applyAlignment="0" applyProtection="0"/>
    <xf numFmtId="184" fontId="9" fillId="0" borderId="0" applyFont="0" applyFill="0" applyBorder="0" applyAlignment="0" applyProtection="0"/>
    <xf numFmtId="217" fontId="51" fillId="0" borderId="0" applyFont="0" applyFill="0" applyBorder="0" applyAlignment="0" applyProtection="0">
      <protection locked="0"/>
    </xf>
    <xf numFmtId="7" fontId="7" fillId="0" borderId="0" applyFont="0" applyFill="0" applyBorder="0" applyAlignment="0" applyProtection="0"/>
    <xf numFmtId="218" fontId="52" fillId="0" borderId="0" applyFont="0" applyFill="0" applyBorder="0" applyAlignment="0" applyProtection="0"/>
    <xf numFmtId="183" fontId="56" fillId="0" borderId="0" applyFont="0" applyFill="0" applyBorder="0" applyAlignment="0" applyProtection="0"/>
    <xf numFmtId="0" fontId="57" fillId="3" borderId="5" applyNumberFormat="0" applyFont="0" applyFill="0" applyAlignment="0" applyProtection="0">
      <alignment horizontal="left" indent="1"/>
    </xf>
    <xf numFmtId="14" fontId="9" fillId="0" borderId="0" applyFont="0" applyFill="0" applyBorder="0" applyAlignment="0" applyProtection="0"/>
    <xf numFmtId="219" fontId="47" fillId="0" borderId="0" applyFont="0" applyFill="0" applyBorder="0" applyProtection="0"/>
    <xf numFmtId="220" fontId="47" fillId="0" borderId="0" applyFont="0" applyFill="0" applyBorder="0" applyProtection="0"/>
    <xf numFmtId="221" fontId="47" fillId="0" borderId="0" applyFont="0" applyFill="0" applyBorder="0" applyAlignment="0" applyProtection="0"/>
    <xf numFmtId="222" fontId="47" fillId="0" borderId="0" applyFont="0" applyFill="0" applyBorder="0" applyAlignment="0" applyProtection="0"/>
    <xf numFmtId="223" fontId="47" fillId="0" borderId="0" applyFont="0" applyFill="0" applyBorder="0" applyAlignment="0" applyProtection="0"/>
    <xf numFmtId="224" fontId="58" fillId="0" borderId="0" applyFont="0" applyFill="0" applyBorder="0" applyAlignment="0" applyProtection="0"/>
    <xf numFmtId="5" fontId="59" fillId="0" borderId="0" applyBorder="0"/>
    <xf numFmtId="184" fontId="59" fillId="0" borderId="0" applyBorder="0"/>
    <xf numFmtId="7" fontId="59" fillId="0" borderId="0" applyBorder="0"/>
    <xf numFmtId="37" fontId="59" fillId="0" borderId="0" applyBorder="0"/>
    <xf numFmtId="181" fontId="59" fillId="0" borderId="0" applyBorder="0"/>
    <xf numFmtId="225" fontId="59" fillId="0" borderId="0" applyBorder="0"/>
    <xf numFmtId="39" fontId="59" fillId="0" borderId="0" applyBorder="0"/>
    <xf numFmtId="226" fontId="59" fillId="0" borderId="0" applyBorder="0"/>
    <xf numFmtId="7" fontId="9" fillId="0" borderId="0" applyFont="0" applyFill="0" applyBorder="0" applyAlignment="0" applyProtection="0"/>
    <xf numFmtId="227" fontId="49" fillId="0" borderId="0" applyFont="0" applyFill="0" applyBorder="0" applyAlignment="0" applyProtection="0"/>
    <xf numFmtId="228" fontId="49" fillId="0" borderId="0" applyFont="0" applyFill="0" applyAlignment="0" applyProtection="0"/>
    <xf numFmtId="227" fontId="49" fillId="0" borderId="0" applyFont="0" applyFill="0" applyBorder="0" applyAlignment="0" applyProtection="0"/>
    <xf numFmtId="229" fontId="7" fillId="0" borderId="0" applyFont="0" applyFill="0" applyBorder="0" applyAlignment="0" applyProtection="0"/>
    <xf numFmtId="2" fontId="9" fillId="0" borderId="0" applyFont="0" applyFill="0" applyBorder="0" applyAlignment="0" applyProtection="0"/>
    <xf numFmtId="0" fontId="60" fillId="0" borderId="0"/>
    <xf numFmtId="181" fontId="61" fillId="0" borderId="0" applyNumberFormat="0" applyFill="0" applyBorder="0" applyAlignment="0" applyProtection="0"/>
    <xf numFmtId="0" fontId="7" fillId="0" borderId="0" applyFont="0" applyFill="0" applyBorder="0" applyAlignment="0" applyProtection="0"/>
    <xf numFmtId="0" fontId="47" fillId="0" borderId="0" applyFont="0" applyFill="0" applyBorder="0" applyProtection="0">
      <alignment horizontal="center" wrapText="1"/>
    </xf>
    <xf numFmtId="230" fontId="47" fillId="0" borderId="0" applyFont="0" applyFill="0" applyBorder="0" applyProtection="0">
      <alignment horizontal="right"/>
    </xf>
    <xf numFmtId="0" fontId="61" fillId="0" borderId="0" applyNumberFormat="0" applyFill="0" applyBorder="0" applyAlignment="0" applyProtection="0"/>
    <xf numFmtId="0" fontId="62" fillId="4" borderId="0" applyNumberFormat="0" applyFill="0" applyBorder="0" applyAlignment="0" applyProtection="0"/>
    <xf numFmtId="0" fontId="11" fillId="0" borderId="6" applyNumberFormat="0" applyAlignment="0" applyProtection="0">
      <alignment horizontal="left" vertical="center"/>
    </xf>
    <xf numFmtId="0" fontId="11" fillId="0" borderId="7">
      <alignment horizontal="left" vertical="center"/>
    </xf>
    <xf numFmtId="14" fontId="34" fillId="5" borderId="8">
      <alignment horizontal="center" vertical="center" wrapText="1"/>
    </xf>
    <xf numFmtId="0" fontId="25" fillId="0" borderId="0" applyFont="0" applyFill="0" applyBorder="0" applyAlignment="0" applyProtection="0"/>
    <xf numFmtId="0" fontId="26" fillId="0" borderId="0" applyFont="0" applyFill="0" applyBorder="0" applyAlignment="0" applyProtection="0"/>
    <xf numFmtId="0" fontId="11" fillId="0" borderId="0" applyFont="0" applyFill="0" applyBorder="0" applyAlignment="0" applyProtection="0"/>
    <xf numFmtId="0" fontId="33" fillId="0" borderId="0" applyFill="0" applyAlignment="0" applyProtection="0">
      <protection locked="0"/>
    </xf>
    <xf numFmtId="0" fontId="33" fillId="0" borderId="1" applyFill="0" applyAlignment="0" applyProtection="0">
      <protection locked="0"/>
    </xf>
    <xf numFmtId="0" fontId="27" fillId="0" borderId="8"/>
    <xf numFmtId="0" fontId="28" fillId="0" borderId="0"/>
    <xf numFmtId="0" fontId="63" fillId="0" borderId="1" applyNumberFormat="0" applyFill="0" applyAlignment="0" applyProtection="0"/>
    <xf numFmtId="0" fontId="58" fillId="6" borderId="0" applyNumberFormat="0" applyFont="0" applyBorder="0" applyAlignment="0" applyProtection="0"/>
    <xf numFmtId="0" fontId="64" fillId="0" borderId="0" applyNumberFormat="0" applyFill="0" applyBorder="0" applyAlignment="0" applyProtection="0">
      <alignment vertical="top"/>
      <protection locked="0"/>
    </xf>
    <xf numFmtId="0" fontId="44" fillId="7" borderId="9" applyNumberFormat="0" applyAlignment="0" applyProtection="0"/>
    <xf numFmtId="231" fontId="47" fillId="0" borderId="0" applyFont="0" applyFill="0" applyBorder="0" applyProtection="0">
      <alignment horizontal="left"/>
    </xf>
    <xf numFmtId="232" fontId="47" fillId="0" borderId="0" applyFont="0" applyFill="0" applyBorder="0" applyProtection="0">
      <alignment horizontal="left"/>
    </xf>
    <xf numFmtId="233" fontId="47" fillId="0" borderId="0" applyFont="0" applyFill="0" applyBorder="0" applyProtection="0">
      <alignment horizontal="left"/>
    </xf>
    <xf numFmtId="234" fontId="47" fillId="0" borderId="0" applyFont="0" applyFill="0" applyBorder="0" applyProtection="0">
      <alignment horizontal="left"/>
    </xf>
    <xf numFmtId="10" fontId="7" fillId="8" borderId="9" applyNumberFormat="0" applyBorder="0" applyAlignment="0" applyProtection="0"/>
    <xf numFmtId="5" fontId="65" fillId="0" borderId="0" applyBorder="0"/>
    <xf numFmtId="184" fontId="65" fillId="0" borderId="0" applyBorder="0"/>
    <xf numFmtId="7" fontId="65" fillId="0" borderId="0" applyBorder="0"/>
    <xf numFmtId="37" fontId="65" fillId="0" borderId="0" applyBorder="0"/>
    <xf numFmtId="181" fontId="65" fillId="0" borderId="0" applyBorder="0"/>
    <xf numFmtId="225" fontId="65" fillId="0" borderId="0" applyBorder="0"/>
    <xf numFmtId="39" fontId="65" fillId="0" borderId="0" applyBorder="0"/>
    <xf numFmtId="226" fontId="65" fillId="0" borderId="0" applyBorder="0"/>
    <xf numFmtId="0" fontId="58" fillId="0" borderId="10" applyNumberFormat="0" applyFont="0" applyFill="0" applyAlignment="0" applyProtection="0"/>
    <xf numFmtId="0" fontId="66" fillId="0" borderId="0"/>
    <xf numFmtId="0" fontId="7" fillId="9" borderId="0"/>
    <xf numFmtId="235" fontId="9" fillId="0" borderId="0" applyFont="0" applyFill="0" applyBorder="0" applyAlignment="0" applyProtection="0"/>
    <xf numFmtId="236" fontId="9" fillId="0" borderId="0" applyFont="0" applyFill="0" applyBorder="0" applyAlignment="0" applyProtection="0"/>
    <xf numFmtId="237" fontId="9" fillId="0" borderId="0" applyFont="0" applyFill="0" applyBorder="0" applyAlignment="0" applyProtection="0"/>
    <xf numFmtId="238" fontId="9" fillId="0" borderId="0" applyFont="0" applyFill="0" applyBorder="0" applyAlignment="0" applyProtection="0"/>
    <xf numFmtId="0" fontId="9" fillId="0" borderId="0" applyFont="0" applyFill="0" applyBorder="0" applyAlignment="0" applyProtection="0">
      <alignment horizontal="right"/>
    </xf>
    <xf numFmtId="239" fontId="9" fillId="0" borderId="0" applyFont="0" applyFill="0" applyBorder="0" applyAlignment="0" applyProtection="0"/>
    <xf numFmtId="37" fontId="67" fillId="0" borderId="0"/>
    <xf numFmtId="0" fontId="49" fillId="0" borderId="0"/>
    <xf numFmtId="0" fontId="103" fillId="0" borderId="0"/>
    <xf numFmtId="7" fontId="97" fillId="0" borderId="0"/>
    <xf numFmtId="0" fontId="9" fillId="0" borderId="0"/>
    <xf numFmtId="0" fontId="45" fillId="0" borderId="0"/>
    <xf numFmtId="0" fontId="19" fillId="0" borderId="0"/>
    <xf numFmtId="0" fontId="9" fillId="0" borderId="0"/>
    <xf numFmtId="0" fontId="9" fillId="0" borderId="0"/>
    <xf numFmtId="0" fontId="43" fillId="0" borderId="0"/>
    <xf numFmtId="0" fontId="9" fillId="0" borderId="0"/>
    <xf numFmtId="0" fontId="9" fillId="0" borderId="0"/>
    <xf numFmtId="0" fontId="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74" fontId="29" fillId="0" borderId="0" applyProtection="0"/>
    <xf numFmtId="0" fontId="103" fillId="0" borderId="0"/>
    <xf numFmtId="0" fontId="103" fillId="0" borderId="0"/>
    <xf numFmtId="0" fontId="103" fillId="0" borderId="0"/>
    <xf numFmtId="0" fontId="103" fillId="0" borderId="0"/>
    <xf numFmtId="0" fontId="29" fillId="0" borderId="0" applyProtection="0"/>
    <xf numFmtId="174" fontId="29" fillId="0" borderId="0" applyProtection="0"/>
    <xf numFmtId="174" fontId="29" fillId="0" borderId="0" applyProtection="0"/>
    <xf numFmtId="174" fontId="29" fillId="0" borderId="0" applyProtection="0"/>
    <xf numFmtId="0" fontId="9" fillId="0" borderId="0"/>
    <xf numFmtId="174" fontId="29" fillId="0" borderId="0" applyProtection="0"/>
    <xf numFmtId="0" fontId="9" fillId="0" borderId="0"/>
    <xf numFmtId="0" fontId="39" fillId="10" borderId="0" applyNumberFormat="0" applyFont="0" applyBorder="0" applyAlignment="0"/>
    <xf numFmtId="240" fontId="9" fillId="0" borderId="0" applyFont="0" applyFill="0" applyBorder="0" applyAlignment="0" applyProtection="0"/>
    <xf numFmtId="241" fontId="68" fillId="0" borderId="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2" fontId="9" fillId="0" borderId="0"/>
    <xf numFmtId="243" fontId="49" fillId="0" borderId="0"/>
    <xf numFmtId="243" fontId="49" fillId="0" borderId="0"/>
    <xf numFmtId="241" fontId="68" fillId="0" borderId="0"/>
    <xf numFmtId="0" fontId="49" fillId="0" borderId="0"/>
    <xf numFmtId="241" fontId="55" fillId="0" borderId="0"/>
    <xf numFmtId="242" fontId="9" fillId="0" borderId="0"/>
    <xf numFmtId="243" fontId="49" fillId="0" borderId="0"/>
    <xf numFmtId="243" fontId="49" fillId="0" borderId="0"/>
    <xf numFmtId="0" fontId="49" fillId="0" borderId="0"/>
    <xf numFmtId="0" fontId="49" fillId="0" borderId="0"/>
    <xf numFmtId="244" fontId="49" fillId="0" borderId="0"/>
    <xf numFmtId="170" fontId="49" fillId="0" borderId="0"/>
    <xf numFmtId="245" fontId="49" fillId="0" borderId="0"/>
    <xf numFmtId="244" fontId="49" fillId="0" borderId="0"/>
    <xf numFmtId="170" fontId="49" fillId="0" borderId="0"/>
    <xf numFmtId="246" fontId="49" fillId="0" borderId="0"/>
    <xf numFmtId="246" fontId="49" fillId="0" borderId="0"/>
    <xf numFmtId="179" fontId="49" fillId="0" borderId="0"/>
    <xf numFmtId="245" fontId="49" fillId="0" borderId="0"/>
    <xf numFmtId="169" fontId="49" fillId="0" borderId="0"/>
    <xf numFmtId="179" fontId="49" fillId="0" borderId="0"/>
    <xf numFmtId="179" fontId="49" fillId="0" borderId="0"/>
    <xf numFmtId="0" fontId="49" fillId="0" borderId="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1" fontId="68" fillId="0" borderId="0"/>
    <xf numFmtId="241" fontId="68" fillId="0" borderId="0"/>
    <xf numFmtId="240" fontId="9" fillId="0" borderId="0" applyFont="0" applyFill="0" applyBorder="0" applyAlignment="0" applyProtection="0"/>
    <xf numFmtId="241" fontId="68" fillId="0" borderId="0"/>
    <xf numFmtId="241" fontId="68" fillId="0" borderId="0"/>
    <xf numFmtId="244" fontId="49" fillId="0" borderId="0"/>
    <xf numFmtId="170" fontId="49" fillId="0" borderId="0"/>
    <xf numFmtId="245" fontId="49" fillId="0" borderId="0"/>
    <xf numFmtId="244" fontId="49" fillId="0" borderId="0"/>
    <xf numFmtId="170" fontId="49" fillId="0" borderId="0"/>
    <xf numFmtId="246" fontId="49" fillId="0" borderId="0"/>
    <xf numFmtId="246" fontId="49" fillId="0" borderId="0"/>
    <xf numFmtId="179" fontId="49" fillId="0" borderId="0"/>
    <xf numFmtId="245" fontId="49" fillId="0" borderId="0"/>
    <xf numFmtId="169" fontId="49" fillId="0" borderId="0"/>
    <xf numFmtId="179" fontId="49" fillId="0" borderId="0"/>
    <xf numFmtId="179" fontId="49" fillId="0" borderId="0"/>
    <xf numFmtId="247" fontId="17" fillId="11" borderId="0" applyFont="0" applyFill="0" applyBorder="0" applyAlignment="0" applyProtection="0"/>
    <xf numFmtId="248" fontId="17" fillId="11" borderId="0" applyFont="0" applyFill="0" applyBorder="0" applyAlignment="0" applyProtection="0"/>
    <xf numFmtId="249" fontId="9" fillId="0" borderId="0" applyFont="0" applyFill="0" applyBorder="0" applyAlignment="0" applyProtection="0"/>
    <xf numFmtId="9" fontId="9" fillId="0" borderId="0" applyFont="0" applyFill="0" applyBorder="0" applyAlignment="0" applyProtection="0"/>
    <xf numFmtId="250" fontId="54" fillId="0" borderId="0" applyFont="0" applyFill="0" applyBorder="0" applyAlignment="0" applyProtection="0"/>
    <xf numFmtId="251" fontId="45" fillId="0" borderId="0" applyFont="0" applyFill="0" applyBorder="0" applyAlignment="0" applyProtection="0"/>
    <xf numFmtId="252" fontId="9" fillId="0" borderId="0" applyFont="0" applyFill="0" applyBorder="0" applyAlignment="0" applyProtection="0"/>
    <xf numFmtId="253" fontId="47" fillId="0" borderId="0" applyFont="0" applyFill="0" applyBorder="0" applyAlignment="0" applyProtection="0"/>
    <xf numFmtId="254" fontId="47" fillId="0" borderId="0" applyFont="0" applyFill="0" applyBorder="0" applyAlignment="0" applyProtection="0"/>
    <xf numFmtId="255" fontId="47" fillId="0" borderId="0" applyFont="0" applyFill="0" applyBorder="0" applyAlignment="0" applyProtection="0"/>
    <xf numFmtId="256" fontId="47" fillId="0" borderId="0" applyFont="0" applyFill="0" applyBorder="0" applyAlignment="0" applyProtection="0"/>
    <xf numFmtId="257" fontId="54" fillId="0" borderId="0" applyFont="0" applyFill="0" applyBorder="0" applyAlignment="0" applyProtection="0"/>
    <xf numFmtId="258" fontId="45" fillId="0" borderId="0" applyFont="0" applyFill="0" applyBorder="0" applyAlignment="0" applyProtection="0"/>
    <xf numFmtId="259" fontId="54" fillId="0" borderId="0" applyFont="0" applyFill="0" applyBorder="0" applyAlignment="0" applyProtection="0"/>
    <xf numFmtId="260" fontId="45" fillId="0" borderId="0" applyFont="0" applyFill="0" applyBorder="0" applyAlignment="0" applyProtection="0"/>
    <xf numFmtId="261" fontId="54" fillId="0" borderId="0" applyFont="0" applyFill="0" applyBorder="0" applyAlignment="0" applyProtection="0"/>
    <xf numFmtId="262" fontId="45" fillId="0" borderId="0" applyFont="0" applyFill="0" applyBorder="0" applyAlignment="0" applyProtection="0"/>
    <xf numFmtId="263" fontId="12" fillId="0" borderId="0" applyFont="0" applyFill="0" applyBorder="0" applyAlignment="0" applyProtection="0">
      <protection locked="0"/>
    </xf>
    <xf numFmtId="264" fontId="45"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94" fontId="55" fillId="0" borderId="0" applyFill="0" applyBorder="0" applyAlignment="0" applyProtection="0"/>
    <xf numFmtId="9" fontId="59" fillId="0" borderId="0" applyBorder="0"/>
    <xf numFmtId="171" fontId="59" fillId="0" borderId="0" applyBorder="0"/>
    <xf numFmtId="10" fontId="59" fillId="0" borderId="0" applyBorder="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 fontId="9" fillId="0" borderId="0">
      <alignment horizontal="left" vertical="top"/>
    </xf>
    <xf numFmtId="0" fontId="31" fillId="0" borderId="8">
      <alignment horizontal="center"/>
    </xf>
    <xf numFmtId="3" fontId="30" fillId="0" borderId="0" applyFont="0" applyFill="0" applyBorder="0" applyAlignment="0" applyProtection="0"/>
    <xf numFmtId="0" fontId="30" fillId="12" borderId="0" applyNumberFormat="0" applyFont="0" applyBorder="0" applyAlignment="0" applyProtection="0"/>
    <xf numFmtId="3" fontId="9" fillId="0" borderId="0">
      <alignment horizontal="right" vertical="top"/>
    </xf>
    <xf numFmtId="41" fontId="16" fillId="9" borderId="11" applyFill="0"/>
    <xf numFmtId="0" fontId="32" fillId="0" borderId="0">
      <alignment horizontal="left" indent="7"/>
    </xf>
    <xf numFmtId="41" fontId="16" fillId="0" borderId="11" applyFill="0">
      <alignment horizontal="left" indent="2"/>
    </xf>
    <xf numFmtId="174" fontId="33" fillId="0" borderId="1" applyFill="0">
      <alignment horizontal="right"/>
    </xf>
    <xf numFmtId="0" fontId="34" fillId="0" borderId="9" applyNumberFormat="0" applyFont="0" applyBorder="0">
      <alignment horizontal="right"/>
    </xf>
    <xf numFmtId="0" fontId="35" fillId="0" borderId="0" applyFill="0"/>
    <xf numFmtId="0" fontId="11" fillId="0" borderId="0" applyFill="0"/>
    <xf numFmtId="4" fontId="33" fillId="0" borderId="1" applyFill="0"/>
    <xf numFmtId="0" fontId="9" fillId="0" borderId="0" applyNumberFormat="0" applyFont="0" applyBorder="0" applyAlignment="0"/>
    <xf numFmtId="0" fontId="14" fillId="0" borderId="0" applyFill="0">
      <alignment horizontal="left" indent="1"/>
    </xf>
    <xf numFmtId="0" fontId="36"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37" fillId="0" borderId="0">
      <alignment horizontal="left" indent="3"/>
    </xf>
    <xf numFmtId="0" fontId="38"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19" fillId="0" borderId="0" applyFill="0">
      <alignment horizontal="left" indent="4"/>
    </xf>
    <xf numFmtId="0" fontId="9" fillId="0" borderId="0" applyFill="0">
      <alignment horizontal="left" indent="4"/>
    </xf>
    <xf numFmtId="4" fontId="20" fillId="0" borderId="0" applyFill="0"/>
    <xf numFmtId="0" fontId="9" fillId="0" borderId="0" applyNumberFormat="0" applyFont="0" applyBorder="0" applyAlignment="0"/>
    <xf numFmtId="0" fontId="21" fillId="0" borderId="0">
      <alignment horizontal="left" indent="5"/>
    </xf>
    <xf numFmtId="0" fontId="22" fillId="0" borderId="0" applyFill="0">
      <alignment horizontal="left" indent="5"/>
    </xf>
    <xf numFmtId="4" fontId="23" fillId="0" borderId="0" applyFill="0"/>
    <xf numFmtId="0" fontId="9" fillId="0" borderId="0" applyNumberFormat="0" applyFont="0" applyFill="0" applyBorder="0" applyAlignment="0"/>
    <xf numFmtId="0" fontId="24" fillId="0" borderId="0" applyFill="0">
      <alignment horizontal="left" indent="6"/>
    </xf>
    <xf numFmtId="0" fontId="20" fillId="0" borderId="0" applyFill="0">
      <alignment horizontal="left" indent="6"/>
    </xf>
    <xf numFmtId="0" fontId="58" fillId="0" borderId="12" applyNumberFormat="0" applyFont="0" applyFill="0" applyAlignment="0" applyProtection="0"/>
    <xf numFmtId="0" fontId="69" fillId="0" borderId="0" applyNumberFormat="0" applyFill="0" applyBorder="0" applyAlignment="0" applyProtection="0"/>
    <xf numFmtId="0" fontId="70" fillId="0" borderId="0"/>
    <xf numFmtId="0" fontId="70" fillId="0" borderId="0"/>
    <xf numFmtId="0" fontId="46" fillId="0" borderId="8">
      <alignment horizontal="right"/>
    </xf>
    <xf numFmtId="0" fontId="8" fillId="13" borderId="0"/>
    <xf numFmtId="265" fontId="56" fillId="0" borderId="0">
      <alignment horizontal="center"/>
    </xf>
    <xf numFmtId="266" fontId="71" fillId="0" borderId="0">
      <alignment horizontal="center"/>
    </xf>
    <xf numFmtId="0" fontId="72" fillId="0" borderId="0" applyNumberFormat="0" applyFill="0" applyBorder="0" applyAlignment="0" applyProtection="0"/>
    <xf numFmtId="0" fontId="73" fillId="0" borderId="0" applyNumberFormat="0" applyBorder="0" applyAlignment="0"/>
    <xf numFmtId="0" fontId="42" fillId="0" borderId="0" applyNumberFormat="0" applyBorder="0" applyAlignment="0"/>
    <xf numFmtId="0" fontId="9" fillId="9" borderId="4" applyNumberFormat="0" applyFont="0" applyAlignment="0"/>
    <xf numFmtId="0" fontId="58" fillId="3" borderId="0" applyNumberFormat="0" applyFont="0" applyBorder="0" applyAlignment="0" applyProtection="0"/>
    <xf numFmtId="247" fontId="74" fillId="0" borderId="7" applyNumberFormat="0" applyFont="0" applyFill="0" applyAlignment="0" applyProtection="0"/>
    <xf numFmtId="0" fontId="40" fillId="0" borderId="0" applyFill="0" applyBorder="0" applyProtection="0">
      <alignment horizontal="left" vertical="top"/>
    </xf>
    <xf numFmtId="0" fontId="75" fillId="0" borderId="0" applyAlignment="0">
      <alignment horizontal="centerContinuous"/>
    </xf>
    <xf numFmtId="0" fontId="9" fillId="0" borderId="3" applyNumberFormat="0" applyFont="0" applyFill="0" applyAlignment="0" applyProtection="0"/>
    <xf numFmtId="0" fontId="9" fillId="0" borderId="0" applyFont="0" applyFill="0" applyBorder="0" applyAlignment="0" applyProtection="0"/>
    <xf numFmtId="0" fontId="76" fillId="0" borderId="0" applyNumberFormat="0" applyFill="0" applyBorder="0" applyAlignment="0" applyProtection="0"/>
    <xf numFmtId="267" fontId="45" fillId="0" borderId="0" applyFont="0" applyFill="0" applyBorder="0" applyAlignment="0" applyProtection="0"/>
    <xf numFmtId="268" fontId="45" fillId="0" borderId="0" applyFont="0" applyFill="0" applyBorder="0" applyAlignment="0" applyProtection="0"/>
    <xf numFmtId="269" fontId="45" fillId="0" borderId="0" applyFont="0" applyFill="0" applyBorder="0" applyAlignment="0" applyProtection="0"/>
    <xf numFmtId="270" fontId="45" fillId="0" borderId="0" applyFont="0" applyFill="0" applyBorder="0" applyAlignment="0" applyProtection="0"/>
    <xf numFmtId="271" fontId="45" fillId="0" borderId="0" applyFont="0" applyFill="0" applyBorder="0" applyAlignment="0" applyProtection="0"/>
    <xf numFmtId="272"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5" fontId="77" fillId="3" borderId="13" applyFont="0" applyFill="0" applyBorder="0" applyAlignment="0" applyProtection="0"/>
    <xf numFmtId="275" fontId="49" fillId="0" borderId="0" applyFont="0" applyFill="0" applyBorder="0" applyAlignment="0" applyProtection="0"/>
    <xf numFmtId="276" fontId="52" fillId="0" borderId="0" applyFont="0" applyFill="0" applyBorder="0" applyAlignment="0" applyProtection="0"/>
    <xf numFmtId="277" fontId="56" fillId="0" borderId="7" applyFont="0" applyFill="0" applyBorder="0" applyAlignment="0" applyProtection="0">
      <alignment horizontal="right"/>
      <protection locked="0"/>
    </xf>
    <xf numFmtId="43" fontId="5" fillId="0" borderId="0" applyFont="0" applyFill="0" applyBorder="0" applyAlignment="0" applyProtection="0"/>
    <xf numFmtId="43" fontId="7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174" fontId="111" fillId="0" borderId="0" applyProtection="0"/>
    <xf numFmtId="0" fontId="112" fillId="0" borderId="0"/>
    <xf numFmtId="41" fontId="112" fillId="0" borderId="0" applyFont="0" applyFill="0" applyBorder="0" applyAlignment="0" applyProtection="0"/>
    <xf numFmtId="43" fontId="112" fillId="0" borderId="0" applyFont="0" applyFill="0" applyBorder="0" applyAlignment="0" applyProtection="0"/>
    <xf numFmtId="174" fontId="29" fillId="0" borderId="0" applyProtection="0"/>
    <xf numFmtId="0" fontId="3" fillId="0" borderId="0"/>
    <xf numFmtId="0" fontId="5" fillId="0" borderId="0"/>
    <xf numFmtId="43" fontId="9" fillId="0" borderId="0" applyFont="0" applyFill="0" applyBorder="0" applyAlignment="0" applyProtection="0"/>
    <xf numFmtId="0" fontId="113" fillId="22" borderId="48" applyNumberFormat="0" applyAlignment="0" applyProtection="0">
      <alignment horizontal="left" vertical="center" indent="1"/>
    </xf>
    <xf numFmtId="0" fontId="3" fillId="0" borderId="0"/>
    <xf numFmtId="43" fontId="3" fillId="0" borderId="0" applyFont="0" applyFill="0" applyBorder="0" applyAlignment="0" applyProtection="0"/>
    <xf numFmtId="9" fontId="3" fillId="0" borderId="0" applyFont="0" applyFill="0" applyBorder="0" applyAlignment="0" applyProtection="0"/>
    <xf numFmtId="0" fontId="114" fillId="0" borderId="0" applyNumberFormat="0" applyFill="0" applyBorder="0" applyAlignment="0" applyProtection="0"/>
    <xf numFmtId="0" fontId="3" fillId="0" borderId="0"/>
    <xf numFmtId="44" fontId="3" fillId="0" borderId="0" applyFont="0" applyFill="0" applyBorder="0" applyAlignment="0" applyProtection="0"/>
    <xf numFmtId="0" fontId="115" fillId="0" borderId="0"/>
    <xf numFmtId="174" fontId="111" fillId="0" borderId="0" applyProtection="0"/>
    <xf numFmtId="174" fontId="111" fillId="0" borderId="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9" fillId="0" borderId="0"/>
    <xf numFmtId="43" fontId="9"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0" fontId="9" fillId="0" borderId="0"/>
    <xf numFmtId="43" fontId="2" fillId="0" borderId="0" applyFont="0" applyFill="0" applyBorder="0" applyAlignment="0" applyProtection="0"/>
    <xf numFmtId="44" fontId="1" fillId="0" borderId="0" applyFont="0" applyFill="0" applyBorder="0" applyAlignment="0" applyProtection="0"/>
    <xf numFmtId="0" fontId="1" fillId="0" borderId="0"/>
  </cellStyleXfs>
  <cellXfs count="1159">
    <xf numFmtId="174" fontId="0" fillId="0" borderId="0" xfId="0" applyAlignment="1"/>
    <xf numFmtId="0" fontId="49" fillId="0" borderId="0" xfId="212" applyFont="1"/>
    <xf numFmtId="0" fontId="56" fillId="0" borderId="0" xfId="212" applyFont="1" applyAlignment="1">
      <alignment horizontal="centerContinuous"/>
    </xf>
    <xf numFmtId="0" fontId="56" fillId="0" borderId="0" xfId="212" applyFont="1" applyAlignment="1">
      <alignment horizontal="center" wrapText="1"/>
    </xf>
    <xf numFmtId="0" fontId="56" fillId="0" borderId="0" xfId="206" applyFont="1" applyFill="1" applyBorder="1" applyAlignment="1">
      <alignment horizontal="center" wrapText="1"/>
    </xf>
    <xf numFmtId="0" fontId="49" fillId="0" borderId="0" xfId="212" quotePrefix="1" applyFont="1" applyAlignment="1">
      <alignment horizontal="left"/>
    </xf>
    <xf numFmtId="41" fontId="49" fillId="14" borderId="0" xfId="212" applyNumberFormat="1" applyFont="1" applyFill="1"/>
    <xf numFmtId="0" fontId="49" fillId="0" borderId="0" xfId="212" applyFont="1" applyAlignment="1">
      <alignment horizontal="right"/>
    </xf>
    <xf numFmtId="43" fontId="49" fillId="0" borderId="14" xfId="59" applyFont="1" applyBorder="1"/>
    <xf numFmtId="37" fontId="49" fillId="0" borderId="0" xfId="212" applyNumberFormat="1" applyFont="1"/>
    <xf numFmtId="0" fontId="56" fillId="0" borderId="0" xfId="212" applyFont="1" applyAlignment="1">
      <alignment horizontal="centerContinuous" wrapText="1"/>
    </xf>
    <xf numFmtId="0" fontId="56" fillId="0" borderId="0" xfId="212" applyFont="1" applyAlignment="1">
      <alignment horizontal="center"/>
    </xf>
    <xf numFmtId="174" fontId="49" fillId="0" borderId="0" xfId="0" applyFont="1" applyAlignment="1">
      <alignment wrapText="1"/>
    </xf>
    <xf numFmtId="0" fontId="79" fillId="0" borderId="0" xfId="0" applyNumberFormat="1" applyFont="1" applyAlignment="1">
      <alignment horizontal="center"/>
    </xf>
    <xf numFmtId="174" fontId="79" fillId="0" borderId="0" xfId="0" applyFont="1" applyAlignment="1"/>
    <xf numFmtId="174" fontId="49" fillId="0" borderId="0" xfId="0" applyFont="1" applyAlignment="1"/>
    <xf numFmtId="174" fontId="49" fillId="0" borderId="0" xfId="207" applyFont="1" applyAlignment="1"/>
    <xf numFmtId="174" fontId="79" fillId="0" borderId="0" xfId="0" applyFont="1" applyAlignment="1">
      <alignment horizontal="center"/>
    </xf>
    <xf numFmtId="175" fontId="49" fillId="0" borderId="0" xfId="59" applyNumberFormat="1" applyFont="1" applyAlignment="1"/>
    <xf numFmtId="0" fontId="49" fillId="0" borderId="0" xfId="201" applyNumberFormat="1" applyFont="1" applyFill="1" applyBorder="1" applyAlignment="1" applyProtection="1">
      <protection locked="0"/>
    </xf>
    <xf numFmtId="0" fontId="49" fillId="0" borderId="0" xfId="201" applyNumberFormat="1" applyFont="1" applyFill="1" applyBorder="1" applyAlignment="1" applyProtection="1">
      <alignment horizontal="center"/>
      <protection locked="0"/>
    </xf>
    <xf numFmtId="0" fontId="49" fillId="14" borderId="0" xfId="201" applyNumberFormat="1" applyFont="1" applyFill="1" applyAlignment="1">
      <alignment horizontal="right"/>
    </xf>
    <xf numFmtId="3" fontId="49" fillId="0" borderId="0" xfId="201" applyNumberFormat="1" applyFont="1" applyFill="1" applyBorder="1" applyAlignment="1"/>
    <xf numFmtId="3" fontId="49" fillId="0" borderId="0" xfId="201" applyNumberFormat="1" applyFont="1" applyFill="1" applyBorder="1" applyAlignment="1">
      <alignment horizontal="center"/>
    </xf>
    <xf numFmtId="0" fontId="49" fillId="0" borderId="0" xfId="201" applyNumberFormat="1" applyFont="1" applyFill="1" applyBorder="1" applyProtection="1">
      <protection locked="0"/>
    </xf>
    <xf numFmtId="174" fontId="49" fillId="0" borderId="0" xfId="201" applyFont="1" applyFill="1" applyBorder="1" applyAlignment="1"/>
    <xf numFmtId="0" fontId="49" fillId="0" borderId="0" xfId="201" applyNumberFormat="1" applyFont="1" applyFill="1" applyBorder="1"/>
    <xf numFmtId="43" fontId="49" fillId="0" borderId="0" xfId="59" applyFont="1" applyAlignment="1"/>
    <xf numFmtId="0" fontId="49" fillId="0" borderId="0" xfId="211" applyNumberFormat="1" applyFont="1" applyAlignment="1" applyProtection="1">
      <protection locked="0"/>
    </xf>
    <xf numFmtId="3" fontId="49" fillId="0" borderId="0" xfId="211" applyNumberFormat="1" applyFont="1" applyAlignment="1"/>
    <xf numFmtId="3" fontId="49" fillId="0" borderId="8" xfId="211" applyNumberFormat="1" applyFont="1" applyBorder="1" applyAlignment="1">
      <alignment horizontal="center"/>
    </xf>
    <xf numFmtId="0" fontId="49" fillId="0" borderId="0" xfId="211" applyNumberFormat="1" applyFont="1" applyAlignment="1"/>
    <xf numFmtId="3" fontId="49" fillId="0" borderId="0" xfId="211" applyNumberFormat="1" applyFont="1" applyAlignment="1">
      <alignment horizontal="center"/>
    </xf>
    <xf numFmtId="0" fontId="49" fillId="0" borderId="8" xfId="211" applyNumberFormat="1" applyFont="1" applyBorder="1" applyAlignment="1" applyProtection="1">
      <alignment horizontal="center"/>
      <protection locked="0"/>
    </xf>
    <xf numFmtId="174" fontId="49" fillId="0" borderId="0" xfId="211" applyFont="1" applyFill="1" applyAlignment="1"/>
    <xf numFmtId="169" fontId="49" fillId="0" borderId="0" xfId="211" applyNumberFormat="1" applyFont="1" applyAlignment="1"/>
    <xf numFmtId="174" fontId="49" fillId="0" borderId="0" xfId="211" applyFont="1" applyAlignment="1"/>
    <xf numFmtId="3" fontId="49" fillId="0" borderId="0" xfId="211" applyNumberFormat="1" applyFont="1" applyFill="1" applyAlignment="1"/>
    <xf numFmtId="166" fontId="49" fillId="0" borderId="0" xfId="211" applyNumberFormat="1" applyFont="1" applyAlignment="1">
      <alignment horizontal="center"/>
    </xf>
    <xf numFmtId="164" fontId="49" fillId="0" borderId="0" xfId="211" applyNumberFormat="1" applyFont="1" applyAlignment="1">
      <alignment horizontal="left"/>
    </xf>
    <xf numFmtId="0" fontId="49" fillId="0" borderId="0" xfId="211" applyNumberFormat="1" applyFont="1" applyFill="1" applyAlignment="1"/>
    <xf numFmtId="164" fontId="49" fillId="0" borderId="0" xfId="211" applyNumberFormat="1" applyFont="1" applyFill="1" applyAlignment="1">
      <alignment horizontal="left"/>
    </xf>
    <xf numFmtId="175" fontId="49" fillId="0" borderId="0" xfId="59" applyNumberFormat="1" applyFont="1" applyBorder="1" applyAlignment="1"/>
    <xf numFmtId="10" fontId="49" fillId="0" borderId="0" xfId="211" applyNumberFormat="1" applyFont="1" applyFill="1" applyAlignment="1">
      <alignment horizontal="left"/>
    </xf>
    <xf numFmtId="3" fontId="49" fillId="0" borderId="0" xfId="188" applyNumberFormat="1" applyFont="1" applyAlignment="1"/>
    <xf numFmtId="166" fontId="49" fillId="0" borderId="0" xfId="188" applyNumberFormat="1" applyFont="1" applyAlignment="1"/>
    <xf numFmtId="0" fontId="49" fillId="0" borderId="0" xfId="188" applyFont="1" applyAlignment="1"/>
    <xf numFmtId="43" fontId="49" fillId="0" borderId="8" xfId="59" applyFont="1" applyBorder="1" applyAlignment="1"/>
    <xf numFmtId="164" fontId="49" fillId="0" borderId="0" xfId="211" applyNumberFormat="1" applyFont="1" applyFill="1" applyAlignment="1" applyProtection="1">
      <alignment horizontal="left"/>
      <protection locked="0"/>
    </xf>
    <xf numFmtId="174" fontId="49" fillId="14" borderId="0" xfId="201" applyFont="1" applyFill="1" applyBorder="1" applyAlignment="1"/>
    <xf numFmtId="174" fontId="49" fillId="0" borderId="1" xfId="201" applyFont="1" applyFill="1" applyBorder="1" applyAlignment="1"/>
    <xf numFmtId="174" fontId="49" fillId="0" borderId="15" xfId="201" applyFont="1" applyFill="1" applyBorder="1" applyAlignment="1"/>
    <xf numFmtId="43" fontId="49" fillId="0" borderId="15" xfId="59" applyFont="1" applyFill="1" applyBorder="1" applyAlignment="1"/>
    <xf numFmtId="175" fontId="49" fillId="0" borderId="0" xfId="59" applyNumberFormat="1" applyFont="1" applyFill="1" applyBorder="1" applyAlignment="1"/>
    <xf numFmtId="43" fontId="49" fillId="0" borderId="0" xfId="59" applyFont="1" applyFill="1" applyBorder="1" applyAlignment="1"/>
    <xf numFmtId="174" fontId="80" fillId="0" borderId="0" xfId="201" applyFont="1" applyFill="1" applyBorder="1" applyAlignment="1"/>
    <xf numFmtId="174" fontId="49" fillId="0" borderId="0" xfId="201" applyFont="1" applyFill="1" applyBorder="1" applyAlignment="1">
      <alignment horizontal="center"/>
    </xf>
    <xf numFmtId="174" fontId="49" fillId="0" borderId="0" xfId="201" applyFont="1" applyFill="1" applyBorder="1" applyAlignment="1">
      <alignment horizontal="right"/>
    </xf>
    <xf numFmtId="0" fontId="49" fillId="0" borderId="0" xfId="188" applyFont="1" applyFill="1"/>
    <xf numFmtId="0" fontId="49" fillId="0" borderId="0" xfId="201" applyNumberFormat="1" applyFont="1" applyFill="1" applyAlignment="1">
      <alignment horizontal="right"/>
    </xf>
    <xf numFmtId="0" fontId="81" fillId="0" borderId="0" xfId="201" applyNumberFormat="1" applyFont="1" applyFill="1" applyBorder="1"/>
    <xf numFmtId="0" fontId="81" fillId="0" borderId="0" xfId="201" applyNumberFormat="1" applyFont="1" applyFill="1" applyBorder="1" applyAlignment="1">
      <alignment horizontal="center"/>
    </xf>
    <xf numFmtId="49" fontId="49" fillId="0" borderId="0" xfId="201" applyNumberFormat="1" applyFont="1" applyFill="1" applyBorder="1"/>
    <xf numFmtId="3" fontId="49" fillId="0" borderId="0" xfId="201" applyNumberFormat="1" applyFont="1" applyFill="1" applyBorder="1"/>
    <xf numFmtId="0" fontId="49" fillId="0" borderId="0" xfId="201" applyNumberFormat="1" applyFont="1" applyFill="1" applyBorder="1" applyAlignment="1">
      <alignment horizontal="center"/>
    </xf>
    <xf numFmtId="49" fontId="49" fillId="0" borderId="0" xfId="201" applyNumberFormat="1" applyFont="1" applyFill="1" applyBorder="1" applyAlignment="1">
      <alignment horizontal="center"/>
    </xf>
    <xf numFmtId="0" fontId="49" fillId="0" borderId="0" xfId="201" applyNumberFormat="1" applyFont="1" applyFill="1" applyBorder="1" applyAlignment="1"/>
    <xf numFmtId="3" fontId="56" fillId="0" borderId="0" xfId="201" applyNumberFormat="1" applyFont="1" applyFill="1" applyBorder="1" applyAlignment="1">
      <alignment horizontal="center"/>
    </xf>
    <xf numFmtId="174" fontId="56" fillId="0" borderId="0" xfId="201" applyFont="1" applyFill="1" applyBorder="1" applyAlignment="1">
      <alignment horizontal="center"/>
    </xf>
    <xf numFmtId="0" fontId="56" fillId="0" borderId="0" xfId="201" applyNumberFormat="1" applyFont="1" applyFill="1" applyBorder="1" applyAlignment="1" applyProtection="1">
      <alignment horizontal="center"/>
      <protection locked="0"/>
    </xf>
    <xf numFmtId="0" fontId="56" fillId="0" borderId="0" xfId="201" applyNumberFormat="1" applyFont="1" applyFill="1" applyBorder="1" applyAlignment="1">
      <alignment horizontal="center"/>
    </xf>
    <xf numFmtId="0" fontId="56" fillId="0" borderId="0" xfId="201" applyNumberFormat="1" applyFont="1" applyFill="1" applyBorder="1" applyAlignment="1"/>
    <xf numFmtId="0" fontId="82" fillId="0" borderId="0" xfId="201" applyNumberFormat="1" applyFont="1" applyFill="1" applyBorder="1" applyAlignment="1" applyProtection="1">
      <alignment horizontal="center"/>
      <protection locked="0"/>
    </xf>
    <xf numFmtId="3" fontId="49" fillId="0" borderId="0" xfId="201" applyNumberFormat="1" applyFont="1" applyFill="1" applyBorder="1" applyAlignment="1">
      <alignment horizontal="left"/>
    </xf>
    <xf numFmtId="180" fontId="49" fillId="0" borderId="0" xfId="59" applyNumberFormat="1" applyFont="1" applyFill="1" applyBorder="1" applyAlignment="1"/>
    <xf numFmtId="175" fontId="83" fillId="0" borderId="0" xfId="59" applyNumberFormat="1" applyFont="1" applyFill="1" applyBorder="1" applyAlignment="1"/>
    <xf numFmtId="10" fontId="83" fillId="0" borderId="0" xfId="266" applyNumberFormat="1" applyFont="1" applyFill="1" applyBorder="1" applyAlignment="1"/>
    <xf numFmtId="10" fontId="56" fillId="0" borderId="0" xfId="201" applyNumberFormat="1" applyFont="1" applyFill="1" applyBorder="1" applyAlignment="1"/>
    <xf numFmtId="3" fontId="56" fillId="0" borderId="0" xfId="201" applyNumberFormat="1" applyFont="1" applyFill="1" applyBorder="1" applyAlignment="1"/>
    <xf numFmtId="165" fontId="56" fillId="0" borderId="0" xfId="201" applyNumberFormat="1" applyFont="1" applyFill="1" applyBorder="1" applyAlignment="1"/>
    <xf numFmtId="10" fontId="49" fillId="0" borderId="0" xfId="201" applyNumberFormat="1" applyFont="1" applyFill="1" applyBorder="1" applyAlignment="1"/>
    <xf numFmtId="43" fontId="83" fillId="0" borderId="0" xfId="59" applyFont="1" applyFill="1" applyBorder="1" applyAlignment="1"/>
    <xf numFmtId="43" fontId="49" fillId="0" borderId="0" xfId="59" applyFont="1" applyFill="1" applyBorder="1" applyAlignment="1">
      <alignment horizontal="center"/>
    </xf>
    <xf numFmtId="49" fontId="56" fillId="0" borderId="0" xfId="201" applyNumberFormat="1" applyFont="1" applyFill="1" applyBorder="1" applyAlignment="1">
      <alignment horizontal="center"/>
    </xf>
    <xf numFmtId="174" fontId="56" fillId="0" borderId="0" xfId="201" applyFont="1" applyFill="1" applyBorder="1" applyAlignment="1"/>
    <xf numFmtId="3" fontId="56" fillId="0" borderId="0" xfId="201" applyNumberFormat="1" applyFont="1" applyFill="1" applyBorder="1" applyAlignment="1">
      <alignment horizontal="left"/>
    </xf>
    <xf numFmtId="43" fontId="56" fillId="0" borderId="0" xfId="59" applyFont="1" applyFill="1" applyBorder="1" applyAlignment="1"/>
    <xf numFmtId="10" fontId="56" fillId="0" borderId="0" xfId="266" applyNumberFormat="1" applyFont="1" applyFill="1" applyBorder="1" applyAlignment="1"/>
    <xf numFmtId="0" fontId="49" fillId="0" borderId="0" xfId="201" applyNumberFormat="1" applyFont="1" applyFill="1" applyBorder="1" applyAlignment="1">
      <alignment horizontal="fill"/>
    </xf>
    <xf numFmtId="174" fontId="84" fillId="0" borderId="0" xfId="201" applyFont="1" applyFill="1" applyBorder="1" applyAlignment="1"/>
    <xf numFmtId="3" fontId="84" fillId="0" borderId="0" xfId="201" applyNumberFormat="1" applyFont="1" applyFill="1" applyBorder="1" applyAlignment="1"/>
    <xf numFmtId="164" fontId="49" fillId="0" borderId="0" xfId="201" applyNumberFormat="1" applyFont="1" applyFill="1" applyBorder="1" applyAlignment="1">
      <alignment horizontal="left"/>
    </xf>
    <xf numFmtId="164" fontId="49" fillId="0" borderId="0" xfId="201" applyNumberFormat="1" applyFont="1" applyFill="1" applyBorder="1" applyAlignment="1">
      <alignment horizontal="center"/>
    </xf>
    <xf numFmtId="170" fontId="49" fillId="0" borderId="0" xfId="201" applyNumberFormat="1" applyFont="1" applyFill="1" applyBorder="1" applyAlignment="1"/>
    <xf numFmtId="0" fontId="84" fillId="0" borderId="0" xfId="201" applyNumberFormat="1" applyFont="1" applyFill="1" applyBorder="1"/>
    <xf numFmtId="49" fontId="49" fillId="0" borderId="0" xfId="201" applyNumberFormat="1" applyFont="1" applyFill="1" applyBorder="1" applyAlignment="1">
      <alignment horizontal="left"/>
    </xf>
    <xf numFmtId="0" fontId="49" fillId="0" borderId="0" xfId="201" applyNumberFormat="1" applyFont="1" applyFill="1" applyBorder="1" applyAlignment="1">
      <alignment horizontal="right"/>
    </xf>
    <xf numFmtId="178" fontId="56" fillId="0" borderId="0" xfId="201" applyNumberFormat="1" applyFont="1" applyFill="1" applyBorder="1" applyAlignment="1">
      <alignment horizontal="center"/>
    </xf>
    <xf numFmtId="174" fontId="56" fillId="0" borderId="16" xfId="201" applyFont="1" applyFill="1" applyBorder="1" applyAlignment="1">
      <alignment horizontal="center" wrapText="1"/>
    </xf>
    <xf numFmtId="174" fontId="56" fillId="0" borderId="7" xfId="201" applyFont="1" applyFill="1" applyBorder="1" applyAlignment="1"/>
    <xf numFmtId="174" fontId="56" fillId="0" borderId="7" xfId="201" applyFont="1" applyFill="1" applyBorder="1" applyAlignment="1">
      <alignment horizontal="center" wrapText="1"/>
    </xf>
    <xf numFmtId="0" fontId="56" fillId="0" borderId="7" xfId="201" applyNumberFormat="1" applyFont="1" applyFill="1" applyBorder="1" applyAlignment="1">
      <alignment horizontal="center" wrapText="1"/>
    </xf>
    <xf numFmtId="174" fontId="56" fillId="0" borderId="9" xfId="201" applyFont="1" applyFill="1" applyBorder="1" applyAlignment="1">
      <alignment horizontal="center" wrapText="1"/>
    </xf>
    <xf numFmtId="3" fontId="56" fillId="0" borderId="9" xfId="201" applyNumberFormat="1" applyFont="1" applyFill="1" applyBorder="1" applyAlignment="1">
      <alignment horizontal="center" wrapText="1"/>
    </xf>
    <xf numFmtId="0" fontId="49" fillId="0" borderId="16" xfId="201" applyNumberFormat="1" applyFont="1" applyFill="1" applyBorder="1"/>
    <xf numFmtId="0" fontId="49" fillId="0" borderId="7" xfId="201" applyNumberFormat="1" applyFont="1" applyFill="1" applyBorder="1"/>
    <xf numFmtId="0" fontId="49" fillId="0" borderId="7" xfId="201" applyNumberFormat="1" applyFont="1" applyFill="1" applyBorder="1" applyAlignment="1">
      <alignment horizontal="center"/>
    </xf>
    <xf numFmtId="0" fontId="49" fillId="0" borderId="9" xfId="201" applyNumberFormat="1" applyFont="1" applyFill="1" applyBorder="1" applyAlignment="1">
      <alignment horizontal="center"/>
    </xf>
    <xf numFmtId="3" fontId="49" fillId="0" borderId="9" xfId="201" applyNumberFormat="1" applyFont="1" applyFill="1" applyBorder="1" applyAlignment="1">
      <alignment horizontal="center" wrapText="1"/>
    </xf>
    <xf numFmtId="3" fontId="49" fillId="0" borderId="7" xfId="201" applyNumberFormat="1" applyFont="1" applyFill="1" applyBorder="1" applyAlignment="1">
      <alignment horizontal="center"/>
    </xf>
    <xf numFmtId="0" fontId="49" fillId="0" borderId="10" xfId="201" applyNumberFormat="1" applyFont="1" applyFill="1" applyBorder="1"/>
    <xf numFmtId="0" fontId="49" fillId="0" borderId="11" xfId="201" applyNumberFormat="1" applyFont="1" applyFill="1" applyBorder="1"/>
    <xf numFmtId="3" fontId="49" fillId="0" borderId="11" xfId="201" applyNumberFormat="1" applyFont="1" applyFill="1" applyBorder="1" applyAlignment="1"/>
    <xf numFmtId="174" fontId="49" fillId="0" borderId="0" xfId="209" applyFont="1" applyFill="1" applyBorder="1" applyAlignment="1"/>
    <xf numFmtId="174" fontId="49" fillId="14" borderId="0" xfId="209" applyFont="1" applyFill="1" applyBorder="1" applyAlignment="1"/>
    <xf numFmtId="0" fontId="49" fillId="14" borderId="0" xfId="59" applyNumberFormat="1" applyFont="1" applyFill="1" applyBorder="1" applyAlignment="1"/>
    <xf numFmtId="176" fontId="49" fillId="14" borderId="0" xfId="93" applyNumberFormat="1" applyFont="1" applyFill="1" applyBorder="1" applyAlignment="1"/>
    <xf numFmtId="43" fontId="49" fillId="0" borderId="11" xfId="59" applyFont="1" applyFill="1" applyBorder="1" applyAlignment="1"/>
    <xf numFmtId="0" fontId="49" fillId="14" borderId="0" xfId="59" applyNumberFormat="1" applyFont="1" applyFill="1" applyBorder="1" applyAlignment="1">
      <alignment horizontal="right"/>
    </xf>
    <xf numFmtId="174" fontId="49" fillId="0" borderId="10" xfId="201" applyFont="1" applyFill="1" applyBorder="1" applyAlignment="1"/>
    <xf numFmtId="174" fontId="49" fillId="0" borderId="17" xfId="201" applyFont="1" applyFill="1" applyBorder="1" applyAlignment="1"/>
    <xf numFmtId="175" fontId="49" fillId="0" borderId="0" xfId="59" applyNumberFormat="1" applyFont="1" applyFill="1" applyBorder="1" applyAlignment="1">
      <alignment horizontal="center"/>
    </xf>
    <xf numFmtId="1" fontId="49" fillId="0" borderId="0" xfId="59" applyNumberFormat="1" applyFont="1" applyFill="1" applyBorder="1" applyAlignment="1">
      <alignment horizontal="center"/>
    </xf>
    <xf numFmtId="174" fontId="49" fillId="0" borderId="8" xfId="201" applyFont="1" applyFill="1" applyBorder="1" applyAlignment="1"/>
    <xf numFmtId="174" fontId="49" fillId="0" borderId="0" xfId="201" applyFont="1" applyFill="1" applyBorder="1" applyAlignment="1">
      <alignment horizontal="center" vertical="top"/>
    </xf>
    <xf numFmtId="49" fontId="79" fillId="0" borderId="0" xfId="0" applyNumberFormat="1" applyFont="1" applyAlignment="1">
      <alignment horizontal="center"/>
    </xf>
    <xf numFmtId="3" fontId="79" fillId="0" borderId="0" xfId="211" applyNumberFormat="1" applyFont="1" applyAlignment="1"/>
    <xf numFmtId="3" fontId="49" fillId="0" borderId="0" xfId="211" applyNumberFormat="1" applyFont="1" applyAlignment="1">
      <alignment wrapText="1"/>
    </xf>
    <xf numFmtId="175" fontId="56" fillId="0" borderId="0" xfId="59" applyNumberFormat="1" applyFont="1" applyFill="1" applyBorder="1" applyAlignment="1" applyProtection="1">
      <alignment horizontal="center"/>
      <protection locked="0"/>
    </xf>
    <xf numFmtId="0" fontId="49" fillId="0" borderId="0" xfId="192" applyFont="1"/>
    <xf numFmtId="0" fontId="49" fillId="0" borderId="0" xfId="192" applyFont="1" applyAlignment="1">
      <alignment horizontal="center"/>
    </xf>
    <xf numFmtId="0" fontId="49" fillId="0" borderId="0" xfId="192" applyFont="1" applyFill="1" applyAlignment="1">
      <alignment horizontal="center"/>
    </xf>
    <xf numFmtId="0" fontId="49" fillId="0" borderId="3" xfId="192" applyFont="1" applyBorder="1"/>
    <xf numFmtId="0" fontId="49" fillId="0" borderId="0" xfId="192" applyFont="1" applyAlignment="1">
      <alignment horizontal="center" wrapText="1"/>
    </xf>
    <xf numFmtId="43" fontId="49" fillId="0" borderId="0" xfId="59" applyFont="1" applyFill="1"/>
    <xf numFmtId="43" fontId="49" fillId="0" borderId="0" xfId="192" applyNumberFormat="1" applyFont="1"/>
    <xf numFmtId="176" fontId="49" fillId="0" borderId="3" xfId="93" applyNumberFormat="1" applyFont="1" applyBorder="1"/>
    <xf numFmtId="0" fontId="49" fillId="0" borderId="0" xfId="192" applyFont="1" applyAlignment="1">
      <alignment horizontal="center" vertical="center" wrapText="1"/>
    </xf>
    <xf numFmtId="0" fontId="49" fillId="0" borderId="0" xfId="192" applyFont="1" applyFill="1" applyAlignment="1">
      <alignment horizontal="center" vertical="center" wrapText="1"/>
    </xf>
    <xf numFmtId="174" fontId="49" fillId="0" borderId="0" xfId="0" applyFont="1" applyAlignment="1">
      <alignment horizontal="center" vertical="center" wrapText="1"/>
    </xf>
    <xf numFmtId="0" fontId="49" fillId="0" borderId="0" xfId="192" applyFont="1" applyAlignment="1">
      <alignment wrapText="1"/>
    </xf>
    <xf numFmtId="0" fontId="78" fillId="0" borderId="0" xfId="192" applyFont="1"/>
    <xf numFmtId="0" fontId="49" fillId="0" borderId="0" xfId="192" applyFont="1" applyAlignment="1">
      <alignment horizontal="left" wrapText="1"/>
    </xf>
    <xf numFmtId="0" fontId="49" fillId="0" borderId="0" xfId="188" applyFont="1"/>
    <xf numFmtId="0" fontId="49" fillId="0" borderId="0" xfId="188" applyFont="1" applyAlignment="1">
      <alignment horizontal="right"/>
    </xf>
    <xf numFmtId="0" fontId="49" fillId="0" borderId="0" xfId="211" applyNumberFormat="1" applyFont="1" applyAlignment="1" applyProtection="1">
      <alignment horizontal="center"/>
      <protection locked="0"/>
    </xf>
    <xf numFmtId="0" fontId="49" fillId="0" borderId="0" xfId="211" applyNumberFormat="1" applyFont="1" applyFill="1" applyAlignment="1" applyProtection="1">
      <protection locked="0"/>
    </xf>
    <xf numFmtId="0" fontId="49" fillId="0" borderId="0" xfId="211" applyNumberFormat="1" applyFont="1" applyFill="1" applyProtection="1">
      <protection locked="0"/>
    </xf>
    <xf numFmtId="0" fontId="49" fillId="14" borderId="0" xfId="188" applyFont="1" applyFill="1"/>
    <xf numFmtId="0" fontId="49" fillId="14" borderId="0" xfId="211" applyNumberFormat="1" applyFont="1" applyFill="1"/>
    <xf numFmtId="0" fontId="49" fillId="0" borderId="0" xfId="211" applyNumberFormat="1" applyFont="1" applyProtection="1">
      <protection locked="0"/>
    </xf>
    <xf numFmtId="0" fontId="49" fillId="0" borderId="0" xfId="211" applyNumberFormat="1" applyFont="1"/>
    <xf numFmtId="0" fontId="87" fillId="0" borderId="0" xfId="211" applyNumberFormat="1" applyFont="1"/>
    <xf numFmtId="49" fontId="49" fillId="0" borderId="0" xfId="211" applyNumberFormat="1" applyFont="1" applyAlignment="1"/>
    <xf numFmtId="49" fontId="49" fillId="0" borderId="0" xfId="211" applyNumberFormat="1" applyFont="1" applyAlignment="1">
      <alignment horizontal="center"/>
    </xf>
    <xf numFmtId="0" fontId="49" fillId="0" borderId="0" xfId="211" applyNumberFormat="1" applyFont="1" applyAlignment="1">
      <alignment horizontal="center"/>
    </xf>
    <xf numFmtId="49" fontId="49" fillId="0" borderId="0" xfId="211" applyNumberFormat="1" applyFont="1"/>
    <xf numFmtId="3" fontId="49" fillId="0" borderId="0" xfId="211" applyNumberFormat="1" applyFont="1"/>
    <xf numFmtId="42" fontId="49" fillId="0" borderId="0" xfId="188" applyNumberFormat="1" applyFont="1"/>
    <xf numFmtId="0" fontId="49" fillId="0" borderId="0" xfId="211" applyNumberFormat="1" applyFont="1" applyFill="1"/>
    <xf numFmtId="0" fontId="49" fillId="0" borderId="8" xfId="211" applyNumberFormat="1" applyFont="1" applyBorder="1" applyAlignment="1" applyProtection="1">
      <alignment horizontal="centerContinuous"/>
      <protection locked="0"/>
    </xf>
    <xf numFmtId="43" fontId="49" fillId="0" borderId="0" xfId="59" applyFont="1" applyFill="1" applyAlignment="1"/>
    <xf numFmtId="3" fontId="49" fillId="0" borderId="0" xfId="211" applyNumberFormat="1" applyFont="1" applyFill="1" applyBorder="1"/>
    <xf numFmtId="3" fontId="49" fillId="0" borderId="0" xfId="211" applyNumberFormat="1" applyFont="1" applyAlignment="1">
      <alignment horizontal="left"/>
    </xf>
    <xf numFmtId="166" fontId="49" fillId="0" borderId="0" xfId="211" applyNumberFormat="1" applyFont="1" applyAlignment="1"/>
    <xf numFmtId="42" fontId="49" fillId="0" borderId="18" xfId="211" applyNumberFormat="1" applyFont="1" applyBorder="1" applyAlignment="1" applyProtection="1">
      <alignment horizontal="right"/>
      <protection locked="0"/>
    </xf>
    <xf numFmtId="170" fontId="80" fillId="0" borderId="0" xfId="0" applyNumberFormat="1" applyFont="1" applyAlignment="1"/>
    <xf numFmtId="174" fontId="80" fillId="0" borderId="0" xfId="0" applyFont="1" applyAlignment="1"/>
    <xf numFmtId="0" fontId="49" fillId="0" borderId="0" xfId="206" applyNumberFormat="1" applyFont="1" applyAlignment="1" applyProtection="1">
      <alignment horizontal="center"/>
      <protection locked="0"/>
    </xf>
    <xf numFmtId="0" fontId="49" fillId="0" borderId="0" xfId="206" applyNumberFormat="1" applyFont="1" applyAlignment="1"/>
    <xf numFmtId="0" fontId="49" fillId="0" borderId="0" xfId="206" applyNumberFormat="1" applyFont="1"/>
    <xf numFmtId="0" fontId="49" fillId="0" borderId="0" xfId="206" applyNumberFormat="1" applyFont="1" applyBorder="1" applyAlignment="1"/>
    <xf numFmtId="166" fontId="49" fillId="0" borderId="0" xfId="206" applyNumberFormat="1" applyFont="1" applyAlignment="1"/>
    <xf numFmtId="0" fontId="49" fillId="0" borderId="0" xfId="211" applyNumberFormat="1" applyFont="1" applyFill="1" applyBorder="1"/>
    <xf numFmtId="0" fontId="49" fillId="0" borderId="0" xfId="206" applyFont="1" applyAlignment="1"/>
    <xf numFmtId="3" fontId="49" fillId="0" borderId="0" xfId="206" applyNumberFormat="1" applyFont="1" applyAlignment="1"/>
    <xf numFmtId="42" fontId="49" fillId="0" borderId="18" xfId="206" applyNumberFormat="1" applyFont="1" applyBorder="1" applyAlignment="1" applyProtection="1">
      <alignment horizontal="right"/>
      <protection locked="0"/>
    </xf>
    <xf numFmtId="0" fontId="49" fillId="0" borderId="0" xfId="211" applyNumberFormat="1" applyFont="1" applyFill="1" applyBorder="1" applyAlignment="1" applyProtection="1">
      <alignment horizontal="center"/>
      <protection locked="0"/>
    </xf>
    <xf numFmtId="174" fontId="49" fillId="0" borderId="0" xfId="211" applyFont="1" applyFill="1" applyBorder="1" applyAlignment="1"/>
    <xf numFmtId="0" fontId="49" fillId="0" borderId="0" xfId="211" applyNumberFormat="1" applyFont="1" applyFill="1" applyBorder="1" applyProtection="1">
      <protection locked="0"/>
    </xf>
    <xf numFmtId="0" fontId="49" fillId="0" borderId="0" xfId="211" applyNumberFormat="1" applyFont="1" applyFill="1" applyBorder="1" applyAlignment="1"/>
    <xf numFmtId="0" fontId="49" fillId="0" borderId="0" xfId="211" applyNumberFormat="1" applyFont="1" applyFill="1" applyBorder="1" applyAlignment="1" applyProtection="1">
      <protection locked="0"/>
    </xf>
    <xf numFmtId="168" fontId="49" fillId="0" borderId="0" xfId="188" applyNumberFormat="1" applyFont="1" applyFill="1" applyBorder="1"/>
    <xf numFmtId="168" fontId="49" fillId="0" borderId="0" xfId="211" applyNumberFormat="1" applyFont="1" applyFill="1" applyBorder="1"/>
    <xf numFmtId="168" fontId="49" fillId="0" borderId="0" xfId="211" applyNumberFormat="1" applyFont="1" applyFill="1" applyBorder="1" applyAlignment="1">
      <alignment horizontal="center"/>
    </xf>
    <xf numFmtId="174" fontId="49" fillId="0" borderId="0" xfId="211" applyFont="1" applyFill="1" applyBorder="1" applyAlignment="1">
      <alignment horizontal="center"/>
    </xf>
    <xf numFmtId="0" fontId="49" fillId="0" borderId="0" xfId="211" applyNumberFormat="1" applyFont="1" applyFill="1" applyBorder="1" applyAlignment="1">
      <alignment horizontal="left"/>
    </xf>
    <xf numFmtId="173" fontId="49" fillId="0" borderId="0" xfId="188" applyNumberFormat="1" applyFont="1" applyFill="1" applyBorder="1" applyAlignment="1"/>
    <xf numFmtId="173" fontId="49" fillId="0" borderId="0" xfId="211" applyNumberFormat="1" applyFont="1" applyFill="1" applyBorder="1" applyProtection="1">
      <protection locked="0"/>
    </xf>
    <xf numFmtId="173" fontId="49" fillId="0" borderId="0" xfId="211" applyNumberFormat="1" applyFont="1" applyFill="1" applyProtection="1">
      <protection locked="0"/>
    </xf>
    <xf numFmtId="173" fontId="49" fillId="0" borderId="0" xfId="211" applyNumberFormat="1" applyFont="1" applyProtection="1">
      <protection locked="0"/>
    </xf>
    <xf numFmtId="169" fontId="49" fillId="0" borderId="0" xfId="211" applyNumberFormat="1" applyFont="1"/>
    <xf numFmtId="0" fontId="49" fillId="0" borderId="0" xfId="211" applyNumberFormat="1" applyFont="1" applyAlignment="1">
      <alignment horizontal="right"/>
    </xf>
    <xf numFmtId="0" fontId="78" fillId="0" borderId="0" xfId="211" applyNumberFormat="1" applyFont="1" applyAlignment="1"/>
    <xf numFmtId="3" fontId="56" fillId="0" borderId="0" xfId="211" applyNumberFormat="1" applyFont="1" applyAlignment="1">
      <alignment horizontal="center"/>
    </xf>
    <xf numFmtId="0" fontId="56" fillId="0" borderId="0" xfId="211" applyNumberFormat="1" applyFont="1" applyAlignment="1" applyProtection="1">
      <alignment horizontal="center"/>
      <protection locked="0"/>
    </xf>
    <xf numFmtId="174" fontId="56" fillId="0" borderId="0" xfId="211" applyFont="1" applyAlignment="1">
      <alignment horizontal="center"/>
    </xf>
    <xf numFmtId="3" fontId="56" fillId="0" borderId="0" xfId="211" applyNumberFormat="1" applyFont="1" applyAlignment="1"/>
    <xf numFmtId="0" fontId="56" fillId="0" borderId="0" xfId="211" applyNumberFormat="1" applyFont="1" applyAlignment="1"/>
    <xf numFmtId="175" fontId="49" fillId="14" borderId="0" xfId="59" applyNumberFormat="1" applyFont="1" applyFill="1" applyAlignment="1"/>
    <xf numFmtId="175" fontId="49" fillId="14" borderId="8" xfId="59" applyNumberFormat="1" applyFont="1" applyFill="1" applyBorder="1" applyAlignment="1"/>
    <xf numFmtId="175" fontId="49" fillId="0" borderId="8" xfId="59" applyNumberFormat="1" applyFont="1" applyBorder="1" applyAlignment="1"/>
    <xf numFmtId="43" fontId="49" fillId="0" borderId="0" xfId="59" applyFont="1" applyAlignment="1">
      <alignment horizontal="center"/>
    </xf>
    <xf numFmtId="164" fontId="49" fillId="0" borderId="0" xfId="211" applyNumberFormat="1" applyFont="1" applyAlignment="1">
      <alignment horizontal="center"/>
    </xf>
    <xf numFmtId="165" fontId="49" fillId="0" borderId="0" xfId="188" applyNumberFormat="1" applyFont="1" applyFill="1" applyAlignment="1">
      <alignment horizontal="right"/>
    </xf>
    <xf numFmtId="175" fontId="49" fillId="14" borderId="0" xfId="59" applyNumberFormat="1" applyFont="1" applyFill="1" applyBorder="1" applyAlignment="1"/>
    <xf numFmtId="187" fontId="49" fillId="0" borderId="0" xfId="59" applyNumberFormat="1" applyFont="1" applyAlignment="1"/>
    <xf numFmtId="3" fontId="49" fillId="0" borderId="0" xfId="206" applyNumberFormat="1" applyFont="1" applyBorder="1" applyAlignment="1"/>
    <xf numFmtId="3" fontId="49" fillId="0" borderId="0" xfId="206" applyNumberFormat="1" applyFont="1" applyFill="1" applyBorder="1" applyAlignment="1"/>
    <xf numFmtId="187" fontId="49" fillId="0" borderId="0" xfId="59" applyNumberFormat="1" applyFont="1" applyFill="1" applyBorder="1" applyAlignment="1"/>
    <xf numFmtId="0" fontId="49" fillId="0" borderId="0" xfId="206" applyFont="1" applyFill="1" applyBorder="1" applyAlignment="1"/>
    <xf numFmtId="3" fontId="49" fillId="0" borderId="0" xfId="206" applyNumberFormat="1" applyFont="1" applyFill="1" applyAlignment="1"/>
    <xf numFmtId="187" fontId="49" fillId="0" borderId="0" xfId="59" applyNumberFormat="1" applyFont="1" applyBorder="1" applyAlignment="1"/>
    <xf numFmtId="3" fontId="49" fillId="0" borderId="0" xfId="211" quotePrefix="1" applyNumberFormat="1" applyFont="1" applyAlignment="1">
      <alignment horizontal="left"/>
    </xf>
    <xf numFmtId="175" fontId="49" fillId="0" borderId="0" xfId="59" applyNumberFormat="1" applyFont="1" applyFill="1" applyAlignment="1"/>
    <xf numFmtId="3" fontId="49" fillId="0" borderId="0" xfId="188" applyNumberFormat="1" applyFont="1" applyFill="1" applyAlignment="1"/>
    <xf numFmtId="0" fontId="49" fillId="0" borderId="0" xfId="188" applyNumberFormat="1" applyFont="1"/>
    <xf numFmtId="175" fontId="49" fillId="0" borderId="18" xfId="59" applyNumberFormat="1" applyFont="1" applyBorder="1" applyAlignment="1"/>
    <xf numFmtId="164" fontId="49" fillId="0" borderId="0" xfId="188" applyNumberFormat="1" applyFont="1" applyAlignment="1">
      <alignment horizontal="center"/>
    </xf>
    <xf numFmtId="3" fontId="49" fillId="0" borderId="0" xfId="188" applyNumberFormat="1" applyFont="1" applyBorder="1" applyAlignment="1"/>
    <xf numFmtId="3" fontId="49" fillId="0" borderId="0" xfId="211" applyNumberFormat="1" applyFont="1" applyAlignment="1">
      <alignment horizontal="right"/>
    </xf>
    <xf numFmtId="0" fontId="49" fillId="0" borderId="0" xfId="206" applyNumberFormat="1" applyFont="1" applyFill="1" applyAlignment="1"/>
    <xf numFmtId="172" fontId="49" fillId="0" borderId="0" xfId="211" applyNumberFormat="1" applyFont="1" applyFill="1" applyAlignment="1">
      <alignment horizontal="left"/>
    </xf>
    <xf numFmtId="186" fontId="49" fillId="0" borderId="0" xfId="59" applyNumberFormat="1" applyFont="1" applyAlignment="1"/>
    <xf numFmtId="186" fontId="49" fillId="0" borderId="0" xfId="59" applyNumberFormat="1" applyFont="1" applyFill="1" applyAlignment="1"/>
    <xf numFmtId="186" fontId="49" fillId="0" borderId="0" xfId="59" applyNumberFormat="1" applyFont="1" applyFill="1" applyBorder="1" applyAlignment="1"/>
    <xf numFmtId="175" fontId="49" fillId="0" borderId="8" xfId="59" applyNumberFormat="1" applyFont="1" applyFill="1" applyBorder="1" applyAlignment="1"/>
    <xf numFmtId="0" fontId="49" fillId="0" borderId="0" xfId="211" applyNumberFormat="1" applyFont="1" applyAlignment="1">
      <alignment wrapText="1"/>
    </xf>
    <xf numFmtId="0" fontId="49" fillId="0" borderId="0" xfId="211" quotePrefix="1" applyNumberFormat="1" applyFont="1" applyAlignment="1">
      <alignment horizontal="left"/>
    </xf>
    <xf numFmtId="175" fontId="49" fillId="0" borderId="0" xfId="59" applyNumberFormat="1" applyFont="1" applyFill="1" applyAlignment="1">
      <alignment horizontal="right"/>
    </xf>
    <xf numFmtId="167" fontId="49" fillId="0" borderId="0" xfId="211" applyNumberFormat="1" applyFont="1" applyAlignment="1"/>
    <xf numFmtId="166" fontId="49" fillId="0" borderId="0" xfId="188" applyNumberFormat="1" applyFont="1" applyAlignment="1">
      <alignment horizontal="center"/>
    </xf>
    <xf numFmtId="164" fontId="49" fillId="0" borderId="0" xfId="211" applyNumberFormat="1" applyFont="1" applyAlignment="1" applyProtection="1">
      <alignment horizontal="left"/>
      <protection locked="0"/>
    </xf>
    <xf numFmtId="175" fontId="49" fillId="0" borderId="14" xfId="59" applyNumberFormat="1" applyFont="1" applyBorder="1" applyAlignment="1"/>
    <xf numFmtId="0" fontId="49" fillId="0" borderId="0" xfId="188" applyNumberFormat="1" applyFont="1" applyAlignment="1"/>
    <xf numFmtId="3" fontId="49" fillId="0" borderId="0" xfId="188" applyNumberFormat="1" applyFont="1" applyFill="1" applyBorder="1" applyAlignment="1"/>
    <xf numFmtId="174" fontId="49" fillId="0" borderId="0" xfId="211" applyFont="1" applyAlignment="1">
      <alignment horizontal="right"/>
    </xf>
    <xf numFmtId="0" fontId="79" fillId="0" borderId="0" xfId="211" applyNumberFormat="1" applyFont="1" applyAlignment="1" applyProtection="1">
      <alignment horizontal="center"/>
      <protection locked="0"/>
    </xf>
    <xf numFmtId="0" fontId="49" fillId="0" borderId="8" xfId="211" applyNumberFormat="1" applyFont="1" applyFill="1" applyBorder="1" applyProtection="1">
      <protection locked="0"/>
    </xf>
    <xf numFmtId="0" fontId="49" fillId="0" borderId="8" xfId="211" applyNumberFormat="1" applyFont="1" applyFill="1" applyBorder="1"/>
    <xf numFmtId="3" fontId="49" fillId="0" borderId="0" xfId="211" applyNumberFormat="1" applyFont="1" applyFill="1" applyAlignment="1">
      <alignment horizontal="center"/>
    </xf>
    <xf numFmtId="49" fontId="49" fillId="0" borderId="0" xfId="211" applyNumberFormat="1" applyFont="1" applyFill="1"/>
    <xf numFmtId="49" fontId="49" fillId="0" borderId="0" xfId="211" applyNumberFormat="1" applyFont="1" applyFill="1" applyAlignment="1"/>
    <xf numFmtId="49" fontId="49" fillId="0" borderId="0" xfId="211" applyNumberFormat="1" applyFont="1" applyFill="1" applyAlignment="1">
      <alignment horizontal="center"/>
    </xf>
    <xf numFmtId="186" fontId="49" fillId="0" borderId="0" xfId="59" applyNumberFormat="1" applyFont="1" applyFill="1" applyAlignment="1">
      <alignment horizontal="right"/>
    </xf>
    <xf numFmtId="3" fontId="49" fillId="0" borderId="8" xfId="211" applyNumberFormat="1" applyFont="1" applyBorder="1" applyAlignment="1"/>
    <xf numFmtId="43" fontId="49" fillId="0" borderId="0" xfId="59" applyNumberFormat="1" applyFont="1" applyAlignment="1"/>
    <xf numFmtId="4" fontId="49" fillId="0" borderId="0" xfId="211" applyNumberFormat="1" applyFont="1" applyAlignment="1"/>
    <xf numFmtId="3" fontId="49" fillId="0" borderId="0" xfId="188" applyNumberFormat="1" applyFont="1" applyBorder="1" applyAlignment="1">
      <alignment horizontal="center"/>
    </xf>
    <xf numFmtId="0" fontId="49" fillId="0" borderId="8" xfId="188" applyNumberFormat="1" applyFont="1" applyBorder="1" applyAlignment="1">
      <alignment horizontal="center"/>
    </xf>
    <xf numFmtId="0" fontId="49" fillId="0" borderId="0" xfId="188" applyNumberFormat="1" applyFont="1" applyAlignment="1">
      <alignment horizontal="center"/>
    </xf>
    <xf numFmtId="166" fontId="49" fillId="0" borderId="0" xfId="211" applyNumberFormat="1" applyFont="1" applyAlignment="1" applyProtection="1">
      <alignment horizontal="center"/>
      <protection locked="0"/>
    </xf>
    <xf numFmtId="187" fontId="49" fillId="0" borderId="0" xfId="59" applyNumberFormat="1" applyFont="1" applyAlignment="1">
      <alignment horizontal="center"/>
    </xf>
    <xf numFmtId="0" fontId="49" fillId="0" borderId="8" xfId="211" applyNumberFormat="1" applyFont="1" applyBorder="1" applyAlignment="1"/>
    <xf numFmtId="174" fontId="49" fillId="0" borderId="0" xfId="211" applyFont="1" applyFill="1" applyAlignment="1">
      <alignment horizontal="center"/>
    </xf>
    <xf numFmtId="175" fontId="49" fillId="14" borderId="0" xfId="59" applyNumberFormat="1" applyFont="1" applyFill="1" applyAlignment="1">
      <alignment horizontal="center"/>
    </xf>
    <xf numFmtId="3" fontId="49" fillId="0" borderId="0" xfId="211" quotePrefix="1" applyNumberFormat="1" applyFont="1" applyAlignment="1"/>
    <xf numFmtId="175" fontId="49" fillId="0" borderId="0" xfId="59" applyNumberFormat="1" applyFont="1" applyFill="1" applyAlignment="1">
      <alignment horizontal="center"/>
    </xf>
    <xf numFmtId="0" fontId="49" fillId="0" borderId="0" xfId="211" applyNumberFormat="1" applyFont="1" applyBorder="1" applyAlignment="1" applyProtection="1">
      <alignment horizontal="center"/>
      <protection locked="0"/>
    </xf>
    <xf numFmtId="0" fontId="84" fillId="0" borderId="0" xfId="211" applyNumberFormat="1" applyFont="1" applyProtection="1">
      <protection locked="0"/>
    </xf>
    <xf numFmtId="174" fontId="84" fillId="0" borderId="0" xfId="211" applyFont="1" applyAlignment="1"/>
    <xf numFmtId="174" fontId="49" fillId="0" borderId="0" xfId="211" applyFont="1" applyFill="1" applyAlignment="1" applyProtection="1"/>
    <xf numFmtId="180" fontId="49" fillId="14" borderId="0" xfId="59" applyNumberFormat="1" applyFont="1" applyFill="1" applyBorder="1" applyProtection="1">
      <protection locked="0"/>
    </xf>
    <xf numFmtId="38" fontId="49" fillId="0" borderId="0" xfId="211" applyNumberFormat="1" applyFont="1" applyAlignment="1" applyProtection="1"/>
    <xf numFmtId="174" fontId="49" fillId="0" borderId="8" xfId="211" applyFont="1" applyBorder="1" applyAlignment="1"/>
    <xf numFmtId="174" fontId="49" fillId="0" borderId="0" xfId="211" applyFont="1" applyBorder="1" applyAlignment="1"/>
    <xf numFmtId="0" fontId="49" fillId="0" borderId="0" xfId="211" applyNumberFormat="1" applyFont="1" applyBorder="1" applyProtection="1">
      <protection locked="0"/>
    </xf>
    <xf numFmtId="38" fontId="49" fillId="0" borderId="0" xfId="211" applyNumberFormat="1" applyFont="1" applyAlignment="1"/>
    <xf numFmtId="180" fontId="49" fillId="0" borderId="0" xfId="59" applyNumberFormat="1" applyFont="1" applyFill="1" applyBorder="1" applyProtection="1"/>
    <xf numFmtId="170" fontId="49" fillId="0" borderId="0" xfId="211" applyNumberFormat="1" applyFont="1" applyFill="1" applyBorder="1" applyProtection="1"/>
    <xf numFmtId="168" fontId="49" fillId="0" borderId="0" xfId="211" applyNumberFormat="1" applyFont="1" applyProtection="1">
      <protection locked="0"/>
    </xf>
    <xf numFmtId="175" fontId="49" fillId="14" borderId="0" xfId="59" applyNumberFormat="1" applyFont="1" applyFill="1" applyBorder="1" applyProtection="1"/>
    <xf numFmtId="1" fontId="49" fillId="0" borderId="0" xfId="211" applyNumberFormat="1" applyFont="1" applyFill="1" applyProtection="1"/>
    <xf numFmtId="1" fontId="49" fillId="0" borderId="0" xfId="211" applyNumberFormat="1" applyFont="1" applyFill="1" applyAlignment="1" applyProtection="1"/>
    <xf numFmtId="0" fontId="49" fillId="0" borderId="0" xfId="211" applyNumberFormat="1" applyFont="1" applyAlignment="1" applyProtection="1">
      <alignment horizontal="left"/>
      <protection locked="0"/>
    </xf>
    <xf numFmtId="175" fontId="49" fillId="14" borderId="0" xfId="59" applyNumberFormat="1" applyFont="1" applyFill="1" applyBorder="1" applyAlignment="1" applyProtection="1">
      <protection locked="0"/>
    </xf>
    <xf numFmtId="3" fontId="49" fillId="0" borderId="0" xfId="211" applyNumberFormat="1" applyFont="1" applyAlignment="1" applyProtection="1"/>
    <xf numFmtId="0" fontId="49" fillId="0" borderId="8" xfId="188" applyNumberFormat="1" applyFont="1" applyBorder="1" applyAlignment="1">
      <alignment horizontal="left" vertical="center" wrapText="1"/>
    </xf>
    <xf numFmtId="3" fontId="49" fillId="0" borderId="0" xfId="211" applyNumberFormat="1" applyFont="1" applyFill="1" applyAlignment="1" applyProtection="1">
      <alignment horizontal="right"/>
      <protection locked="0"/>
    </xf>
    <xf numFmtId="175" fontId="49" fillId="0" borderId="0" xfId="59" applyNumberFormat="1" applyFont="1" applyFill="1" applyBorder="1" applyAlignment="1" applyProtection="1"/>
    <xf numFmtId="3" fontId="49" fillId="0" borderId="0" xfId="211" applyNumberFormat="1" applyFont="1" applyFill="1" applyAlignment="1" applyProtection="1"/>
    <xf numFmtId="174" fontId="49" fillId="0" borderId="0" xfId="211" applyNumberFormat="1" applyFont="1" applyAlignment="1" applyProtection="1">
      <protection locked="0"/>
    </xf>
    <xf numFmtId="170" fontId="49" fillId="0" borderId="0" xfId="211" applyNumberFormat="1" applyFont="1" applyFill="1" applyBorder="1" applyAlignment="1" applyProtection="1"/>
    <xf numFmtId="170" fontId="49" fillId="0" borderId="0" xfId="211" applyNumberFormat="1" applyFont="1" applyAlignment="1" applyProtection="1">
      <alignment horizontal="right"/>
      <protection locked="0"/>
    </xf>
    <xf numFmtId="170" fontId="49" fillId="0" borderId="0" xfId="211" applyNumberFormat="1" applyFont="1" applyProtection="1">
      <protection locked="0"/>
    </xf>
    <xf numFmtId="0" fontId="49" fillId="0" borderId="0" xfId="211" applyNumberFormat="1" applyFont="1" applyAlignment="1" applyProtection="1">
      <alignment horizontal="left" indent="8"/>
      <protection locked="0"/>
    </xf>
    <xf numFmtId="3" fontId="49" fillId="0" borderId="0" xfId="211" applyNumberFormat="1" applyFont="1" applyAlignment="1">
      <alignment vertical="top" wrapText="1"/>
    </xf>
    <xf numFmtId="0" fontId="49" fillId="0" borderId="0" xfId="211" applyNumberFormat="1" applyFont="1" applyAlignment="1" applyProtection="1">
      <alignment vertical="top" wrapText="1"/>
      <protection locked="0"/>
    </xf>
    <xf numFmtId="174" fontId="49" fillId="0" borderId="0" xfId="0" applyFont="1" applyAlignment="1">
      <alignment horizontal="left"/>
    </xf>
    <xf numFmtId="174" fontId="78" fillId="0" borderId="15" xfId="201" applyFont="1" applyFill="1" applyBorder="1" applyAlignment="1"/>
    <xf numFmtId="174" fontId="78" fillId="0" borderId="1" xfId="201" applyFont="1" applyFill="1" applyBorder="1" applyAlignment="1"/>
    <xf numFmtId="178" fontId="56" fillId="0" borderId="0" xfId="201" quotePrefix="1" applyNumberFormat="1" applyFont="1" applyFill="1" applyBorder="1" applyAlignment="1">
      <alignment horizontal="center"/>
    </xf>
    <xf numFmtId="174" fontId="49" fillId="0" borderId="0" xfId="211" applyFont="1" applyAlignment="1">
      <alignment horizontal="center"/>
    </xf>
    <xf numFmtId="174" fontId="49" fillId="0" borderId="0" xfId="201" applyFont="1" applyFill="1" applyBorder="1" applyAlignment="1">
      <alignment horizontal="left"/>
    </xf>
    <xf numFmtId="0" fontId="49" fillId="0" borderId="0" xfId="211" applyNumberFormat="1" applyFont="1" applyFill="1" applyAlignment="1">
      <alignment horizontal="center"/>
    </xf>
    <xf numFmtId="10" fontId="49" fillId="0" borderId="0" xfId="266" applyNumberFormat="1" applyFont="1" applyAlignment="1"/>
    <xf numFmtId="2" fontId="49" fillId="0" borderId="0" xfId="0" applyNumberFormat="1" applyFont="1" applyAlignment="1">
      <alignment horizontal="center"/>
    </xf>
    <xf numFmtId="2" fontId="49" fillId="0" borderId="0" xfId="0" applyNumberFormat="1" applyFont="1" applyAlignment="1"/>
    <xf numFmtId="0" fontId="49" fillId="0" borderId="0" xfId="0" applyNumberFormat="1" applyFont="1" applyAlignment="1"/>
    <xf numFmtId="10" fontId="49" fillId="0" borderId="0" xfId="266" applyNumberFormat="1" applyFont="1" applyAlignment="1">
      <alignment horizontal="center"/>
    </xf>
    <xf numFmtId="0" fontId="49" fillId="0" borderId="0" xfId="187" applyFont="1" applyFill="1"/>
    <xf numFmtId="164" fontId="56" fillId="0" borderId="0" xfId="187" applyNumberFormat="1" applyFont="1" applyFill="1" applyBorder="1" applyAlignment="1">
      <alignment horizontal="center"/>
    </xf>
    <xf numFmtId="10" fontId="90" fillId="0" borderId="20" xfId="266" applyNumberFormat="1" applyFont="1" applyFill="1" applyBorder="1" applyAlignment="1"/>
    <xf numFmtId="10" fontId="56" fillId="0" borderId="0" xfId="187" applyNumberFormat="1" applyFont="1" applyFill="1" applyBorder="1" applyAlignment="1">
      <alignment horizontal="center"/>
    </xf>
    <xf numFmtId="0" fontId="49" fillId="0" borderId="0" xfId="187" applyFont="1" applyFill="1" applyBorder="1"/>
    <xf numFmtId="0" fontId="49" fillId="0" borderId="0" xfId="187" applyFont="1" applyFill="1" applyBorder="1" applyAlignment="1">
      <alignment horizontal="center"/>
    </xf>
    <xf numFmtId="0" fontId="49" fillId="0" borderId="8" xfId="187" applyFont="1" applyFill="1" applyBorder="1" applyAlignment="1">
      <alignment horizontal="center"/>
    </xf>
    <xf numFmtId="0" fontId="49" fillId="0" borderId="21" xfId="187" applyFont="1" applyFill="1" applyBorder="1"/>
    <xf numFmtId="0" fontId="49" fillId="0" borderId="22" xfId="187" applyFont="1" applyFill="1" applyBorder="1"/>
    <xf numFmtId="0" fontId="56" fillId="0" borderId="4" xfId="187" applyFont="1" applyFill="1" applyBorder="1"/>
    <xf numFmtId="0" fontId="49" fillId="0" borderId="23" xfId="187" applyFont="1" applyFill="1" applyBorder="1"/>
    <xf numFmtId="0" fontId="56" fillId="0" borderId="23" xfId="187" applyFont="1" applyFill="1" applyBorder="1"/>
    <xf numFmtId="0" fontId="49" fillId="0" borderId="24" xfId="187" applyFont="1" applyFill="1" applyBorder="1" applyAlignment="1">
      <alignment horizontal="center"/>
    </xf>
    <xf numFmtId="0" fontId="49" fillId="0" borderId="21" xfId="187" applyFont="1" applyFill="1" applyBorder="1" applyAlignment="1">
      <alignment horizontal="center"/>
    </xf>
    <xf numFmtId="0" fontId="49" fillId="0" borderId="20" xfId="187" applyFont="1" applyFill="1" applyBorder="1" applyAlignment="1">
      <alignment horizontal="center"/>
    </xf>
    <xf numFmtId="0" fontId="56" fillId="0" borderId="19" xfId="187" applyFont="1" applyFill="1" applyBorder="1" applyAlignment="1">
      <alignment horizontal="center"/>
    </xf>
    <xf numFmtId="0" fontId="56" fillId="0" borderId="0" xfId="187" applyFont="1" applyFill="1" applyBorder="1" applyAlignment="1">
      <alignment horizontal="center" wrapText="1"/>
    </xf>
    <xf numFmtId="0" fontId="56" fillId="0" borderId="25" xfId="187" applyFont="1" applyFill="1" applyBorder="1" applyAlignment="1">
      <alignment horizontal="center" wrapText="1"/>
    </xf>
    <xf numFmtId="0" fontId="56" fillId="0" borderId="23" xfId="187" applyFont="1" applyFill="1" applyBorder="1" applyAlignment="1">
      <alignment horizontal="center"/>
    </xf>
    <xf numFmtId="0" fontId="49" fillId="0" borderId="20" xfId="187" applyFont="1" applyFill="1" applyBorder="1"/>
    <xf numFmtId="175" fontId="49" fillId="0" borderId="0" xfId="187" applyNumberFormat="1" applyFont="1" applyFill="1"/>
    <xf numFmtId="14" fontId="49" fillId="0" borderId="23" xfId="187" applyNumberFormat="1" applyFont="1" applyFill="1" applyBorder="1" applyAlignment="1">
      <alignment horizontal="center"/>
    </xf>
    <xf numFmtId="0" fontId="49" fillId="0" borderId="0" xfId="187" applyFont="1" applyFill="1" applyAlignment="1">
      <alignment horizontal="left"/>
    </xf>
    <xf numFmtId="0" fontId="49" fillId="0" borderId="0" xfId="187" applyFont="1"/>
    <xf numFmtId="174" fontId="49" fillId="0" borderId="0" xfId="0" applyFont="1"/>
    <xf numFmtId="174" fontId="49" fillId="0" borderId="0" xfId="0" applyFont="1" applyFill="1" applyAlignment="1"/>
    <xf numFmtId="174" fontId="49" fillId="0" borderId="0" xfId="0" applyFont="1" applyFill="1"/>
    <xf numFmtId="182" fontId="49" fillId="0" borderId="0" xfId="266" applyNumberFormat="1" applyFont="1" applyFill="1" applyProtection="1">
      <protection locked="0"/>
    </xf>
    <xf numFmtId="175" fontId="49" fillId="0" borderId="0" xfId="59" applyNumberFormat="1" applyFont="1" applyFill="1" applyBorder="1" applyProtection="1">
      <protection locked="0"/>
    </xf>
    <xf numFmtId="175" fontId="49" fillId="0" borderId="12" xfId="59" applyNumberFormat="1" applyFont="1" applyFill="1" applyBorder="1" applyProtection="1">
      <protection locked="0"/>
    </xf>
    <xf numFmtId="174" fontId="49" fillId="0" borderId="0" xfId="0" applyFont="1" applyFill="1" applyBorder="1"/>
    <xf numFmtId="175" fontId="49" fillId="0" borderId="1" xfId="59" applyNumberFormat="1" applyFont="1" applyFill="1" applyBorder="1" applyProtection="1">
      <protection locked="0"/>
    </xf>
    <xf numFmtId="175" fontId="56" fillId="0" borderId="12" xfId="59" applyNumberFormat="1" applyFont="1" applyFill="1" applyBorder="1" applyProtection="1">
      <protection locked="0"/>
    </xf>
    <xf numFmtId="176" fontId="49" fillId="0" borderId="0" xfId="93" applyNumberFormat="1" applyFont="1" applyFill="1" applyBorder="1"/>
    <xf numFmtId="174" fontId="49" fillId="0" borderId="1" xfId="0" applyFont="1" applyFill="1" applyBorder="1"/>
    <xf numFmtId="176" fontId="49" fillId="0" borderId="1" xfId="93" applyNumberFormat="1" applyFont="1" applyFill="1" applyBorder="1"/>
    <xf numFmtId="176" fontId="49" fillId="0" borderId="0" xfId="93" applyNumberFormat="1" applyFont="1"/>
    <xf numFmtId="0" fontId="56" fillId="0" borderId="0" xfId="187" applyFont="1" applyFill="1" applyBorder="1"/>
    <xf numFmtId="43" fontId="49" fillId="0" borderId="0" xfId="187" applyNumberFormat="1" applyFont="1" applyFill="1" applyBorder="1"/>
    <xf numFmtId="0" fontId="56" fillId="0" borderId="24" xfId="187" applyFont="1" applyFill="1" applyBorder="1"/>
    <xf numFmtId="0" fontId="49" fillId="0" borderId="8" xfId="187" applyFont="1" applyFill="1" applyBorder="1"/>
    <xf numFmtId="176" fontId="56" fillId="14" borderId="26" xfId="102" applyNumberFormat="1" applyFont="1" applyFill="1" applyBorder="1"/>
    <xf numFmtId="176" fontId="56" fillId="0" borderId="0" xfId="102" applyNumberFormat="1" applyFont="1" applyFill="1" applyBorder="1"/>
    <xf numFmtId="0" fontId="56" fillId="0" borderId="0" xfId="187" quotePrefix="1" applyFont="1" applyFill="1" applyBorder="1" applyAlignment="1">
      <alignment horizontal="center"/>
    </xf>
    <xf numFmtId="0" fontId="56" fillId="0" borderId="19" xfId="187" applyFont="1" applyFill="1" applyBorder="1"/>
    <xf numFmtId="9" fontId="56" fillId="0" borderId="25" xfId="266" applyFont="1" applyFill="1" applyBorder="1"/>
    <xf numFmtId="10" fontId="56" fillId="0" borderId="25" xfId="283" applyNumberFormat="1" applyFont="1" applyFill="1" applyBorder="1"/>
    <xf numFmtId="9" fontId="49" fillId="0" borderId="0" xfId="187" applyNumberFormat="1" applyFont="1" applyFill="1" applyBorder="1"/>
    <xf numFmtId="10" fontId="56" fillId="0" borderId="26" xfId="283" applyNumberFormat="1" applyFont="1" applyFill="1" applyBorder="1"/>
    <xf numFmtId="10" fontId="56" fillId="0" borderId="0" xfId="283" applyNumberFormat="1" applyFont="1" applyFill="1" applyBorder="1"/>
    <xf numFmtId="176" fontId="49" fillId="0" borderId="0" xfId="102" applyNumberFormat="1" applyFont="1" applyFill="1" applyBorder="1"/>
    <xf numFmtId="0" fontId="49" fillId="0" borderId="24" xfId="187" applyFont="1" applyFill="1" applyBorder="1"/>
    <xf numFmtId="176" fontId="49" fillId="0" borderId="20" xfId="102" applyNumberFormat="1" applyFont="1" applyFill="1" applyBorder="1"/>
    <xf numFmtId="0" fontId="49" fillId="0" borderId="19" xfId="187" applyFont="1" applyFill="1" applyBorder="1"/>
    <xf numFmtId="10" fontId="49" fillId="0" borderId="0" xfId="187" applyNumberFormat="1" applyFont="1" applyFill="1" applyBorder="1"/>
    <xf numFmtId="175" fontId="49" fillId="0" borderId="0" xfId="79" applyNumberFormat="1" applyFont="1" applyFill="1" applyBorder="1"/>
    <xf numFmtId="164" fontId="49" fillId="0" borderId="0" xfId="266" applyNumberFormat="1" applyFont="1" applyFill="1" applyBorder="1"/>
    <xf numFmtId="164" fontId="49" fillId="0" borderId="0" xfId="187" applyNumberFormat="1" applyFont="1" applyFill="1" applyBorder="1"/>
    <xf numFmtId="175" fontId="49" fillId="0" borderId="25" xfId="79" applyNumberFormat="1" applyFont="1" applyFill="1" applyBorder="1"/>
    <xf numFmtId="43" fontId="49" fillId="0" borderId="0" xfId="79" applyNumberFormat="1" applyFont="1" applyFill="1" applyBorder="1"/>
    <xf numFmtId="175" fontId="49" fillId="0" borderId="8" xfId="79" applyNumberFormat="1" applyFont="1" applyFill="1" applyBorder="1"/>
    <xf numFmtId="175" fontId="49" fillId="0" borderId="26" xfId="79" applyNumberFormat="1" applyFont="1" applyFill="1" applyBorder="1"/>
    <xf numFmtId="174" fontId="49" fillId="0" borderId="0" xfId="0" applyFont="1" applyAlignment="1">
      <alignment horizontal="center"/>
    </xf>
    <xf numFmtId="0" fontId="49" fillId="0" borderId="0" xfId="212" applyFont="1" applyFill="1"/>
    <xf numFmtId="174" fontId="49" fillId="0" borderId="0" xfId="0" applyFont="1" applyAlignment="1">
      <alignment horizontal="right"/>
    </xf>
    <xf numFmtId="174" fontId="11" fillId="0" borderId="0" xfId="201" applyFont="1" applyAlignment="1"/>
    <xf numFmtId="174" fontId="16" fillId="0" borderId="0" xfId="201" applyFont="1" applyAlignment="1"/>
    <xf numFmtId="174" fontId="16" fillId="0" borderId="0" xfId="201" quotePrefix="1" applyFont="1" applyAlignment="1">
      <alignment horizontal="left"/>
    </xf>
    <xf numFmtId="174" fontId="92" fillId="0" borderId="0" xfId="201" quotePrefix="1" applyFont="1" applyAlignment="1">
      <alignment horizontal="left"/>
    </xf>
    <xf numFmtId="174" fontId="16" fillId="0" borderId="0" xfId="201" quotePrefix="1" applyFont="1" applyBorder="1" applyAlignment="1">
      <alignment horizontal="left"/>
    </xf>
    <xf numFmtId="174" fontId="16" fillId="0" borderId="0" xfId="201" applyFont="1" applyBorder="1" applyAlignment="1"/>
    <xf numFmtId="0" fontId="49" fillId="0" borderId="0" xfId="0" applyNumberFormat="1" applyFont="1" applyAlignment="1">
      <alignment horizontal="center"/>
    </xf>
    <xf numFmtId="0" fontId="49" fillId="0" borderId="0" xfId="0" applyNumberFormat="1" applyFont="1" applyAlignment="1">
      <alignment horizontal="center" wrapText="1"/>
    </xf>
    <xf numFmtId="0" fontId="78" fillId="0" borderId="0" xfId="0" applyNumberFormat="1" applyFont="1" applyAlignment="1">
      <alignment horizontal="center"/>
    </xf>
    <xf numFmtId="174" fontId="78" fillId="0" borderId="0" xfId="0" applyFont="1" applyAlignment="1">
      <alignment horizontal="center"/>
    </xf>
    <xf numFmtId="44" fontId="78" fillId="0" borderId="0" xfId="0" applyNumberFormat="1" applyFont="1" applyBorder="1" applyAlignment="1"/>
    <xf numFmtId="0" fontId="49" fillId="0" borderId="0" xfId="211" applyNumberFormat="1" applyFont="1" applyFill="1" applyAlignment="1" applyProtection="1">
      <alignment vertical="top" wrapText="1"/>
      <protection locked="0"/>
    </xf>
    <xf numFmtId="0" fontId="49" fillId="0" borderId="33" xfId="201" applyNumberFormat="1" applyFont="1" applyFill="1" applyBorder="1"/>
    <xf numFmtId="0" fontId="49" fillId="0" borderId="7" xfId="201" applyNumberFormat="1" applyFont="1" applyFill="1" applyBorder="1" applyAlignment="1">
      <alignment horizontal="center" wrapText="1"/>
    </xf>
    <xf numFmtId="175" fontId="0" fillId="0" borderId="0" xfId="59" applyNumberFormat="1" applyFont="1" applyAlignment="1"/>
    <xf numFmtId="0" fontId="16" fillId="0" borderId="0" xfId="201" applyNumberFormat="1" applyFont="1" applyFill="1" applyBorder="1" applyAlignment="1" applyProtection="1">
      <protection locked="0"/>
    </xf>
    <xf numFmtId="0" fontId="16" fillId="0" borderId="0" xfId="201" applyNumberFormat="1" applyFont="1" applyFill="1" applyBorder="1" applyAlignment="1" applyProtection="1">
      <alignment horizontal="center"/>
      <protection locked="0"/>
    </xf>
    <xf numFmtId="3" fontId="16" fillId="0" borderId="0" xfId="201" applyNumberFormat="1" applyFont="1" applyFill="1" applyBorder="1" applyAlignment="1"/>
    <xf numFmtId="0" fontId="16" fillId="0" borderId="0" xfId="201" applyNumberFormat="1" applyFont="1" applyFill="1" applyBorder="1" applyProtection="1">
      <protection locked="0"/>
    </xf>
    <xf numFmtId="174" fontId="29" fillId="0" borderId="0" xfId="201" applyFill="1" applyBorder="1" applyAlignment="1"/>
    <xf numFmtId="0" fontId="16" fillId="0" borderId="0" xfId="201" applyNumberFormat="1" applyFont="1" applyFill="1" applyBorder="1"/>
    <xf numFmtId="0" fontId="39" fillId="0" borderId="0" xfId="211" applyNumberFormat="1" applyFont="1" applyFill="1" applyAlignment="1">
      <alignment horizontal="center"/>
    </xf>
    <xf numFmtId="174" fontId="39" fillId="0" borderId="0" xfId="0" applyFont="1" applyAlignment="1"/>
    <xf numFmtId="43" fontId="39" fillId="0" borderId="0" xfId="59" applyFont="1" applyAlignment="1"/>
    <xf numFmtId="175" fontId="39" fillId="0" borderId="0" xfId="59" applyNumberFormat="1" applyFont="1" applyAlignment="1" applyProtection="1">
      <alignment horizontal="center"/>
      <protection locked="0"/>
    </xf>
    <xf numFmtId="0" fontId="39" fillId="0" borderId="0" xfId="211" applyNumberFormat="1" applyFont="1" applyAlignment="1" applyProtection="1">
      <protection locked="0"/>
    </xf>
    <xf numFmtId="3" fontId="39" fillId="0" borderId="0" xfId="211" applyNumberFormat="1" applyFont="1" applyAlignment="1"/>
    <xf numFmtId="3" fontId="39" fillId="0" borderId="8" xfId="211" applyNumberFormat="1" applyFont="1" applyBorder="1" applyAlignment="1">
      <alignment horizontal="center"/>
    </xf>
    <xf numFmtId="170" fontId="39" fillId="0" borderId="0" xfId="0" applyNumberFormat="1" applyFont="1" applyAlignment="1"/>
    <xf numFmtId="0" fontId="39" fillId="0" borderId="0" xfId="211" applyNumberFormat="1" applyFont="1" applyAlignment="1"/>
    <xf numFmtId="3" fontId="39" fillId="0" borderId="0" xfId="211" applyNumberFormat="1" applyFont="1" applyAlignment="1">
      <alignment horizontal="center"/>
    </xf>
    <xf numFmtId="0" fontId="39" fillId="0" borderId="8" xfId="211" applyNumberFormat="1" applyFont="1" applyBorder="1" applyAlignment="1" applyProtection="1">
      <alignment horizontal="center"/>
      <protection locked="0"/>
    </xf>
    <xf numFmtId="174" fontId="39" fillId="0" borderId="0" xfId="211" applyFont="1" applyFill="1" applyAlignment="1"/>
    <xf numFmtId="43" fontId="39" fillId="14" borderId="0" xfId="59" applyFont="1" applyFill="1" applyAlignment="1">
      <alignment horizontal="center"/>
    </xf>
    <xf numFmtId="174" fontId="39" fillId="0" borderId="0" xfId="211" applyFont="1" applyAlignment="1"/>
    <xf numFmtId="43" fontId="39" fillId="0" borderId="0" xfId="59" applyFont="1" applyFill="1" applyAlignment="1">
      <alignment horizontal="center"/>
    </xf>
    <xf numFmtId="3" fontId="39" fillId="0" borderId="0" xfId="211" applyNumberFormat="1" applyFont="1" applyFill="1" applyAlignment="1"/>
    <xf numFmtId="166" fontId="39" fillId="0" borderId="0" xfId="211" applyNumberFormat="1" applyFont="1" applyAlignment="1">
      <alignment horizontal="center"/>
    </xf>
    <xf numFmtId="164" fontId="39" fillId="0" borderId="0" xfId="211" applyNumberFormat="1" applyFont="1" applyAlignment="1">
      <alignment horizontal="left"/>
    </xf>
    <xf numFmtId="0" fontId="39" fillId="0" borderId="0" xfId="211" applyNumberFormat="1" applyFont="1" applyFill="1" applyAlignment="1"/>
    <xf numFmtId="164" fontId="39" fillId="0" borderId="0" xfId="211" applyNumberFormat="1" applyFont="1" applyFill="1" applyAlignment="1">
      <alignment horizontal="left"/>
    </xf>
    <xf numFmtId="43" fontId="39" fillId="0" borderId="0" xfId="59" applyFont="1" applyFill="1" applyAlignment="1">
      <alignment horizontal="right"/>
    </xf>
    <xf numFmtId="175" fontId="39" fillId="0" borderId="0" xfId="59" applyNumberFormat="1" applyFont="1" applyBorder="1" applyAlignment="1"/>
    <xf numFmtId="10" fontId="39" fillId="0" borderId="0" xfId="211" applyNumberFormat="1" applyFont="1" applyFill="1" applyAlignment="1">
      <alignment horizontal="left"/>
    </xf>
    <xf numFmtId="3" fontId="39" fillId="0" borderId="0" xfId="188" applyNumberFormat="1" applyFont="1" applyAlignment="1"/>
    <xf numFmtId="166" fontId="39" fillId="0" borderId="0" xfId="188" applyNumberFormat="1" applyFont="1" applyAlignment="1"/>
    <xf numFmtId="0" fontId="39" fillId="0" borderId="0" xfId="188" applyFont="1" applyAlignment="1"/>
    <xf numFmtId="164" fontId="39" fillId="0" borderId="0" xfId="211" applyNumberFormat="1" applyFont="1" applyFill="1" applyAlignment="1" applyProtection="1">
      <alignment horizontal="left"/>
      <protection locked="0"/>
    </xf>
    <xf numFmtId="43" fontId="39" fillId="0" borderId="1" xfId="59" applyFont="1" applyBorder="1" applyAlignment="1"/>
    <xf numFmtId="0" fontId="49" fillId="0" borderId="0" xfId="212" applyFont="1" applyAlignment="1">
      <alignment horizontal="center"/>
    </xf>
    <xf numFmtId="0" fontId="49" fillId="0" borderId="0" xfId="212" applyFont="1" applyAlignment="1">
      <alignment horizontal="center" wrapText="1"/>
    </xf>
    <xf numFmtId="0" fontId="49" fillId="0" borderId="0" xfId="206" applyFont="1" applyFill="1" applyBorder="1" applyAlignment="1">
      <alignment horizontal="center" wrapText="1"/>
    </xf>
    <xf numFmtId="43" fontId="49" fillId="14" borderId="0" xfId="59" applyFont="1" applyFill="1"/>
    <xf numFmtId="49" fontId="49" fillId="0" borderId="0" xfId="0" applyNumberFormat="1" applyFont="1" applyAlignment="1">
      <alignment horizontal="center"/>
    </xf>
    <xf numFmtId="0" fontId="49" fillId="0" borderId="0" xfId="192" applyFont="1" applyFill="1" applyAlignment="1">
      <alignment horizontal="center" wrapText="1"/>
    </xf>
    <xf numFmtId="2" fontId="49" fillId="0" borderId="0" xfId="0" applyNumberFormat="1" applyFont="1" applyAlignment="1">
      <alignment horizontal="left"/>
    </xf>
    <xf numFmtId="0" fontId="49" fillId="0" borderId="0" xfId="211" applyNumberFormat="1" applyFont="1" applyFill="1" applyAlignment="1" applyProtection="1">
      <alignment vertical="top"/>
      <protection locked="0"/>
    </xf>
    <xf numFmtId="174" fontId="49" fillId="0" borderId="0" xfId="211" applyFont="1" applyFill="1" applyAlignment="1">
      <alignment vertical="top" wrapText="1"/>
    </xf>
    <xf numFmtId="0" fontId="49" fillId="0" borderId="0" xfId="188" applyFont="1" applyFill="1" applyAlignment="1">
      <alignment vertical="top" wrapText="1"/>
    </xf>
    <xf numFmtId="0" fontId="49" fillId="0" borderId="0" xfId="188" applyNumberFormat="1" applyFont="1" applyAlignment="1">
      <alignment vertical="top"/>
    </xf>
    <xf numFmtId="0" fontId="49" fillId="0" borderId="0" xfId="211" applyNumberFormat="1" applyFont="1" applyAlignment="1" applyProtection="1">
      <alignment vertical="top"/>
      <protection locked="0"/>
    </xf>
    <xf numFmtId="170" fontId="49" fillId="0" borderId="0" xfId="211" applyNumberFormat="1" applyFont="1" applyFill="1" applyBorder="1" applyAlignment="1" applyProtection="1">
      <alignment vertical="top"/>
    </xf>
    <xf numFmtId="3" fontId="49" fillId="0" borderId="0" xfId="211" applyNumberFormat="1" applyFont="1" applyAlignment="1" applyProtection="1">
      <alignment vertical="top"/>
    </xf>
    <xf numFmtId="3" fontId="49" fillId="0" borderId="0" xfId="211" applyNumberFormat="1" applyFont="1" applyFill="1" applyAlignment="1" applyProtection="1">
      <alignment vertical="top"/>
    </xf>
    <xf numFmtId="174" fontId="49" fillId="0" borderId="0" xfId="0" applyFont="1" applyAlignment="1">
      <alignment vertical="top"/>
    </xf>
    <xf numFmtId="0" fontId="9" fillId="0" borderId="0" xfId="187" applyFont="1" applyBorder="1"/>
    <xf numFmtId="0" fontId="9" fillId="0" borderId="19" xfId="187" applyFont="1" applyBorder="1" applyAlignment="1">
      <alignment horizontal="center"/>
    </xf>
    <xf numFmtId="0" fontId="9" fillId="0" borderId="0" xfId="187" applyFont="1" applyBorder="1" applyAlignment="1">
      <alignment horizontal="center"/>
    </xf>
    <xf numFmtId="0" fontId="9" fillId="0" borderId="0" xfId="187" applyFont="1" applyBorder="1" applyAlignment="1"/>
    <xf numFmtId="0" fontId="93" fillId="0" borderId="0" xfId="187" applyFont="1" applyBorder="1" applyAlignment="1">
      <alignment horizontal="left"/>
    </xf>
    <xf numFmtId="1" fontId="49" fillId="0" borderId="0" xfId="0" applyNumberFormat="1" applyFont="1" applyFill="1" applyAlignment="1">
      <alignment horizontal="center"/>
    </xf>
    <xf numFmtId="49" fontId="49" fillId="0" borderId="0" xfId="0" applyNumberFormat="1" applyFont="1" applyFill="1" applyAlignment="1">
      <alignment horizontal="center"/>
    </xf>
    <xf numFmtId="0" fontId="49" fillId="0" borderId="0" xfId="212" applyFont="1" applyFill="1" applyAlignment="1">
      <alignment horizontal="center"/>
    </xf>
    <xf numFmtId="0" fontId="49" fillId="0" borderId="0" xfId="212" applyFont="1" applyFill="1" applyAlignment="1">
      <alignment horizontal="center" wrapText="1"/>
    </xf>
    <xf numFmtId="175" fontId="39" fillId="0" borderId="0" xfId="59" applyNumberFormat="1" applyFont="1" applyAlignment="1"/>
    <xf numFmtId="174" fontId="94" fillId="0" borderId="0" xfId="0" applyFont="1" applyAlignment="1"/>
    <xf numFmtId="0" fontId="103" fillId="0" borderId="0" xfId="182"/>
    <xf numFmtId="174" fontId="12" fillId="0" borderId="0" xfId="201" applyFont="1" applyAlignment="1">
      <alignment horizontal="center"/>
    </xf>
    <xf numFmtId="0" fontId="34" fillId="0" borderId="0" xfId="185" applyFont="1" applyAlignment="1">
      <alignment horizontal="center"/>
    </xf>
    <xf numFmtId="175" fontId="49" fillId="0" borderId="0" xfId="59" applyNumberFormat="1" applyFont="1" applyAlignment="1">
      <alignment horizontal="right"/>
    </xf>
    <xf numFmtId="175" fontId="49" fillId="0" borderId="8" xfId="59" applyNumberFormat="1" applyFont="1" applyBorder="1" applyAlignment="1">
      <alignment horizontal="right"/>
    </xf>
    <xf numFmtId="43" fontId="39" fillId="0" borderId="0" xfId="59" applyFont="1" applyAlignment="1">
      <alignment horizontal="right"/>
    </xf>
    <xf numFmtId="174" fontId="49" fillId="0" borderId="0" xfId="0" applyFont="1" applyFill="1" applyAlignment="1">
      <alignment horizontal="center"/>
    </xf>
    <xf numFmtId="174" fontId="16" fillId="0" borderId="0" xfId="201" applyFont="1" applyAlignment="1">
      <alignment horizontal="center"/>
    </xf>
    <xf numFmtId="174" fontId="0" fillId="0" borderId="0" xfId="0" applyFont="1" applyAlignment="1">
      <alignment horizontal="center"/>
    </xf>
    <xf numFmtId="0" fontId="16" fillId="0" borderId="0" xfId="201" applyNumberFormat="1" applyFont="1" applyFill="1" applyBorder="1" applyAlignment="1">
      <alignment horizontal="center"/>
    </xf>
    <xf numFmtId="174" fontId="39" fillId="0" borderId="0" xfId="0" applyFont="1" applyAlignment="1">
      <alignment horizontal="center"/>
    </xf>
    <xf numFmtId="175" fontId="49" fillId="0" borderId="11" xfId="59" applyNumberFormat="1" applyFont="1" applyFill="1" applyBorder="1" applyAlignment="1"/>
    <xf numFmtId="175" fontId="49" fillId="0" borderId="15" xfId="59" applyNumberFormat="1" applyFont="1" applyFill="1" applyBorder="1" applyAlignment="1"/>
    <xf numFmtId="186" fontId="16" fillId="0" borderId="0" xfId="59" applyNumberFormat="1" applyFont="1" applyFill="1" applyAlignment="1">
      <alignment horizontal="right"/>
    </xf>
    <xf numFmtId="0" fontId="49" fillId="0" borderId="0" xfId="188" applyNumberFormat="1" applyFont="1" applyFill="1" applyAlignment="1">
      <alignment vertical="top"/>
    </xf>
    <xf numFmtId="180" fontId="49" fillId="0" borderId="8" xfId="59" applyNumberFormat="1" applyFont="1" applyFill="1" applyBorder="1" applyProtection="1">
      <protection locked="0"/>
    </xf>
    <xf numFmtId="175" fontId="49" fillId="0" borderId="8" xfId="59" applyNumberFormat="1" applyFont="1" applyFill="1" applyBorder="1" applyAlignment="1" applyProtection="1">
      <protection locked="0"/>
    </xf>
    <xf numFmtId="49" fontId="49" fillId="0" borderId="0" xfId="0" applyNumberFormat="1" applyFont="1" applyAlignment="1">
      <alignment horizontal="center" vertical="center" wrapText="1"/>
    </xf>
    <xf numFmtId="7" fontId="98" fillId="0" borderId="0" xfId="183" applyFont="1" applyFill="1" applyAlignment="1"/>
    <xf numFmtId="7" fontId="98" fillId="0" borderId="0" xfId="183" applyFont="1" applyFill="1" applyAlignment="1">
      <alignment horizontal="center"/>
    </xf>
    <xf numFmtId="7" fontId="99" fillId="0" borderId="0" xfId="183" applyFont="1" applyFill="1" applyAlignment="1">
      <alignment horizontal="center"/>
    </xf>
    <xf numFmtId="7" fontId="99" fillId="0" borderId="0" xfId="183" applyFont="1" applyFill="1"/>
    <xf numFmtId="182" fontId="100" fillId="0" borderId="0" xfId="289" applyNumberFormat="1" applyFont="1" applyFill="1" applyAlignment="1">
      <alignment horizontal="center"/>
    </xf>
    <xf numFmtId="182" fontId="99" fillId="0" borderId="0" xfId="289" applyNumberFormat="1" applyFont="1" applyFill="1" applyAlignment="1">
      <alignment horizontal="center"/>
    </xf>
    <xf numFmtId="182" fontId="99" fillId="0" borderId="0" xfId="289" applyNumberFormat="1" applyFont="1" applyFill="1"/>
    <xf numFmtId="10" fontId="99" fillId="0" borderId="0" xfId="183" applyNumberFormat="1" applyFont="1" applyFill="1"/>
    <xf numFmtId="7" fontId="97" fillId="0" borderId="0" xfId="183"/>
    <xf numFmtId="174" fontId="9" fillId="0" borderId="0" xfId="201" applyFont="1" applyFill="1" applyBorder="1" applyAlignment="1"/>
    <xf numFmtId="174" fontId="9" fillId="0" borderId="8" xfId="201" applyFont="1" applyFill="1" applyBorder="1" applyAlignment="1"/>
    <xf numFmtId="174" fontId="9" fillId="0" borderId="0" xfId="201" applyFont="1" applyFill="1" applyBorder="1" applyAlignment="1">
      <alignment horizontal="center" vertical="top"/>
    </xf>
    <xf numFmtId="3" fontId="49" fillId="0" borderId="0" xfId="211" applyNumberFormat="1" applyFont="1" applyFill="1" applyBorder="1" applyAlignment="1">
      <alignment horizontal="center"/>
    </xf>
    <xf numFmtId="3" fontId="49" fillId="0" borderId="0" xfId="211" applyNumberFormat="1" applyFont="1" applyBorder="1" applyAlignment="1">
      <alignment horizontal="center"/>
    </xf>
    <xf numFmtId="3" fontId="39" fillId="0" borderId="0" xfId="0" applyNumberFormat="1" applyFont="1" applyAlignment="1"/>
    <xf numFmtId="3" fontId="39" fillId="0" borderId="8" xfId="0" applyNumberFormat="1" applyFont="1" applyBorder="1" applyAlignment="1">
      <alignment horizontal="center"/>
    </xf>
    <xf numFmtId="3" fontId="39" fillId="0" borderId="0" xfId="0" applyNumberFormat="1" applyFont="1" applyFill="1" applyAlignment="1"/>
    <xf numFmtId="0" fontId="39" fillId="0" borderId="0" xfId="0" applyNumberFormat="1" applyFont="1" applyProtection="1">
      <protection locked="0"/>
    </xf>
    <xf numFmtId="3" fontId="39" fillId="0" borderId="0" xfId="0" applyNumberFormat="1" applyFont="1" applyAlignment="1">
      <alignment horizontal="center"/>
    </xf>
    <xf numFmtId="182" fontId="80" fillId="0" borderId="0" xfId="266" applyNumberFormat="1" applyFont="1" applyFill="1" applyBorder="1"/>
    <xf numFmtId="175" fontId="49" fillId="0" borderId="0" xfId="187" applyNumberFormat="1" applyFont="1" applyFill="1" applyBorder="1"/>
    <xf numFmtId="0" fontId="49" fillId="0" borderId="0" xfId="187" applyFont="1" applyFill="1" applyBorder="1" applyAlignment="1">
      <alignment horizontal="left"/>
    </xf>
    <xf numFmtId="3" fontId="49" fillId="0" borderId="0" xfId="187" applyNumberFormat="1" applyFont="1" applyFill="1" applyBorder="1"/>
    <xf numFmtId="43" fontId="49" fillId="14" borderId="26" xfId="187" applyNumberFormat="1" applyFont="1" applyFill="1" applyBorder="1"/>
    <xf numFmtId="164" fontId="49" fillId="0" borderId="0" xfId="283" applyNumberFormat="1" applyFont="1" applyFill="1" applyBorder="1"/>
    <xf numFmtId="10" fontId="49" fillId="0" borderId="34" xfId="187" applyNumberFormat="1" applyFont="1" applyFill="1" applyBorder="1"/>
    <xf numFmtId="175" fontId="101" fillId="0" borderId="0" xfId="79" applyNumberFormat="1" applyFont="1" applyFill="1" applyBorder="1"/>
    <xf numFmtId="182" fontId="49" fillId="0" borderId="0" xfId="266" applyNumberFormat="1" applyFont="1" applyFill="1" applyBorder="1"/>
    <xf numFmtId="187" fontId="49" fillId="0" borderId="0" xfId="79" applyNumberFormat="1" applyFont="1" applyFill="1" applyBorder="1"/>
    <xf numFmtId="174" fontId="89" fillId="0" borderId="19" xfId="0" applyFont="1" applyBorder="1"/>
    <xf numFmtId="3" fontId="49" fillId="0" borderId="0" xfId="188" applyNumberFormat="1" applyFont="1" applyAlignment="1">
      <alignment wrapText="1"/>
    </xf>
    <xf numFmtId="174" fontId="102" fillId="0" borderId="0" xfId="201" applyFont="1" applyFill="1" applyBorder="1" applyAlignment="1"/>
    <xf numFmtId="175" fontId="0" fillId="0" borderId="0" xfId="59" applyNumberFormat="1" applyFont="1" applyAlignment="1">
      <alignment horizontal="center"/>
    </xf>
    <xf numFmtId="1" fontId="16" fillId="0" borderId="0" xfId="201" applyNumberFormat="1" applyFont="1" applyAlignment="1">
      <alignment horizontal="left"/>
    </xf>
    <xf numFmtId="174" fontId="16" fillId="0" borderId="0" xfId="201" applyFont="1" applyAlignment="1">
      <alignment horizontal="left"/>
    </xf>
    <xf numFmtId="174" fontId="39" fillId="0" borderId="0" xfId="211" applyFont="1" applyFill="1" applyAlignment="1">
      <alignment wrapText="1"/>
    </xf>
    <xf numFmtId="175" fontId="39" fillId="0" borderId="0" xfId="59" applyNumberFormat="1" applyFont="1" applyAlignment="1">
      <alignment horizontal="left" indent="2"/>
    </xf>
    <xf numFmtId="186" fontId="39" fillId="0" borderId="0" xfId="59" applyNumberFormat="1" applyFont="1" applyAlignment="1"/>
    <xf numFmtId="0" fontId="39" fillId="0" borderId="0" xfId="201" applyNumberFormat="1" applyFont="1" applyFill="1" applyAlignment="1">
      <alignment horizontal="right"/>
    </xf>
    <xf numFmtId="43" fontId="39" fillId="0" borderId="1" xfId="59" applyFont="1" applyBorder="1" applyAlignment="1">
      <alignment horizontal="right"/>
    </xf>
    <xf numFmtId="0" fontId="78" fillId="0" borderId="0" xfId="192" applyFont="1" applyFill="1" applyBorder="1" applyAlignment="1">
      <alignment horizontal="center" vertical="center" wrapText="1"/>
    </xf>
    <xf numFmtId="0" fontId="78" fillId="0" borderId="0" xfId="192" applyFont="1" applyFill="1" applyBorder="1" applyAlignment="1">
      <alignment horizontal="center"/>
    </xf>
    <xf numFmtId="174" fontId="79" fillId="0" borderId="0" xfId="0" applyFont="1" applyFill="1" applyBorder="1" applyAlignment="1">
      <alignment horizontal="center"/>
    </xf>
    <xf numFmtId="43" fontId="86" fillId="0" borderId="0" xfId="59" applyFont="1" applyFill="1" applyBorder="1"/>
    <xf numFmtId="176" fontId="78" fillId="0" borderId="0" xfId="93" applyNumberFormat="1" applyFont="1" applyFill="1" applyBorder="1"/>
    <xf numFmtId="0" fontId="78" fillId="0" borderId="0" xfId="192" applyFont="1" applyFill="1" applyBorder="1"/>
    <xf numFmtId="174" fontId="49" fillId="0" borderId="0" xfId="0" applyFont="1" applyFill="1" applyBorder="1" applyAlignment="1"/>
    <xf numFmtId="0" fontId="49" fillId="0" borderId="0" xfId="208" applyNumberFormat="1" applyFont="1" applyFill="1" applyBorder="1" applyAlignment="1" applyProtection="1">
      <alignment horizontal="center"/>
      <protection locked="0"/>
    </xf>
    <xf numFmtId="175" fontId="49" fillId="0" borderId="8" xfId="59" applyNumberFormat="1" applyFont="1" applyFill="1" applyBorder="1" applyAlignment="1">
      <alignment horizontal="center"/>
    </xf>
    <xf numFmtId="175" fontId="49" fillId="14" borderId="8" xfId="59" applyNumberFormat="1" applyFont="1" applyFill="1" applyBorder="1" applyAlignment="1">
      <alignment horizontal="center"/>
    </xf>
    <xf numFmtId="0" fontId="49" fillId="0" borderId="30" xfId="201" applyNumberFormat="1" applyFont="1" applyFill="1" applyBorder="1"/>
    <xf numFmtId="175" fontId="49" fillId="14" borderId="10" xfId="59" applyNumberFormat="1" applyFont="1" applyFill="1" applyBorder="1" applyAlignment="1"/>
    <xf numFmtId="174" fontId="78" fillId="0" borderId="17" xfId="201" applyFont="1" applyFill="1" applyBorder="1" applyAlignment="1"/>
    <xf numFmtId="0" fontId="49" fillId="0" borderId="9" xfId="201" applyNumberFormat="1" applyFont="1" applyFill="1" applyBorder="1" applyAlignment="1">
      <alignment horizontal="center" wrapText="1"/>
    </xf>
    <xf numFmtId="43" fontId="49" fillId="0" borderId="11" xfId="59" applyNumberFormat="1" applyFont="1" applyFill="1" applyBorder="1" applyAlignment="1"/>
    <xf numFmtId="41" fontId="49" fillId="16" borderId="0" xfId="212" applyNumberFormat="1" applyFont="1" applyFill="1"/>
    <xf numFmtId="43" fontId="39" fillId="14" borderId="0" xfId="59" applyFont="1" applyFill="1" applyAlignment="1"/>
    <xf numFmtId="175" fontId="39" fillId="14" borderId="0" xfId="59" applyNumberFormat="1" applyFont="1" applyFill="1" applyAlignment="1"/>
    <xf numFmtId="175" fontId="39" fillId="0" borderId="0" xfId="59" applyNumberFormat="1" applyFont="1" applyFill="1" applyAlignment="1" applyProtection="1">
      <protection locked="0"/>
    </xf>
    <xf numFmtId="175" fontId="39" fillId="14" borderId="8" xfId="59" applyNumberFormat="1" applyFont="1" applyFill="1" applyBorder="1" applyAlignment="1"/>
    <xf numFmtId="43" fontId="16" fillId="14" borderId="0" xfId="59" applyFont="1" applyFill="1" applyAlignment="1"/>
    <xf numFmtId="43" fontId="16" fillId="0" borderId="0" xfId="59" applyFont="1" applyAlignment="1"/>
    <xf numFmtId="43" fontId="16" fillId="0" borderId="3" xfId="59" applyFont="1" applyBorder="1" applyAlignment="1"/>
    <xf numFmtId="43" fontId="16" fillId="0" borderId="0" xfId="59" applyFont="1" applyBorder="1" applyAlignment="1"/>
    <xf numFmtId="43" fontId="16" fillId="0" borderId="1" xfId="59" applyFont="1" applyBorder="1" applyAlignment="1"/>
    <xf numFmtId="14" fontId="101" fillId="17" borderId="19" xfId="187" applyNumberFormat="1" applyFont="1" applyFill="1" applyBorder="1" applyAlignment="1">
      <alignment horizontal="center"/>
    </xf>
    <xf numFmtId="0" fontId="49" fillId="17" borderId="0" xfId="187" applyFont="1" applyFill="1" applyBorder="1" applyAlignment="1">
      <alignment horizontal="center"/>
    </xf>
    <xf numFmtId="0" fontId="101" fillId="17" borderId="0" xfId="187" applyFont="1" applyFill="1" applyBorder="1" applyAlignment="1">
      <alignment horizontal="center"/>
    </xf>
    <xf numFmtId="169" fontId="39" fillId="18" borderId="0" xfId="59" applyNumberFormat="1" applyFont="1" applyFill="1" applyAlignment="1"/>
    <xf numFmtId="43" fontId="49" fillId="17" borderId="0" xfId="59" applyFont="1" applyFill="1" applyAlignment="1"/>
    <xf numFmtId="0" fontId="49" fillId="0" borderId="0" xfId="0" applyNumberFormat="1" applyFont="1" applyAlignment="1">
      <alignment horizontal="center"/>
    </xf>
    <xf numFmtId="44" fontId="49" fillId="0" borderId="0" xfId="0" applyNumberFormat="1" applyFont="1" applyBorder="1" applyAlignment="1"/>
    <xf numFmtId="44" fontId="49" fillId="0" borderId="0" xfId="0" applyNumberFormat="1" applyFont="1" applyFill="1" applyBorder="1" applyAlignment="1"/>
    <xf numFmtId="0" fontId="49" fillId="0" borderId="0" xfId="187" applyFont="1" applyFill="1" applyBorder="1" applyAlignment="1"/>
    <xf numFmtId="3" fontId="49" fillId="0" borderId="0" xfId="187" applyNumberFormat="1" applyFont="1" applyFill="1" applyBorder="1" applyAlignment="1">
      <alignment horizontal="center" wrapText="1"/>
    </xf>
    <xf numFmtId="0" fontId="49" fillId="0" borderId="0" xfId="187" applyFont="1" applyFill="1" applyBorder="1" applyAlignment="1">
      <alignment horizontal="center" wrapText="1"/>
    </xf>
    <xf numFmtId="174" fontId="79" fillId="0" borderId="0" xfId="0" applyFont="1" applyBorder="1" applyAlignment="1"/>
    <xf numFmtId="0" fontId="49" fillId="17" borderId="0" xfId="187" applyFont="1" applyFill="1" applyBorder="1" applyAlignment="1"/>
    <xf numFmtId="175" fontId="49" fillId="17" borderId="0" xfId="59" applyNumberFormat="1" applyFont="1" applyFill="1" applyBorder="1" applyAlignment="1">
      <alignment horizontal="center"/>
    </xf>
    <xf numFmtId="174" fontId="79" fillId="17" borderId="0" xfId="0" applyFont="1" applyFill="1" applyAlignment="1"/>
    <xf numFmtId="175" fontId="49" fillId="0" borderId="0" xfId="59" applyNumberFormat="1" applyFont="1" applyFill="1" applyBorder="1" applyAlignment="1">
      <alignment horizontal="center" wrapText="1"/>
    </xf>
    <xf numFmtId="175" fontId="49" fillId="17" borderId="0" xfId="59" applyNumberFormat="1" applyFont="1" applyFill="1" applyBorder="1"/>
    <xf numFmtId="0" fontId="49" fillId="17" borderId="1" xfId="187" applyFont="1" applyFill="1" applyBorder="1" applyAlignment="1"/>
    <xf numFmtId="175" fontId="49" fillId="17" borderId="1" xfId="59" applyNumberFormat="1" applyFont="1" applyFill="1" applyBorder="1"/>
    <xf numFmtId="175" fontId="49" fillId="17" borderId="1" xfId="59" applyNumberFormat="1" applyFont="1" applyFill="1" applyBorder="1" applyAlignment="1">
      <alignment horizontal="center"/>
    </xf>
    <xf numFmtId="174" fontId="79" fillId="17" borderId="1" xfId="0" applyFont="1" applyFill="1" applyBorder="1" applyAlignment="1"/>
    <xf numFmtId="175" fontId="49" fillId="0" borderId="1" xfId="59" applyNumberFormat="1" applyFont="1" applyFill="1" applyBorder="1" applyAlignment="1">
      <alignment horizontal="center" wrapText="1"/>
    </xf>
    <xf numFmtId="175" fontId="49" fillId="0" borderId="0" xfId="59" applyNumberFormat="1" applyFont="1" applyFill="1" applyBorder="1"/>
    <xf numFmtId="174" fontId="49" fillId="0" borderId="0" xfId="0" applyFont="1" applyBorder="1" applyAlignment="1"/>
    <xf numFmtId="0" fontId="49" fillId="0" borderId="0" xfId="0" applyNumberFormat="1" applyFont="1" applyAlignment="1">
      <alignment horizontal="center" vertical="top"/>
    </xf>
    <xf numFmtId="0" fontId="49" fillId="0" borderId="0" xfId="0" applyNumberFormat="1" applyFont="1" applyFill="1" applyAlignment="1">
      <alignment horizontal="center"/>
    </xf>
    <xf numFmtId="3" fontId="49" fillId="0" borderId="0" xfId="188" applyNumberFormat="1" applyFont="1" applyFill="1" applyAlignment="1">
      <alignment wrapText="1"/>
    </xf>
    <xf numFmtId="0" fontId="56" fillId="0" borderId="0" xfId="212" applyFont="1" applyFill="1" applyAlignment="1">
      <alignment horizontal="center" wrapText="1"/>
    </xf>
    <xf numFmtId="0" fontId="49" fillId="0" borderId="0" xfId="211" applyNumberFormat="1" applyFont="1" applyFill="1" applyAlignment="1" applyProtection="1">
      <alignment horizontal="center"/>
      <protection locked="0"/>
    </xf>
    <xf numFmtId="187" fontId="49" fillId="0" borderId="0" xfId="59" applyNumberFormat="1" applyFont="1" applyFill="1" applyAlignment="1"/>
    <xf numFmtId="164" fontId="49" fillId="0" borderId="0" xfId="211" applyNumberFormat="1" applyFont="1" applyFill="1" applyAlignment="1">
      <alignment horizontal="center"/>
    </xf>
    <xf numFmtId="174" fontId="49" fillId="0" borderId="30" xfId="0" applyFont="1" applyBorder="1"/>
    <xf numFmtId="174" fontId="49" fillId="0" borderId="31" xfId="0" applyFont="1" applyBorder="1"/>
    <xf numFmtId="174" fontId="49" fillId="0" borderId="33" xfId="0" applyFont="1" applyBorder="1" applyAlignment="1">
      <alignment horizontal="center"/>
    </xf>
    <xf numFmtId="174" fontId="49" fillId="0" borderId="3" xfId="0" applyFont="1" applyBorder="1"/>
    <xf numFmtId="174" fontId="49" fillId="0" borderId="15" xfId="0" applyFont="1" applyBorder="1" applyAlignment="1">
      <alignment horizontal="center"/>
    </xf>
    <xf numFmtId="174" fontId="49" fillId="17" borderId="0" xfId="0" applyFont="1" applyFill="1"/>
    <xf numFmtId="174" fontId="49" fillId="0" borderId="33" xfId="0" applyFont="1" applyBorder="1"/>
    <xf numFmtId="174" fontId="49" fillId="0" borderId="11" xfId="0" applyFont="1" applyBorder="1"/>
    <xf numFmtId="174" fontId="49" fillId="0" borderId="9" xfId="0" applyFont="1" applyBorder="1" applyAlignment="1">
      <alignment horizontal="center"/>
    </xf>
    <xf numFmtId="174" fontId="49" fillId="0" borderId="11" xfId="0" applyFont="1" applyBorder="1" applyAlignment="1">
      <alignment horizontal="center"/>
    </xf>
    <xf numFmtId="174" fontId="49" fillId="0" borderId="15" xfId="0" applyFont="1" applyBorder="1"/>
    <xf numFmtId="174" fontId="49" fillId="0" borderId="1" xfId="0" applyFont="1" applyBorder="1"/>
    <xf numFmtId="176" fontId="49" fillId="0" borderId="32" xfId="93" applyNumberFormat="1" applyFont="1" applyFill="1" applyBorder="1"/>
    <xf numFmtId="174" fontId="49" fillId="0" borderId="0" xfId="0" applyNumberFormat="1" applyFont="1" applyFill="1" applyBorder="1" applyAlignment="1" applyProtection="1"/>
    <xf numFmtId="174" fontId="49" fillId="0" borderId="0" xfId="201" applyFont="1" applyAlignment="1"/>
    <xf numFmtId="174" fontId="49" fillId="0" borderId="0" xfId="201" applyFont="1" applyAlignment="1">
      <alignment horizontal="center"/>
    </xf>
    <xf numFmtId="174" fontId="49" fillId="0" borderId="1" xfId="201" applyFont="1" applyFill="1" applyBorder="1" applyAlignment="1">
      <alignment horizontal="center"/>
    </xf>
    <xf numFmtId="174" fontId="49" fillId="0" borderId="30" xfId="201" applyFont="1" applyFill="1" applyBorder="1" applyAlignment="1">
      <alignment horizontal="center"/>
    </xf>
    <xf numFmtId="174" fontId="49" fillId="0" borderId="33" xfId="201" applyFont="1" applyFill="1" applyBorder="1" applyAlignment="1">
      <alignment horizontal="center"/>
    </xf>
    <xf numFmtId="174" fontId="49" fillId="0" borderId="33" xfId="201" applyFont="1" applyBorder="1" applyAlignment="1">
      <alignment horizontal="center"/>
    </xf>
    <xf numFmtId="174" fontId="49" fillId="0" borderId="10" xfId="201" applyFont="1" applyBorder="1" applyAlignment="1">
      <alignment horizontal="center"/>
    </xf>
    <xf numFmtId="174" fontId="49" fillId="0" borderId="11" xfId="201" applyFont="1" applyBorder="1" applyAlignment="1">
      <alignment horizontal="center"/>
    </xf>
    <xf numFmtId="43" fontId="49" fillId="17" borderId="10" xfId="59" applyFont="1" applyFill="1" applyBorder="1" applyAlignment="1">
      <alignment horizontal="center"/>
    </xf>
    <xf numFmtId="43" fontId="49" fillId="17" borderId="11" xfId="59" applyFont="1" applyFill="1" applyBorder="1" applyAlignment="1"/>
    <xf numFmtId="175" fontId="49" fillId="0" borderId="11" xfId="59" applyNumberFormat="1" applyFont="1" applyBorder="1" applyAlignment="1"/>
    <xf numFmtId="174" fontId="49" fillId="0" borderId="17" xfId="201" applyFont="1" applyFill="1" applyBorder="1" applyAlignment="1">
      <alignment horizontal="center"/>
    </xf>
    <xf numFmtId="0" fontId="49" fillId="0" borderId="0" xfId="210" applyFont="1"/>
    <xf numFmtId="0" fontId="49" fillId="0" borderId="0" xfId="0" applyNumberFormat="1" applyFont="1" applyFill="1" applyAlignment="1">
      <alignment horizontal="center" vertical="top"/>
    </xf>
    <xf numFmtId="174" fontId="56" fillId="0" borderId="19" xfId="0" applyFont="1" applyBorder="1" applyAlignment="1">
      <alignment horizontal="center"/>
    </xf>
    <xf numFmtId="0" fontId="49" fillId="17" borderId="19" xfId="0" applyNumberFormat="1" applyFont="1" applyFill="1" applyBorder="1" applyAlignment="1">
      <alignment horizontal="center"/>
    </xf>
    <xf numFmtId="0" fontId="49" fillId="17" borderId="19" xfId="0" applyNumberFormat="1" applyFont="1" applyFill="1" applyBorder="1" applyAlignment="1" applyProtection="1">
      <alignment horizontal="center"/>
      <protection locked="0"/>
    </xf>
    <xf numFmtId="174" fontId="49" fillId="17" borderId="11" xfId="0" applyFont="1" applyFill="1" applyBorder="1"/>
    <xf numFmtId="0" fontId="56" fillId="0" borderId="0" xfId="187" applyFont="1" applyFill="1" applyBorder="1" applyAlignment="1">
      <alignment horizontal="left"/>
    </xf>
    <xf numFmtId="176" fontId="49" fillId="0" borderId="25" xfId="102" applyNumberFormat="1" applyFont="1" applyFill="1" applyBorder="1" applyAlignment="1">
      <alignment horizontal="center"/>
    </xf>
    <xf numFmtId="0" fontId="49" fillId="17" borderId="19" xfId="187" applyFont="1" applyFill="1" applyBorder="1"/>
    <xf numFmtId="0" fontId="49" fillId="17" borderId="0" xfId="187" applyFont="1" applyFill="1" applyBorder="1"/>
    <xf numFmtId="175" fontId="49" fillId="17" borderId="0" xfId="79" applyNumberFormat="1" applyFont="1" applyFill="1" applyBorder="1" applyAlignment="1">
      <alignment horizontal="right"/>
    </xf>
    <xf numFmtId="175" fontId="49" fillId="17" borderId="25" xfId="79" applyNumberFormat="1" applyFont="1" applyFill="1" applyBorder="1" applyAlignment="1">
      <alignment horizontal="right"/>
    </xf>
    <xf numFmtId="175" fontId="80" fillId="0" borderId="0" xfId="187" applyNumberFormat="1" applyFont="1" applyFill="1" applyBorder="1"/>
    <xf numFmtId="175" fontId="49" fillId="17" borderId="0" xfId="79" applyNumberFormat="1" applyFont="1" applyFill="1" applyBorder="1"/>
    <xf numFmtId="43" fontId="49" fillId="17" borderId="0" xfId="59" applyFont="1" applyFill="1" applyBorder="1"/>
    <xf numFmtId="0" fontId="49" fillId="0" borderId="18" xfId="187" applyFont="1" applyFill="1" applyBorder="1"/>
    <xf numFmtId="175" fontId="56" fillId="0" borderId="35" xfId="79" applyNumberFormat="1" applyFont="1" applyFill="1" applyBorder="1"/>
    <xf numFmtId="0" fontId="49" fillId="17" borderId="24" xfId="187" applyFont="1" applyFill="1" applyBorder="1"/>
    <xf numFmtId="175" fontId="49" fillId="17" borderId="21" xfId="79" applyNumberFormat="1" applyFont="1" applyFill="1" applyBorder="1"/>
    <xf numFmtId="0" fontId="49" fillId="17" borderId="21" xfId="187" applyFont="1" applyFill="1" applyBorder="1"/>
    <xf numFmtId="175" fontId="49" fillId="17" borderId="20" xfId="79" applyNumberFormat="1" applyFont="1" applyFill="1" applyBorder="1"/>
    <xf numFmtId="0" fontId="56" fillId="17" borderId="19" xfId="187" applyFont="1" applyFill="1" applyBorder="1"/>
    <xf numFmtId="43" fontId="49" fillId="14" borderId="25" xfId="187" applyNumberFormat="1" applyFont="1" applyFill="1" applyBorder="1"/>
    <xf numFmtId="0" fontId="56" fillId="17" borderId="23" xfId="187" applyFont="1" applyFill="1" applyBorder="1"/>
    <xf numFmtId="175" fontId="49" fillId="17" borderId="8" xfId="79" applyNumberFormat="1" applyFont="1" applyFill="1" applyBorder="1"/>
    <xf numFmtId="0" fontId="49" fillId="17" borderId="8" xfId="187" applyFont="1" applyFill="1" applyBorder="1"/>
    <xf numFmtId="10" fontId="49" fillId="17" borderId="8" xfId="283" applyNumberFormat="1" applyFont="1" applyFill="1" applyBorder="1"/>
    <xf numFmtId="0" fontId="49" fillId="0" borderId="8" xfId="187" applyFont="1" applyFill="1" applyBorder="1" applyAlignment="1">
      <alignment horizontal="center" wrapText="1"/>
    </xf>
    <xf numFmtId="0" fontId="49" fillId="0" borderId="26" xfId="187" applyFont="1" applyFill="1" applyBorder="1" applyAlignment="1">
      <alignment horizontal="center" wrapText="1"/>
    </xf>
    <xf numFmtId="175" fontId="101" fillId="17" borderId="0" xfId="79" applyNumberFormat="1" applyFont="1" applyFill="1" applyBorder="1"/>
    <xf numFmtId="14" fontId="49" fillId="17" borderId="19" xfId="187" applyNumberFormat="1" applyFont="1" applyFill="1" applyBorder="1" applyAlignment="1">
      <alignment horizontal="center"/>
    </xf>
    <xf numFmtId="0" fontId="49" fillId="17" borderId="0" xfId="187" quotePrefix="1" applyFont="1" applyFill="1" applyBorder="1" applyAlignment="1">
      <alignment horizontal="center"/>
    </xf>
    <xf numFmtId="0" fontId="49" fillId="0" borderId="0" xfId="187" applyFont="1" applyAlignment="1">
      <alignment horizontal="left"/>
    </xf>
    <xf numFmtId="0" fontId="49" fillId="0" borderId="0" xfId="206" applyNumberFormat="1" applyFont="1" applyFill="1" applyAlignment="1">
      <alignment horizontal="left"/>
    </xf>
    <xf numFmtId="0" fontId="9" fillId="0" borderId="19" xfId="187" applyFont="1" applyFill="1" applyBorder="1" applyAlignment="1">
      <alignment horizontal="center"/>
    </xf>
    <xf numFmtId="49" fontId="9" fillId="0" borderId="0" xfId="187" applyNumberFormat="1" applyFont="1" applyFill="1" applyBorder="1" applyAlignment="1">
      <alignment horizontal="center"/>
    </xf>
    <xf numFmtId="0" fontId="9" fillId="0" borderId="0" xfId="187" applyFont="1" applyFill="1" applyBorder="1" applyAlignment="1"/>
    <xf numFmtId="174" fontId="0" fillId="0" borderId="0" xfId="0" applyFill="1" applyAlignment="1"/>
    <xf numFmtId="0" fontId="49" fillId="0" borderId="0" xfId="187" applyFont="1" applyBorder="1" applyAlignment="1">
      <alignment horizontal="center"/>
    </xf>
    <xf numFmtId="3" fontId="49" fillId="0" borderId="0" xfId="187" applyNumberFormat="1" applyFont="1" applyFill="1" applyBorder="1" applyAlignment="1"/>
    <xf numFmtId="174" fontId="56" fillId="0" borderId="1" xfId="201" applyFont="1" applyBorder="1" applyAlignment="1">
      <alignment horizontal="center" wrapText="1"/>
    </xf>
    <xf numFmtId="174" fontId="56" fillId="0" borderId="0" xfId="201" applyFont="1" applyFill="1" applyAlignment="1">
      <alignment horizontal="center" wrapText="1"/>
    </xf>
    <xf numFmtId="0" fontId="49" fillId="0" borderId="0" xfId="204" applyFont="1" applyBorder="1" applyAlignment="1"/>
    <xf numFmtId="0" fontId="49" fillId="0" borderId="0" xfId="204" applyFont="1" applyFill="1" applyBorder="1" applyAlignment="1">
      <alignment wrapText="1"/>
    </xf>
    <xf numFmtId="174" fontId="49" fillId="14" borderId="0" xfId="0" applyFont="1" applyFill="1" applyAlignment="1"/>
    <xf numFmtId="0" fontId="49" fillId="0" borderId="0" xfId="192" applyFont="1" applyFill="1" applyAlignment="1">
      <alignment horizontal="left" wrapText="1"/>
    </xf>
    <xf numFmtId="174" fontId="95" fillId="0" borderId="0" xfId="0" applyFont="1" applyFill="1" applyAlignment="1"/>
    <xf numFmtId="0" fontId="9" fillId="0" borderId="0" xfId="0" applyNumberFormat="1" applyFont="1" applyFill="1" applyAlignment="1">
      <alignment horizontal="center" vertical="center"/>
    </xf>
    <xf numFmtId="174" fontId="9" fillId="0" borderId="0" xfId="0" applyFont="1" applyFill="1" applyAlignment="1"/>
    <xf numFmtId="176" fontId="49" fillId="17" borderId="25" xfId="93" applyNumberFormat="1" applyFont="1" applyFill="1" applyBorder="1" applyProtection="1">
      <protection locked="0"/>
    </xf>
    <xf numFmtId="176" fontId="49" fillId="0" borderId="29" xfId="93" applyNumberFormat="1" applyFont="1" applyFill="1" applyBorder="1" applyProtection="1">
      <protection locked="0"/>
    </xf>
    <xf numFmtId="176" fontId="49" fillId="0" borderId="25" xfId="93" applyNumberFormat="1" applyFont="1" applyFill="1" applyBorder="1" applyProtection="1">
      <protection locked="0"/>
    </xf>
    <xf numFmtId="0" fontId="49" fillId="0" borderId="0" xfId="206" applyNumberFormat="1" applyFont="1" applyFill="1" applyAlignment="1">
      <alignment horizontal="center" wrapText="1"/>
    </xf>
    <xf numFmtId="174" fontId="49" fillId="0" borderId="0" xfId="201" applyFont="1" applyFill="1" applyBorder="1" applyAlignment="1">
      <alignment vertical="top"/>
    </xf>
    <xf numFmtId="174" fontId="9" fillId="0" borderId="0" xfId="201" applyFont="1" applyFill="1" applyBorder="1" applyAlignment="1">
      <alignment horizontal="left"/>
    </xf>
    <xf numFmtId="7" fontId="99" fillId="0" borderId="0" xfId="183" applyFont="1" applyFill="1" applyAlignment="1">
      <alignment horizontal="left"/>
    </xf>
    <xf numFmtId="0" fontId="49" fillId="0" borderId="0" xfId="188" applyNumberFormat="1" applyFont="1" applyFill="1" applyAlignment="1">
      <alignment vertical="top" wrapText="1"/>
    </xf>
    <xf numFmtId="174" fontId="49" fillId="0" borderId="0" xfId="0" applyFont="1" applyFill="1" applyAlignment="1">
      <alignment horizontal="left" vertical="center" wrapText="1"/>
    </xf>
    <xf numFmtId="174" fontId="49" fillId="0" borderId="0" xfId="0" applyFont="1" applyAlignment="1"/>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0" fontId="49" fillId="0" borderId="0" xfId="0" applyNumberFormat="1" applyFont="1" applyAlignment="1">
      <alignment horizontal="center"/>
    </xf>
    <xf numFmtId="175" fontId="49" fillId="14" borderId="0" xfId="59" applyNumberFormat="1" applyFont="1" applyFill="1"/>
    <xf numFmtId="175" fontId="49" fillId="14" borderId="0" xfId="59" applyNumberFormat="1" applyFont="1" applyFill="1" applyAlignment="1">
      <alignment horizontal="right"/>
    </xf>
    <xf numFmtId="175" fontId="49" fillId="0" borderId="3" xfId="93" applyNumberFormat="1" applyFont="1" applyBorder="1" applyAlignment="1">
      <alignment horizontal="right"/>
    </xf>
    <xf numFmtId="174" fontId="56" fillId="17" borderId="1" xfId="201" applyFont="1" applyFill="1" applyBorder="1" applyAlignment="1">
      <alignment horizontal="center" wrapText="1"/>
    </xf>
    <xf numFmtId="0" fontId="49" fillId="0" borderId="0" xfId="59" applyNumberFormat="1" applyFont="1" applyFill="1" applyBorder="1" applyAlignment="1">
      <alignment horizontal="center"/>
    </xf>
    <xf numFmtId="0" fontId="49" fillId="0" borderId="0" xfId="59" applyNumberFormat="1" applyFont="1" applyFill="1" applyBorder="1" applyAlignment="1" applyProtection="1">
      <alignment horizontal="center"/>
      <protection locked="0"/>
    </xf>
    <xf numFmtId="0" fontId="49" fillId="0" borderId="0" xfId="59" applyNumberFormat="1" applyFont="1" applyAlignment="1">
      <alignment horizontal="center"/>
    </xf>
    <xf numFmtId="176" fontId="49" fillId="17" borderId="10" xfId="93" applyNumberFormat="1" applyFont="1" applyFill="1" applyBorder="1"/>
    <xf numFmtId="174" fontId="49" fillId="0" borderId="30" xfId="0" applyFont="1" applyBorder="1" applyAlignment="1">
      <alignment horizontal="center"/>
    </xf>
    <xf numFmtId="174" fontId="49" fillId="0" borderId="10" xfId="0" applyFont="1" applyBorder="1" applyAlignment="1">
      <alignment horizontal="center"/>
    </xf>
    <xf numFmtId="174" fontId="49" fillId="0" borderId="12" xfId="0" applyFont="1" applyBorder="1" applyAlignment="1">
      <alignment horizontal="center"/>
    </xf>
    <xf numFmtId="174" fontId="102" fillId="0" borderId="15" xfId="201" applyFont="1" applyFill="1" applyBorder="1" applyAlignment="1">
      <alignment horizontal="center"/>
    </xf>
    <xf numFmtId="43" fontId="49" fillId="17" borderId="30" xfId="59" applyFont="1" applyFill="1" applyBorder="1"/>
    <xf numFmtId="43" fontId="49" fillId="0" borderId="33" xfId="59" applyFont="1" applyBorder="1"/>
    <xf numFmtId="43" fontId="49" fillId="0" borderId="12" xfId="59" applyFont="1" applyBorder="1"/>
    <xf numFmtId="43" fontId="49" fillId="17" borderId="31" xfId="59" applyFont="1" applyFill="1" applyBorder="1"/>
    <xf numFmtId="43" fontId="49" fillId="0" borderId="11" xfId="59" applyFont="1" applyBorder="1" applyAlignment="1">
      <alignment horizontal="center"/>
    </xf>
    <xf numFmtId="43" fontId="49" fillId="17" borderId="33" xfId="59" applyFont="1" applyFill="1" applyBorder="1" applyAlignment="1">
      <alignment horizontal="center"/>
    </xf>
    <xf numFmtId="43" fontId="49" fillId="17" borderId="10" xfId="59" applyFont="1" applyFill="1" applyBorder="1"/>
    <xf numFmtId="43" fontId="49" fillId="0" borderId="11" xfId="59" applyFont="1" applyBorder="1"/>
    <xf numFmtId="43" fontId="49" fillId="17" borderId="12" xfId="59" applyFont="1" applyFill="1" applyBorder="1"/>
    <xf numFmtId="43" fontId="49" fillId="17" borderId="11" xfId="59" applyFont="1" applyFill="1" applyBorder="1"/>
    <xf numFmtId="176" fontId="49" fillId="0" borderId="17" xfId="93" applyNumberFormat="1" applyFont="1" applyFill="1" applyBorder="1"/>
    <xf numFmtId="10" fontId="49" fillId="0" borderId="15" xfId="266" applyNumberFormat="1" applyFont="1" applyBorder="1"/>
    <xf numFmtId="43" fontId="49" fillId="0" borderId="0" xfId="59" applyFont="1"/>
    <xf numFmtId="43" fontId="49" fillId="17" borderId="0" xfId="59" applyFont="1" applyFill="1"/>
    <xf numFmtId="0" fontId="56" fillId="0" borderId="0" xfId="59" applyNumberFormat="1" applyFont="1" applyFill="1" applyBorder="1" applyAlignment="1">
      <alignment horizontal="left"/>
    </xf>
    <xf numFmtId="0" fontId="49" fillId="0" borderId="0" xfId="59" applyNumberFormat="1" applyFont="1" applyFill="1" applyAlignment="1">
      <alignment horizontal="center"/>
    </xf>
    <xf numFmtId="0" fontId="49" fillId="0" borderId="0" xfId="59" applyNumberFormat="1" applyFont="1" applyFill="1" applyAlignment="1">
      <alignment horizontal="center" vertical="top"/>
    </xf>
    <xf numFmtId="3" fontId="49" fillId="0" borderId="0" xfId="188" applyNumberFormat="1" applyFont="1" applyAlignment="1">
      <alignment horizontal="center" wrapText="1"/>
    </xf>
    <xf numFmtId="174" fontId="49" fillId="0" borderId="0" xfId="0" applyFont="1" applyFill="1" applyAlignment="1">
      <alignment vertical="center" wrapText="1"/>
    </xf>
    <xf numFmtId="174" fontId="49" fillId="0" borderId="0" xfId="0" applyFont="1" applyFill="1" applyAlignment="1">
      <alignment horizontal="left" vertical="center"/>
    </xf>
    <xf numFmtId="0" fontId="49" fillId="0" borderId="0" xfId="0" applyNumberFormat="1" applyFont="1" applyFill="1" applyBorder="1" applyAlignment="1">
      <alignment vertical="top"/>
    </xf>
    <xf numFmtId="174" fontId="49" fillId="0" borderId="0" xfId="0" applyFont="1" applyAlignment="1">
      <alignment horizontal="center" wrapText="1"/>
    </xf>
    <xf numFmtId="174" fontId="56" fillId="0" borderId="0" xfId="0" applyFont="1" applyAlignment="1"/>
    <xf numFmtId="174" fontId="56" fillId="0" borderId="0" xfId="211" applyFont="1" applyBorder="1" applyAlignment="1">
      <alignment horizontal="center" wrapText="1"/>
    </xf>
    <xf numFmtId="0" fontId="56" fillId="0" borderId="0" xfId="188" applyNumberFormat="1" applyFont="1" applyBorder="1" applyAlignment="1">
      <alignment horizontal="center" vertical="center" wrapText="1"/>
    </xf>
    <xf numFmtId="0" fontId="56" fillId="0" borderId="0" xfId="211" applyNumberFormat="1" applyFont="1" applyAlignment="1">
      <alignment horizontal="center" wrapText="1"/>
    </xf>
    <xf numFmtId="10" fontId="49" fillId="0" borderId="0" xfId="266" applyNumberFormat="1" applyFont="1" applyFill="1" applyAlignment="1"/>
    <xf numFmtId="43" fontId="16" fillId="0" borderId="0" xfId="59" applyFont="1" applyFill="1" applyAlignment="1"/>
    <xf numFmtId="174" fontId="49" fillId="19" borderId="0" xfId="0" applyFont="1" applyFill="1" applyAlignment="1">
      <alignment vertical="top" wrapText="1"/>
    </xf>
    <xf numFmtId="174" fontId="49" fillId="0" borderId="0" xfId="201" applyFont="1" applyFill="1" applyBorder="1" applyAlignment="1">
      <alignment horizontal="left"/>
    </xf>
    <xf numFmtId="174" fontId="49" fillId="0" borderId="0" xfId="0" applyFont="1" applyAlignment="1"/>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174" fontId="49" fillId="0" borderId="0" xfId="211" applyFont="1" applyAlignment="1">
      <alignment horizontal="center"/>
    </xf>
    <xf numFmtId="174" fontId="49" fillId="0" borderId="0" xfId="0" applyFont="1" applyAlignment="1"/>
    <xf numFmtId="174" fontId="49" fillId="0" borderId="0" xfId="0" applyFont="1" applyAlignment="1"/>
    <xf numFmtId="0" fontId="49" fillId="0" borderId="0" xfId="201" applyNumberFormat="1" applyFont="1" applyFill="1" applyBorder="1" applyAlignment="1" applyProtection="1">
      <alignment horizontal="center"/>
      <protection locked="0"/>
    </xf>
    <xf numFmtId="49" fontId="49" fillId="0" borderId="0" xfId="211" applyNumberFormat="1" applyFont="1" applyAlignment="1" applyProtection="1">
      <protection locked="0"/>
    </xf>
    <xf numFmtId="174" fontId="0" fillId="0" borderId="0" xfId="0" applyFill="1" applyBorder="1" applyAlignment="1"/>
    <xf numFmtId="3" fontId="49" fillId="0" borderId="8" xfId="188" applyNumberFormat="1" applyFont="1" applyFill="1" applyBorder="1" applyAlignment="1"/>
    <xf numFmtId="3" fontId="49" fillId="0" borderId="8" xfId="211" applyNumberFormat="1" applyFont="1" applyFill="1" applyBorder="1" applyAlignment="1">
      <alignment horizontal="center"/>
    </xf>
    <xf numFmtId="3" fontId="56" fillId="0" borderId="0" xfId="201" applyNumberFormat="1" applyFont="1" applyFill="1" applyBorder="1" applyAlignment="1">
      <alignment horizontal="center" wrapText="1"/>
    </xf>
    <xf numFmtId="174" fontId="56" fillId="0" borderId="22" xfId="201" applyFont="1" applyFill="1" applyBorder="1" applyAlignment="1">
      <alignment horizontal="center" wrapText="1"/>
    </xf>
    <xf numFmtId="174" fontId="56" fillId="0" borderId="6" xfId="201" applyFont="1" applyFill="1" applyBorder="1" applyAlignment="1"/>
    <xf numFmtId="174" fontId="56" fillId="0" borderId="6" xfId="201" applyFont="1" applyFill="1" applyBorder="1" applyAlignment="1">
      <alignment horizontal="center" wrapText="1"/>
    </xf>
    <xf numFmtId="174" fontId="49" fillId="17" borderId="0" xfId="201" applyFont="1" applyFill="1" applyBorder="1" applyAlignment="1"/>
    <xf numFmtId="174" fontId="56" fillId="0" borderId="24" xfId="201" applyFont="1" applyFill="1" applyBorder="1" applyAlignment="1">
      <alignment horizontal="center" wrapText="1"/>
    </xf>
    <xf numFmtId="174" fontId="56" fillId="0" borderId="21" xfId="201" applyFont="1" applyFill="1" applyBorder="1" applyAlignment="1"/>
    <xf numFmtId="0" fontId="56" fillId="0" borderId="21" xfId="201" applyNumberFormat="1" applyFont="1" applyFill="1" applyBorder="1" applyAlignment="1">
      <alignment horizontal="center" wrapText="1"/>
    </xf>
    <xf numFmtId="174" fontId="56" fillId="0" borderId="21" xfId="201" applyFont="1" applyFill="1" applyBorder="1" applyAlignment="1">
      <alignment horizontal="center" wrapText="1"/>
    </xf>
    <xf numFmtId="3" fontId="56" fillId="0" borderId="21" xfId="201" applyNumberFormat="1" applyFont="1" applyFill="1" applyBorder="1" applyAlignment="1">
      <alignment horizontal="center" wrapText="1"/>
    </xf>
    <xf numFmtId="3" fontId="56" fillId="0" borderId="20" xfId="201" applyNumberFormat="1" applyFont="1" applyFill="1" applyBorder="1" applyAlignment="1">
      <alignment horizontal="center" wrapText="1"/>
    </xf>
    <xf numFmtId="174" fontId="49" fillId="0" borderId="19" xfId="201" applyFont="1" applyFill="1" applyBorder="1" applyAlignment="1">
      <alignment horizontal="center"/>
    </xf>
    <xf numFmtId="174" fontId="49" fillId="0" borderId="23" xfId="201" applyFont="1" applyFill="1" applyBorder="1" applyAlignment="1">
      <alignment horizontal="center"/>
    </xf>
    <xf numFmtId="174" fontId="49" fillId="17" borderId="8" xfId="201" applyFont="1" applyFill="1" applyBorder="1" applyAlignment="1"/>
    <xf numFmtId="3" fontId="49" fillId="0" borderId="0" xfId="211" quotePrefix="1" applyNumberFormat="1" applyFont="1" applyFill="1" applyAlignment="1">
      <alignment horizontal="left"/>
    </xf>
    <xf numFmtId="0" fontId="49" fillId="0" borderId="0" xfId="201" applyNumberFormat="1" applyFont="1" applyFill="1" applyBorder="1" applyAlignment="1">
      <alignment horizontal="center" wrapText="1"/>
    </xf>
    <xf numFmtId="174" fontId="49" fillId="0" borderId="0" xfId="201" applyFont="1" applyFill="1" applyBorder="1" applyAlignment="1">
      <alignment horizontal="center" wrapText="1"/>
    </xf>
    <xf numFmtId="0" fontId="49" fillId="0" borderId="0" xfId="201" applyNumberFormat="1" applyFont="1" applyFill="1" applyBorder="1" applyAlignment="1">
      <alignment horizontal="left" wrapText="1"/>
    </xf>
    <xf numFmtId="43" fontId="49" fillId="0" borderId="0" xfId="59" applyFont="1" applyBorder="1" applyAlignment="1"/>
    <xf numFmtId="174" fontId="49" fillId="0" borderId="0" xfId="0" applyFont="1" applyFill="1" applyBorder="1" applyAlignment="1">
      <alignment horizontal="left"/>
    </xf>
    <xf numFmtId="43" fontId="49" fillId="17" borderId="0" xfId="59" applyFont="1" applyFill="1" applyBorder="1" applyAlignment="1"/>
    <xf numFmtId="174" fontId="49" fillId="0" borderId="24" xfId="201" applyFont="1" applyFill="1" applyBorder="1" applyAlignment="1">
      <alignment horizontal="center"/>
    </xf>
    <xf numFmtId="174" fontId="49" fillId="0" borderId="21" xfId="201" applyFont="1" applyFill="1" applyBorder="1" applyAlignment="1"/>
    <xf numFmtId="174" fontId="49" fillId="17" borderId="21" xfId="201" applyFont="1" applyFill="1" applyBorder="1" applyAlignment="1"/>
    <xf numFmtId="175" fontId="49" fillId="0" borderId="21" xfId="59" applyNumberFormat="1" applyFont="1" applyFill="1" applyBorder="1" applyAlignment="1"/>
    <xf numFmtId="43" fontId="49" fillId="0" borderId="21" xfId="59" applyFont="1" applyFill="1" applyBorder="1" applyAlignment="1"/>
    <xf numFmtId="43" fontId="49" fillId="17" borderId="21" xfId="59" applyFont="1" applyFill="1" applyBorder="1" applyAlignment="1"/>
    <xf numFmtId="43" fontId="49" fillId="0" borderId="8" xfId="59" applyFont="1" applyFill="1" applyBorder="1" applyAlignment="1"/>
    <xf numFmtId="43" fontId="49" fillId="17" borderId="8" xfId="59" applyFont="1" applyFill="1" applyBorder="1" applyAlignment="1"/>
    <xf numFmtId="43" fontId="49" fillId="14" borderId="0" xfId="59" applyFont="1" applyFill="1" applyBorder="1" applyAlignment="1"/>
    <xf numFmtId="3" fontId="49" fillId="0" borderId="0" xfId="201" applyNumberFormat="1" applyFont="1" applyFill="1" applyBorder="1" applyAlignment="1">
      <alignment horizontal="center" wrapText="1"/>
    </xf>
    <xf numFmtId="174" fontId="78" fillId="0" borderId="0" xfId="201" applyFont="1" applyFill="1" applyBorder="1" applyAlignment="1"/>
    <xf numFmtId="0" fontId="49" fillId="0" borderId="1" xfId="201" applyNumberFormat="1" applyFont="1" applyFill="1" applyBorder="1"/>
    <xf numFmtId="0" fontId="49" fillId="0" borderId="1" xfId="201" applyNumberFormat="1" applyFont="1" applyFill="1" applyBorder="1" applyAlignment="1">
      <alignment horizontal="center"/>
    </xf>
    <xf numFmtId="0" fontId="49" fillId="0" borderId="37" xfId="201" applyNumberFormat="1" applyFont="1" applyFill="1" applyBorder="1"/>
    <xf numFmtId="0" fontId="49" fillId="0" borderId="19" xfId="201" applyNumberFormat="1" applyFont="1" applyFill="1" applyBorder="1"/>
    <xf numFmtId="174" fontId="49" fillId="0" borderId="23" xfId="201" applyFont="1" applyFill="1" applyBorder="1" applyAlignment="1"/>
    <xf numFmtId="0" fontId="49" fillId="0" borderId="25" xfId="201" applyNumberFormat="1" applyFont="1" applyFill="1" applyBorder="1"/>
    <xf numFmtId="174" fontId="49" fillId="0" borderId="19" xfId="209" applyFont="1" applyFill="1" applyBorder="1" applyAlignment="1"/>
    <xf numFmtId="43" fontId="49" fillId="0" borderId="25" xfId="59" applyFont="1" applyFill="1" applyBorder="1" applyAlignment="1"/>
    <xf numFmtId="174" fontId="78" fillId="0" borderId="8" xfId="201" applyFont="1" applyFill="1" applyBorder="1" applyAlignment="1"/>
    <xf numFmtId="174" fontId="78" fillId="0" borderId="26" xfId="201" applyFont="1" applyFill="1" applyBorder="1" applyAlignment="1"/>
    <xf numFmtId="0" fontId="49" fillId="0" borderId="29" xfId="201" applyNumberFormat="1" applyFont="1" applyFill="1" applyBorder="1" applyAlignment="1">
      <alignment horizontal="center"/>
    </xf>
    <xf numFmtId="174" fontId="56" fillId="0" borderId="36" xfId="201" applyFont="1" applyFill="1" applyBorder="1" applyAlignment="1">
      <alignment horizontal="center" wrapText="1"/>
    </xf>
    <xf numFmtId="175" fontId="49" fillId="0" borderId="25" xfId="59" applyNumberFormat="1" applyFont="1" applyFill="1" applyBorder="1" applyAlignment="1"/>
    <xf numFmtId="175" fontId="49" fillId="0" borderId="0" xfId="0" applyNumberFormat="1" applyFont="1" applyFill="1" applyBorder="1" applyAlignment="1"/>
    <xf numFmtId="174" fontId="49" fillId="0" borderId="21" xfId="0" applyFont="1" applyBorder="1" applyAlignment="1"/>
    <xf numFmtId="175" fontId="49" fillId="0" borderId="21" xfId="59" applyNumberFormat="1" applyFont="1" applyBorder="1" applyAlignment="1"/>
    <xf numFmtId="174" fontId="49" fillId="17" borderId="0" xfId="0" applyFont="1" applyFill="1" applyBorder="1" applyAlignment="1"/>
    <xf numFmtId="175" fontId="49" fillId="0" borderId="20" xfId="59" applyNumberFormat="1" applyFont="1" applyBorder="1" applyAlignment="1"/>
    <xf numFmtId="175" fontId="49" fillId="0" borderId="25" xfId="59" applyNumberFormat="1" applyFont="1" applyBorder="1" applyAlignment="1"/>
    <xf numFmtId="175" fontId="49" fillId="0" borderId="26" xfId="59" applyNumberFormat="1" applyFont="1" applyBorder="1" applyAlignment="1"/>
    <xf numFmtId="175" fontId="49" fillId="17" borderId="21" xfId="59" applyNumberFormat="1" applyFont="1" applyFill="1" applyBorder="1" applyAlignment="1"/>
    <xf numFmtId="175" fontId="81" fillId="0" borderId="0" xfId="59" applyNumberFormat="1" applyFont="1" applyFill="1" applyBorder="1"/>
    <xf numFmtId="43" fontId="49" fillId="0" borderId="0" xfId="59" applyNumberFormat="1" applyFont="1" applyFill="1" applyBorder="1" applyAlignment="1"/>
    <xf numFmtId="279" fontId="83" fillId="0" borderId="0" xfId="59" applyNumberFormat="1" applyFont="1" applyFill="1" applyBorder="1" applyAlignment="1"/>
    <xf numFmtId="187" fontId="56" fillId="0" borderId="0" xfId="59" applyNumberFormat="1" applyFont="1" applyFill="1" applyBorder="1" applyAlignment="1"/>
    <xf numFmtId="175" fontId="49" fillId="19" borderId="0" xfId="59" applyNumberFormat="1" applyFont="1" applyFill="1" applyBorder="1" applyAlignment="1"/>
    <xf numFmtId="10" fontId="49" fillId="17" borderId="34" xfId="266" applyNumberFormat="1" applyFont="1" applyFill="1" applyBorder="1"/>
    <xf numFmtId="175" fontId="49" fillId="0" borderId="0" xfId="79" applyNumberFormat="1" applyFont="1" applyFill="1"/>
    <xf numFmtId="0" fontId="49" fillId="0" borderId="0" xfId="211" quotePrefix="1" applyNumberFormat="1" applyFont="1" applyFill="1" applyProtection="1">
      <protection locked="0"/>
    </xf>
    <xf numFmtId="174" fontId="49" fillId="0" borderId="0" xfId="0" applyFont="1" applyAlignment="1"/>
    <xf numFmtId="174" fontId="49" fillId="0" borderId="0" xfId="201" applyFont="1" applyFill="1" applyBorder="1" applyAlignment="1"/>
    <xf numFmtId="175" fontId="49" fillId="0" borderId="0" xfId="59" applyNumberFormat="1" applyFont="1" applyFill="1" applyBorder="1" applyAlignment="1"/>
    <xf numFmtId="174" fontId="49" fillId="0" borderId="0" xfId="201" applyFont="1" applyFill="1" applyBorder="1" applyAlignment="1">
      <alignment horizontal="center"/>
    </xf>
    <xf numFmtId="0" fontId="49" fillId="0" borderId="0" xfId="211" applyNumberFormat="1" applyFont="1" applyFill="1" applyProtection="1">
      <protection locked="0"/>
    </xf>
    <xf numFmtId="0" fontId="49" fillId="0" borderId="0" xfId="187" applyFont="1" applyFill="1"/>
    <xf numFmtId="0" fontId="49" fillId="0" borderId="0" xfId="187" applyFont="1" applyFill="1" applyBorder="1"/>
    <xf numFmtId="0" fontId="49" fillId="0" borderId="0" xfId="187" applyFont="1" applyFill="1" applyAlignment="1">
      <alignment horizontal="left"/>
    </xf>
    <xf numFmtId="0" fontId="49" fillId="0" borderId="0" xfId="187" applyFont="1"/>
    <xf numFmtId="0" fontId="49" fillId="0" borderId="0" xfId="187" applyFont="1" applyFill="1" applyAlignment="1">
      <alignment horizontal="center" wrapText="1"/>
    </xf>
    <xf numFmtId="175" fontId="49" fillId="0" borderId="0" xfId="59" applyNumberFormat="1" applyFont="1" applyFill="1"/>
    <xf numFmtId="0" fontId="105" fillId="0" borderId="0" xfId="187" applyFont="1" applyFill="1"/>
    <xf numFmtId="0" fontId="49" fillId="0" borderId="0" xfId="187" applyFont="1" applyFill="1" applyAlignment="1">
      <alignment horizontal="right"/>
    </xf>
    <xf numFmtId="174" fontId="49" fillId="0" borderId="30" xfId="0" applyFont="1" applyBorder="1" applyAlignment="1">
      <alignment horizontal="center"/>
    </xf>
    <xf numFmtId="174" fontId="49" fillId="0" borderId="31" xfId="0" applyFont="1" applyBorder="1" applyAlignment="1">
      <alignment horizontal="center"/>
    </xf>
    <xf numFmtId="174" fontId="49" fillId="0" borderId="0" xfId="0" applyFont="1" applyAlignment="1"/>
    <xf numFmtId="178" fontId="99" fillId="0" borderId="0" xfId="59" applyNumberFormat="1" applyFont="1" applyFill="1" applyAlignment="1">
      <alignment horizontal="left"/>
    </xf>
    <xf numFmtId="178" fontId="98" fillId="0" borderId="0" xfId="59" applyNumberFormat="1" applyFont="1" applyFill="1" applyAlignment="1">
      <alignment horizontal="left"/>
    </xf>
    <xf numFmtId="174" fontId="49" fillId="0" borderId="10" xfId="0" applyFont="1" applyFill="1" applyBorder="1" applyAlignment="1">
      <alignment horizontal="center"/>
    </xf>
    <xf numFmtId="43" fontId="49" fillId="0" borderId="10" xfId="59" applyFont="1" applyFill="1" applyBorder="1"/>
    <xf numFmtId="174" fontId="49" fillId="0" borderId="0" xfId="0" applyFont="1" applyFill="1" applyBorder="1" applyAlignment="1">
      <alignment horizontal="center"/>
    </xf>
    <xf numFmtId="43" fontId="49" fillId="0" borderId="0" xfId="59" applyFont="1" applyFill="1" applyBorder="1"/>
    <xf numFmtId="174" fontId="49" fillId="0" borderId="0" xfId="0" applyFont="1" applyBorder="1" applyAlignment="1">
      <alignment horizontal="center"/>
    </xf>
    <xf numFmtId="43" fontId="49" fillId="17" borderId="0" xfId="59" applyFont="1" applyFill="1" applyBorder="1" applyAlignment="1">
      <alignment horizontal="center"/>
    </xf>
    <xf numFmtId="174" fontId="49" fillId="0" borderId="12" xfId="0" applyFont="1" applyBorder="1" applyAlignment="1"/>
    <xf numFmtId="174" fontId="49" fillId="17" borderId="12" xfId="0" applyFont="1" applyFill="1" applyBorder="1" applyAlignment="1"/>
    <xf numFmtId="10" fontId="49" fillId="0" borderId="1" xfId="266" applyNumberFormat="1" applyFont="1" applyFill="1" applyBorder="1"/>
    <xf numFmtId="174" fontId="49" fillId="0" borderId="1" xfId="0" applyFont="1" applyBorder="1" applyAlignment="1"/>
    <xf numFmtId="174" fontId="49" fillId="0" borderId="32" xfId="0" applyFont="1" applyBorder="1" applyAlignment="1"/>
    <xf numFmtId="174" fontId="49" fillId="0" borderId="16" xfId="0" applyFont="1" applyFill="1" applyBorder="1" applyAlignment="1">
      <alignment horizontal="center"/>
    </xf>
    <xf numFmtId="174" fontId="49" fillId="0" borderId="7" xfId="0" applyFont="1" applyFill="1" applyBorder="1" applyAlignment="1">
      <alignment horizontal="center"/>
    </xf>
    <xf numFmtId="174" fontId="49" fillId="0" borderId="7" xfId="0" applyFont="1" applyBorder="1" applyAlignment="1">
      <alignment horizontal="center"/>
    </xf>
    <xf numFmtId="174" fontId="49" fillId="0" borderId="38" xfId="0" applyFont="1" applyBorder="1" applyAlignment="1">
      <alignment horizontal="center"/>
    </xf>
    <xf numFmtId="174" fontId="49" fillId="0" borderId="10" xfId="0" applyFont="1" applyBorder="1" applyAlignment="1"/>
    <xf numFmtId="43" fontId="49" fillId="0" borderId="10" xfId="59" applyFont="1" applyBorder="1" applyAlignment="1"/>
    <xf numFmtId="43" fontId="49" fillId="0" borderId="17" xfId="59" applyFont="1" applyBorder="1" applyAlignment="1"/>
    <xf numFmtId="174" fontId="49" fillId="0" borderId="30" xfId="0" applyFont="1" applyBorder="1" applyAlignment="1"/>
    <xf numFmtId="174" fontId="49" fillId="0" borderId="33" xfId="0" applyFont="1" applyBorder="1" applyAlignment="1"/>
    <xf numFmtId="174" fontId="49" fillId="0" borderId="11" xfId="0" applyFont="1" applyBorder="1" applyAlignment="1"/>
    <xf numFmtId="174" fontId="49" fillId="0" borderId="15" xfId="0" applyFont="1" applyBorder="1" applyAlignment="1"/>
    <xf numFmtId="43" fontId="39" fillId="0" borderId="8" xfId="59" applyFont="1" applyBorder="1" applyAlignment="1"/>
    <xf numFmtId="43" fontId="49" fillId="14" borderId="0" xfId="59" applyFont="1" applyFill="1" applyBorder="1" applyAlignment="1">
      <alignment horizontal="right"/>
    </xf>
    <xf numFmtId="0" fontId="49" fillId="0" borderId="0" xfId="187" applyFont="1" applyFill="1" applyBorder="1" applyAlignment="1">
      <alignment horizontal="left"/>
    </xf>
    <xf numFmtId="175" fontId="49" fillId="17" borderId="25" xfId="79" applyNumberFormat="1" applyFont="1" applyFill="1" applyBorder="1"/>
    <xf numFmtId="43" fontId="49" fillId="17" borderId="25" xfId="59" applyFont="1" applyFill="1" applyBorder="1"/>
    <xf numFmtId="175" fontId="49" fillId="17" borderId="0" xfId="77" applyNumberFormat="1" applyFont="1" applyFill="1" applyBorder="1"/>
    <xf numFmtId="43" fontId="49" fillId="17" borderId="0" xfId="79" applyNumberFormat="1" applyFont="1" applyFill="1" applyBorder="1" applyAlignment="1">
      <alignment horizontal="right"/>
    </xf>
    <xf numFmtId="175" fontId="49" fillId="0" borderId="14" xfId="59" applyNumberFormat="1" applyFont="1" applyBorder="1"/>
    <xf numFmtId="175" fontId="49" fillId="17" borderId="0" xfId="59" applyNumberFormat="1" applyFont="1" applyFill="1" applyAlignment="1"/>
    <xf numFmtId="0" fontId="56" fillId="0" borderId="0" xfId="212" applyFont="1" applyAlignment="1">
      <alignment horizontal="center"/>
    </xf>
    <xf numFmtId="0" fontId="49" fillId="0" borderId="0" xfId="0" applyNumberFormat="1" applyFont="1" applyAlignment="1">
      <alignment horizontal="center"/>
    </xf>
    <xf numFmtId="174" fontId="49" fillId="0" borderId="17" xfId="0" applyFont="1" applyBorder="1" applyAlignment="1">
      <alignment horizontal="center"/>
    </xf>
    <xf numFmtId="174" fontId="49" fillId="0" borderId="32" xfId="0" applyFont="1" applyBorder="1" applyAlignment="1">
      <alignment horizontal="center"/>
    </xf>
    <xf numFmtId="174" fontId="49" fillId="0" borderId="0" xfId="0" applyFont="1" applyFill="1" applyBorder="1" applyAlignment="1">
      <alignment horizontal="center"/>
    </xf>
    <xf numFmtId="174" fontId="49" fillId="0" borderId="17" xfId="0" applyFont="1" applyBorder="1" applyAlignment="1"/>
    <xf numFmtId="182" fontId="49" fillId="0" borderId="0" xfId="266" applyNumberFormat="1" applyFont="1" applyFill="1" applyAlignment="1" applyProtection="1">
      <alignment horizontal="center"/>
      <protection locked="0"/>
    </xf>
    <xf numFmtId="0" fontId="56" fillId="0" borderId="0" xfId="212" applyFont="1" applyAlignment="1">
      <alignment horizontal="left"/>
    </xf>
    <xf numFmtId="0" fontId="56" fillId="0" borderId="0" xfId="212" applyFont="1" applyFill="1" applyBorder="1" applyAlignment="1">
      <alignment horizontal="center"/>
    </xf>
    <xf numFmtId="174" fontId="56" fillId="0" borderId="0" xfId="0" applyFont="1" applyFill="1" applyBorder="1" applyAlignment="1">
      <alignment horizontal="center"/>
    </xf>
    <xf numFmtId="0" fontId="56" fillId="0" borderId="0" xfId="212" applyFont="1" applyFill="1" applyBorder="1" applyAlignment="1">
      <alignment horizontal="center" wrapText="1"/>
    </xf>
    <xf numFmtId="0" fontId="49" fillId="0" borderId="0" xfId="212" applyFont="1" applyFill="1" applyBorder="1" applyAlignment="1">
      <alignment horizontal="center" wrapText="1"/>
    </xf>
    <xf numFmtId="3" fontId="49" fillId="0" borderId="0" xfId="188" applyNumberFormat="1" applyFont="1" applyFill="1" applyBorder="1" applyAlignment="1">
      <alignment wrapText="1"/>
    </xf>
    <xf numFmtId="41" fontId="49" fillId="0" borderId="0" xfId="212" applyNumberFormat="1" applyFont="1" applyFill="1" applyBorder="1"/>
    <xf numFmtId="174" fontId="49" fillId="0" borderId="17" xfId="0" applyFont="1" applyFill="1" applyBorder="1" applyAlignment="1">
      <alignment horizontal="center"/>
    </xf>
    <xf numFmtId="174" fontId="49" fillId="0" borderId="1" xfId="0" applyFont="1" applyFill="1" applyBorder="1" applyAlignment="1">
      <alignment horizontal="center"/>
    </xf>
    <xf numFmtId="174" fontId="102" fillId="0" borderId="1" xfId="201" applyFont="1" applyFill="1" applyBorder="1" applyAlignment="1">
      <alignment horizontal="center"/>
    </xf>
    <xf numFmtId="174" fontId="49" fillId="0" borderId="1" xfId="0" applyFont="1" applyBorder="1" applyAlignment="1">
      <alignment horizontal="center"/>
    </xf>
    <xf numFmtId="280" fontId="49" fillId="0" borderId="11" xfId="59" applyNumberFormat="1" applyFont="1" applyBorder="1" applyAlignment="1"/>
    <xf numFmtId="43" fontId="49" fillId="0" borderId="0" xfId="59" applyFont="1" applyFill="1" applyAlignment="1" applyProtection="1">
      <alignment vertical="top"/>
      <protection locked="0"/>
    </xf>
    <xf numFmtId="0" fontId="49" fillId="0" borderId="0" xfId="211" applyNumberFormat="1" applyFont="1" applyAlignment="1" applyProtection="1">
      <alignment horizontal="center" wrapText="1"/>
      <protection locked="0"/>
    </xf>
    <xf numFmtId="175" fontId="49" fillId="0" borderId="0" xfId="59" applyNumberFormat="1" applyFont="1" applyAlignment="1">
      <alignment horizontal="center"/>
    </xf>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0" fontId="49" fillId="0" borderId="0" xfId="0" applyNumberFormat="1" applyFont="1" applyAlignment="1">
      <alignment horizontal="center"/>
    </xf>
    <xf numFmtId="10" fontId="49" fillId="0" borderId="0" xfId="266" applyNumberFormat="1" applyFont="1" applyFill="1" applyAlignment="1">
      <alignment horizontal="center"/>
    </xf>
    <xf numFmtId="3" fontId="49"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49" fillId="0" borderId="0" xfId="187" applyFont="1" applyAlignment="1">
      <alignment horizontal="right"/>
    </xf>
    <xf numFmtId="0" fontId="49" fillId="0" borderId="0" xfId="201" applyNumberFormat="1" applyFont="1" applyFill="1" applyBorder="1" applyAlignment="1" applyProtection="1">
      <alignment horizontal="right"/>
      <protection locked="0"/>
    </xf>
    <xf numFmtId="7" fontId="97" fillId="0" borderId="0" xfId="183" applyFont="1"/>
    <xf numFmtId="2" fontId="99" fillId="0" borderId="0" xfId="0" applyNumberFormat="1" applyFont="1" applyAlignment="1">
      <alignment horizontal="center"/>
    </xf>
    <xf numFmtId="174" fontId="49" fillId="0" borderId="30" xfId="0" applyFont="1" applyBorder="1" applyAlignment="1">
      <alignment horizontal="center"/>
    </xf>
    <xf numFmtId="0" fontId="49" fillId="0" borderId="0" xfId="211" applyNumberFormat="1" applyFont="1" applyFill="1" applyAlignment="1">
      <alignment horizontal="center"/>
    </xf>
    <xf numFmtId="174" fontId="49" fillId="0" borderId="0" xfId="0" applyFont="1" applyAlignment="1">
      <alignment horizontal="center"/>
    </xf>
    <xf numFmtId="175" fontId="49" fillId="0" borderId="0" xfId="59" applyNumberFormat="1" applyFont="1" applyAlignment="1">
      <alignment horizontal="left"/>
    </xf>
    <xf numFmtId="186" fontId="49" fillId="0" borderId="0" xfId="59" applyNumberFormat="1" applyFont="1" applyFill="1" applyAlignment="1" applyProtection="1">
      <alignment horizontal="center"/>
      <protection locked="0"/>
    </xf>
    <xf numFmtId="0" fontId="49" fillId="0" borderId="0" xfId="184" applyFont="1" applyFill="1" applyAlignment="1"/>
    <xf numFmtId="0" fontId="49" fillId="0" borderId="0" xfId="184" applyFont="1"/>
    <xf numFmtId="0" fontId="56" fillId="0" borderId="0" xfId="184" applyFont="1" applyFill="1" applyAlignment="1"/>
    <xf numFmtId="0" fontId="49" fillId="0" borderId="0" xfId="184" applyFont="1" applyFill="1" applyAlignment="1">
      <alignment horizontal="center"/>
    </xf>
    <xf numFmtId="0" fontId="49" fillId="0" borderId="0" xfId="184" applyFont="1" applyAlignment="1">
      <alignment horizontal="center"/>
    </xf>
    <xf numFmtId="49" fontId="49" fillId="0" borderId="0" xfId="184" quotePrefix="1" applyNumberFormat="1" applyFont="1" applyAlignment="1">
      <alignment horizontal="center"/>
    </xf>
    <xf numFmtId="0" fontId="49" fillId="0" borderId="1" xfId="184" applyFont="1" applyFill="1" applyBorder="1" applyAlignment="1">
      <alignment horizontal="center" vertical="top"/>
    </xf>
    <xf numFmtId="0" fontId="49" fillId="0" borderId="1" xfId="184" applyFont="1" applyFill="1" applyBorder="1" applyAlignment="1">
      <alignment horizontal="center" vertical="top" wrapText="1"/>
    </xf>
    <xf numFmtId="0" fontId="49" fillId="0" borderId="0" xfId="184" applyFont="1" applyAlignment="1">
      <alignment horizontal="left"/>
    </xf>
    <xf numFmtId="0" fontId="49" fillId="0" borderId="0" xfId="184" applyFont="1" applyFill="1"/>
    <xf numFmtId="0" fontId="49" fillId="0" borderId="0" xfId="184" applyFont="1" applyFill="1" applyAlignment="1">
      <alignment horizontal="right"/>
    </xf>
    <xf numFmtId="0" fontId="49" fillId="0" borderId="0" xfId="184" applyFont="1" applyFill="1" applyAlignment="1">
      <alignment horizontal="left"/>
    </xf>
    <xf numFmtId="43" fontId="49" fillId="0" borderId="0" xfId="184" applyNumberFormat="1" applyFont="1"/>
    <xf numFmtId="43" fontId="49" fillId="0" borderId="0" xfId="184" applyNumberFormat="1" applyFont="1" applyFill="1"/>
    <xf numFmtId="9" fontId="49" fillId="0" borderId="0" xfId="184" applyNumberFormat="1" applyFont="1" applyFill="1" applyAlignment="1">
      <alignment horizontal="left"/>
    </xf>
    <xf numFmtId="175" fontId="49" fillId="0" borderId="0" xfId="184" applyNumberFormat="1" applyFont="1" applyFill="1"/>
    <xf numFmtId="175" fontId="49" fillId="0" borderId="0" xfId="184" applyNumberFormat="1" applyFont="1"/>
    <xf numFmtId="0" fontId="49" fillId="0" borderId="0" xfId="184" applyFont="1" applyFill="1" applyBorder="1"/>
    <xf numFmtId="0" fontId="49" fillId="0" borderId="0" xfId="184" applyFont="1" applyBorder="1"/>
    <xf numFmtId="41" fontId="49" fillId="0" borderId="0" xfId="184" applyNumberFormat="1" applyFont="1" applyFill="1" applyBorder="1" applyAlignment="1">
      <alignment horizontal="center"/>
    </xf>
    <xf numFmtId="41" fontId="56" fillId="0" borderId="0" xfId="184" applyNumberFormat="1" applyFont="1" applyBorder="1" applyAlignment="1">
      <alignment horizontal="center"/>
    </xf>
    <xf numFmtId="0" fontId="49" fillId="0" borderId="0" xfId="184" applyFont="1" applyFill="1" applyBorder="1" applyAlignment="1">
      <alignment horizontal="left"/>
    </xf>
    <xf numFmtId="0" fontId="49" fillId="0" borderId="0" xfId="184" applyFont="1" applyFill="1" applyBorder="1" applyAlignment="1">
      <alignment horizontal="center"/>
    </xf>
    <xf numFmtId="10" fontId="49" fillId="0" borderId="0" xfId="184" applyNumberFormat="1" applyFont="1"/>
    <xf numFmtId="0" fontId="9" fillId="0" borderId="0" xfId="184" applyFont="1"/>
    <xf numFmtId="0" fontId="102" fillId="0" borderId="0" xfId="184" applyFont="1" applyFill="1"/>
    <xf numFmtId="0" fontId="102" fillId="0" borderId="0" xfId="184" applyFont="1" applyFill="1" applyAlignment="1">
      <alignment horizontal="left"/>
    </xf>
    <xf numFmtId="0" fontId="9" fillId="0" borderId="0" xfId="184" applyFont="1" applyFill="1"/>
    <xf numFmtId="0" fontId="9" fillId="0" borderId="0" xfId="184" applyFont="1" applyFill="1" applyAlignment="1"/>
    <xf numFmtId="0" fontId="9" fillId="0" borderId="0" xfId="184" applyFont="1" applyFill="1" applyAlignment="1">
      <alignment horizontal="center"/>
    </xf>
    <xf numFmtId="0" fontId="102" fillId="0" borderId="0" xfId="184" applyFont="1"/>
    <xf numFmtId="0" fontId="102" fillId="0" borderId="0" xfId="184" applyFont="1" applyFill="1" applyAlignment="1">
      <alignment horizontal="center"/>
    </xf>
    <xf numFmtId="0" fontId="9" fillId="0" borderId="0" xfId="184" applyFont="1" applyAlignment="1">
      <alignment horizontal="center"/>
    </xf>
    <xf numFmtId="0" fontId="102" fillId="0" borderId="1" xfId="184" applyFont="1" applyFill="1" applyBorder="1" applyAlignment="1">
      <alignment horizontal="right" vertical="top"/>
    </xf>
    <xf numFmtId="0" fontId="102" fillId="0" borderId="1" xfId="184" applyFont="1" applyFill="1" applyBorder="1" applyAlignment="1">
      <alignment horizontal="center" vertical="top" wrapText="1"/>
    </xf>
    <xf numFmtId="0" fontId="102" fillId="0" borderId="0" xfId="184" applyFont="1" applyAlignment="1">
      <alignment horizontal="left"/>
    </xf>
    <xf numFmtId="43" fontId="9" fillId="0" borderId="0" xfId="59" applyFont="1" applyFill="1" applyAlignment="1"/>
    <xf numFmtId="0" fontId="102" fillId="0" borderId="0" xfId="184" applyFont="1" applyFill="1" applyAlignment="1">
      <alignment horizontal="right"/>
    </xf>
    <xf numFmtId="10" fontId="102" fillId="0" borderId="0" xfId="266" applyNumberFormat="1" applyFont="1" applyFill="1"/>
    <xf numFmtId="43" fontId="102" fillId="0" borderId="0" xfId="59" applyFont="1" applyFill="1"/>
    <xf numFmtId="43" fontId="102" fillId="0" borderId="0" xfId="184" applyNumberFormat="1" applyFont="1" applyFill="1"/>
    <xf numFmtId="175" fontId="9" fillId="0" borderId="0" xfId="59" applyNumberFormat="1" applyFont="1" applyFill="1"/>
    <xf numFmtId="175" fontId="9" fillId="0" borderId="0" xfId="184" applyNumberFormat="1" applyFont="1"/>
    <xf numFmtId="43" fontId="102" fillId="17" borderId="0" xfId="59" applyFont="1" applyFill="1"/>
    <xf numFmtId="175" fontId="9" fillId="17" borderId="0" xfId="59" applyNumberFormat="1" applyFont="1" applyFill="1"/>
    <xf numFmtId="175" fontId="102" fillId="17" borderId="0" xfId="59" applyNumberFormat="1" applyFont="1" applyFill="1"/>
    <xf numFmtId="175" fontId="102" fillId="0" borderId="0" xfId="184" applyNumberFormat="1" applyFont="1" applyFill="1"/>
    <xf numFmtId="175" fontId="9" fillId="0" borderId="0" xfId="184" applyNumberFormat="1" applyFont="1" applyFill="1"/>
    <xf numFmtId="0" fontId="102" fillId="0" borderId="0" xfId="184" applyFont="1" applyFill="1" applyBorder="1"/>
    <xf numFmtId="0" fontId="9" fillId="0" borderId="0" xfId="184" applyFont="1" applyBorder="1"/>
    <xf numFmtId="0" fontId="106" fillId="0" borderId="0" xfId="184" applyFont="1"/>
    <xf numFmtId="41" fontId="102" fillId="0" borderId="0" xfId="184" applyNumberFormat="1" applyFont="1" applyFill="1" applyBorder="1" applyAlignment="1">
      <alignment horizontal="center"/>
    </xf>
    <xf numFmtId="41" fontId="34" fillId="0" borderId="0" xfId="184" applyNumberFormat="1" applyFont="1" applyBorder="1" applyAlignment="1">
      <alignment horizontal="center"/>
    </xf>
    <xf numFmtId="0" fontId="106" fillId="0" borderId="0" xfId="184" applyFont="1" applyAlignment="1">
      <alignment horizontal="right"/>
    </xf>
    <xf numFmtId="0" fontId="102" fillId="0" borderId="0" xfId="184" applyFont="1" applyFill="1" applyBorder="1" applyAlignment="1">
      <alignment horizontal="left"/>
    </xf>
    <xf numFmtId="0" fontId="102" fillId="0" borderId="0" xfId="184" applyFont="1" applyFill="1" applyBorder="1" applyAlignment="1">
      <alignment horizontal="center"/>
    </xf>
    <xf numFmtId="175" fontId="102" fillId="0" borderId="0" xfId="59" applyNumberFormat="1" applyFont="1" applyFill="1" applyBorder="1"/>
    <xf numFmtId="10" fontId="9" fillId="0" borderId="0" xfId="184" applyNumberFormat="1" applyFont="1"/>
    <xf numFmtId="0" fontId="49" fillId="0" borderId="1" xfId="184" applyFont="1" applyFill="1" applyBorder="1" applyAlignment="1">
      <alignment horizontal="center"/>
    </xf>
    <xf numFmtId="0" fontId="49" fillId="0" borderId="1" xfId="184" applyFont="1" applyFill="1" applyBorder="1"/>
    <xf numFmtId="0" fontId="49" fillId="0" borderId="1" xfId="184" applyFont="1" applyFill="1" applyBorder="1" applyAlignment="1">
      <alignment horizontal="center" wrapText="1"/>
    </xf>
    <xf numFmtId="37" fontId="49" fillId="0" borderId="0" xfId="184" applyNumberFormat="1" applyFont="1" applyFill="1"/>
    <xf numFmtId="0" fontId="49" fillId="0" borderId="0" xfId="184" applyFont="1" applyFill="1" applyAlignment="1">
      <alignment horizontal="center" wrapText="1"/>
    </xf>
    <xf numFmtId="0" fontId="49" fillId="14" borderId="27" xfId="184" applyFont="1" applyFill="1" applyBorder="1"/>
    <xf numFmtId="41" fontId="49" fillId="14" borderId="9" xfId="184" applyNumberFormat="1" applyFont="1" applyFill="1" applyBorder="1"/>
    <xf numFmtId="41" fontId="49" fillId="14" borderId="9" xfId="68" applyFont="1" applyFill="1" applyBorder="1"/>
    <xf numFmtId="0" fontId="49" fillId="14" borderId="28" xfId="184" applyFont="1" applyFill="1" applyBorder="1" applyAlignment="1">
      <alignment wrapText="1"/>
    </xf>
    <xf numFmtId="0" fontId="49" fillId="14" borderId="27" xfId="184" applyFont="1" applyFill="1" applyBorder="1" applyAlignment="1">
      <alignment wrapText="1"/>
    </xf>
    <xf numFmtId="0" fontId="49" fillId="14" borderId="9" xfId="184" applyFont="1" applyFill="1" applyBorder="1"/>
    <xf numFmtId="0" fontId="49" fillId="20" borderId="27" xfId="184" applyFont="1" applyFill="1" applyBorder="1" applyAlignment="1">
      <alignment wrapText="1"/>
    </xf>
    <xf numFmtId="41" fontId="49" fillId="20" borderId="9" xfId="184" applyNumberFormat="1" applyFont="1" applyFill="1" applyBorder="1"/>
    <xf numFmtId="0" fontId="49" fillId="20" borderId="28" xfId="184" applyFont="1" applyFill="1" applyBorder="1" applyAlignment="1">
      <alignment wrapText="1"/>
    </xf>
    <xf numFmtId="0" fontId="49" fillId="0" borderId="39" xfId="184" applyFont="1" applyBorder="1"/>
    <xf numFmtId="175" fontId="49" fillId="0" borderId="9" xfId="59" applyNumberFormat="1" applyFont="1" applyBorder="1"/>
    <xf numFmtId="175" fontId="49" fillId="0" borderId="9" xfId="59" applyNumberFormat="1" applyFont="1" applyFill="1" applyBorder="1"/>
    <xf numFmtId="37" fontId="49" fillId="0" borderId="28" xfId="184" applyNumberFormat="1" applyFont="1" applyFill="1" applyBorder="1" applyAlignment="1">
      <alignment wrapText="1"/>
    </xf>
    <xf numFmtId="0" fontId="49" fillId="0" borderId="40" xfId="184" applyFont="1" applyFill="1" applyBorder="1"/>
    <xf numFmtId="175" fontId="49" fillId="14" borderId="9" xfId="59" applyNumberFormat="1" applyFont="1" applyFill="1" applyBorder="1"/>
    <xf numFmtId="175" fontId="49" fillId="14" borderId="9" xfId="59" applyNumberFormat="1" applyFont="1" applyFill="1" applyBorder="1" applyAlignment="1">
      <alignment horizontal="right"/>
    </xf>
    <xf numFmtId="175" fontId="49" fillId="14" borderId="9" xfId="59" applyNumberFormat="1" applyFont="1" applyFill="1" applyBorder="1" applyAlignment="1">
      <alignment horizontal="center"/>
    </xf>
    <xf numFmtId="0" fontId="49" fillId="0" borderId="41" xfId="184" applyFont="1" applyFill="1" applyBorder="1"/>
    <xf numFmtId="175" fontId="49" fillId="14" borderId="33" xfId="59" applyNumberFormat="1" applyFont="1" applyFill="1" applyBorder="1"/>
    <xf numFmtId="0" fontId="49" fillId="14" borderId="42" xfId="184" applyFont="1" applyFill="1" applyBorder="1" applyAlignment="1">
      <alignment wrapText="1"/>
    </xf>
    <xf numFmtId="0" fontId="49" fillId="0" borderId="43" xfId="184" applyFont="1" applyFill="1" applyBorder="1"/>
    <xf numFmtId="175" fontId="49" fillId="0" borderId="44" xfId="59" applyNumberFormat="1" applyFont="1" applyFill="1" applyBorder="1"/>
    <xf numFmtId="0" fontId="49" fillId="0" borderId="45" xfId="184" applyFont="1" applyFill="1" applyBorder="1" applyAlignment="1">
      <alignment wrapText="1"/>
    </xf>
    <xf numFmtId="37" fontId="49" fillId="0" borderId="0" xfId="184" applyNumberFormat="1" applyFont="1" applyFill="1" applyBorder="1"/>
    <xf numFmtId="37" fontId="49" fillId="0" borderId="0" xfId="184" applyNumberFormat="1" applyFont="1" applyFill="1" applyBorder="1" applyAlignment="1">
      <alignment horizontal="center"/>
    </xf>
    <xf numFmtId="37" fontId="49" fillId="0" borderId="0" xfId="184" applyNumberFormat="1" applyFont="1" applyFill="1" applyBorder="1" applyAlignment="1">
      <alignment wrapText="1"/>
    </xf>
    <xf numFmtId="0" fontId="49" fillId="0" borderId="0" xfId="184" applyFont="1" applyFill="1" applyBorder="1" applyAlignment="1">
      <alignment wrapText="1"/>
    </xf>
    <xf numFmtId="0" fontId="49" fillId="0" borderId="0" xfId="184" applyFont="1" applyBorder="1" applyAlignment="1">
      <alignment wrapText="1"/>
    </xf>
    <xf numFmtId="0" fontId="49" fillId="0" borderId="0" xfId="184" applyFont="1" applyFill="1" applyBorder="1" applyAlignment="1"/>
    <xf numFmtId="0" fontId="49" fillId="0" borderId="0" xfId="184" applyFont="1" applyAlignment="1">
      <alignment horizontal="center" wrapText="1"/>
    </xf>
    <xf numFmtId="37" fontId="49" fillId="14" borderId="9" xfId="184" applyNumberFormat="1" applyFont="1" applyFill="1" applyBorder="1"/>
    <xf numFmtId="0" fontId="49" fillId="0" borderId="27" xfId="184" applyFont="1" applyFill="1" applyBorder="1" applyAlignment="1"/>
    <xf numFmtId="0" fontId="49" fillId="0" borderId="27" xfId="184" applyFont="1" applyFill="1" applyBorder="1"/>
    <xf numFmtId="0" fontId="49" fillId="0" borderId="46" xfId="184" applyFont="1" applyFill="1" applyBorder="1"/>
    <xf numFmtId="0" fontId="49" fillId="14" borderId="27" xfId="380" applyFont="1" applyFill="1" applyBorder="1"/>
    <xf numFmtId="41" fontId="49" fillId="0" borderId="0" xfId="68" applyFont="1" applyFill="1" applyBorder="1"/>
    <xf numFmtId="41" fontId="49" fillId="20" borderId="9" xfId="68" applyFont="1" applyFill="1" applyBorder="1"/>
    <xf numFmtId="0" fontId="49" fillId="0" borderId="39" xfId="184" applyFont="1" applyFill="1" applyBorder="1" applyAlignment="1"/>
    <xf numFmtId="0" fontId="49" fillId="0" borderId="39" xfId="184" applyFont="1" applyFill="1" applyBorder="1"/>
    <xf numFmtId="0" fontId="49" fillId="0" borderId="47" xfId="184" applyFont="1" applyFill="1" applyBorder="1"/>
    <xf numFmtId="175" fontId="49" fillId="14" borderId="33" xfId="59" applyNumberFormat="1" applyFont="1" applyFill="1" applyBorder="1" applyAlignment="1">
      <alignment horizontal="right"/>
    </xf>
    <xf numFmtId="175" fontId="49" fillId="0" borderId="44" xfId="59" applyNumberFormat="1" applyFont="1" applyFill="1" applyBorder="1" applyAlignment="1">
      <alignment horizontal="right"/>
    </xf>
    <xf numFmtId="175" fontId="49" fillId="0" borderId="0" xfId="184" applyNumberFormat="1" applyFont="1" applyFill="1" applyBorder="1" applyAlignment="1">
      <alignment wrapText="1"/>
    </xf>
    <xf numFmtId="0" fontId="49" fillId="0" borderId="0" xfId="184" applyFont="1" applyBorder="1" applyAlignment="1">
      <alignment horizontal="left"/>
    </xf>
    <xf numFmtId="0" fontId="49" fillId="0" borderId="0" xfId="184" applyFont="1" applyFill="1" applyBorder="1" applyAlignment="1">
      <alignment horizontal="centerContinuous"/>
    </xf>
    <xf numFmtId="0" fontId="49" fillId="0" borderId="0" xfId="184" applyFont="1" applyBorder="1" applyAlignment="1"/>
    <xf numFmtId="43" fontId="49" fillId="17" borderId="14" xfId="59" applyFont="1" applyFill="1" applyBorder="1"/>
    <xf numFmtId="180" fontId="49" fillId="0" borderId="0" xfId="59" applyNumberFormat="1" applyFont="1" applyAlignment="1"/>
    <xf numFmtId="175" fontId="49" fillId="17" borderId="0" xfId="59" applyNumberFormat="1" applyFont="1" applyFill="1" applyAlignment="1">
      <alignment horizontal="center"/>
    </xf>
    <xf numFmtId="10" fontId="49" fillId="17" borderId="0" xfId="266" applyNumberFormat="1" applyFont="1" applyFill="1" applyAlignment="1"/>
    <xf numFmtId="43" fontId="49" fillId="0" borderId="0" xfId="59" applyNumberFormat="1" applyFont="1" applyFill="1" applyAlignment="1"/>
    <xf numFmtId="0" fontId="49" fillId="0" borderId="0" xfId="184" applyFont="1" applyFill="1" applyAlignment="1">
      <alignment horizontal="center"/>
    </xf>
    <xf numFmtId="0" fontId="49" fillId="0" borderId="0" xfId="184" applyFont="1" applyFill="1" applyBorder="1" applyAlignment="1">
      <alignment horizontal="center"/>
    </xf>
    <xf numFmtId="0" fontId="49" fillId="20" borderId="39" xfId="184" applyFont="1" applyFill="1" applyBorder="1" applyAlignment="1">
      <alignment horizontal="left"/>
    </xf>
    <xf numFmtId="37" fontId="49" fillId="20" borderId="9" xfId="184" applyNumberFormat="1" applyFont="1" applyFill="1" applyBorder="1"/>
    <xf numFmtId="0" fontId="49" fillId="0" borderId="19" xfId="184" applyFont="1" applyFill="1" applyBorder="1" applyAlignment="1">
      <alignment horizontal="center"/>
    </xf>
    <xf numFmtId="0" fontId="49" fillId="0" borderId="25" xfId="184" applyFont="1" applyFill="1" applyBorder="1" applyAlignment="1">
      <alignment horizontal="center"/>
    </xf>
    <xf numFmtId="0" fontId="49" fillId="0" borderId="1" xfId="184" applyFont="1" applyFill="1" applyBorder="1" applyAlignment="1">
      <alignment horizontal="right" vertical="top"/>
    </xf>
    <xf numFmtId="0" fontId="49" fillId="0" borderId="37" xfId="184" applyFont="1" applyFill="1" applyBorder="1" applyAlignment="1">
      <alignment horizontal="center" vertical="top" wrapText="1"/>
    </xf>
    <xf numFmtId="0" fontId="49" fillId="0" borderId="29" xfId="184" applyFont="1" applyFill="1" applyBorder="1" applyAlignment="1">
      <alignment horizontal="center" vertical="top" wrapText="1"/>
    </xf>
    <xf numFmtId="0" fontId="49" fillId="0" borderId="19" xfId="184" applyFont="1" applyFill="1" applyBorder="1"/>
    <xf numFmtId="0" fontId="49" fillId="0" borderId="25" xfId="184" applyFont="1" applyFill="1" applyBorder="1"/>
    <xf numFmtId="10" fontId="49" fillId="0" borderId="0" xfId="266" applyNumberFormat="1" applyFont="1" applyFill="1"/>
    <xf numFmtId="175" fontId="49" fillId="0" borderId="19" xfId="59" applyNumberFormat="1" applyFont="1" applyFill="1" applyBorder="1"/>
    <xf numFmtId="175" fontId="49" fillId="0" borderId="25" xfId="59" applyNumberFormat="1" applyFont="1" applyFill="1" applyBorder="1"/>
    <xf numFmtId="175" fontId="49" fillId="0" borderId="37" xfId="59" applyNumberFormat="1" applyFont="1" applyFill="1" applyBorder="1"/>
    <xf numFmtId="175" fontId="49" fillId="0" borderId="1" xfId="59" applyNumberFormat="1" applyFont="1" applyFill="1" applyBorder="1"/>
    <xf numFmtId="175" fontId="49" fillId="0" borderId="29" xfId="59" applyNumberFormat="1" applyFont="1" applyFill="1" applyBorder="1"/>
    <xf numFmtId="175" fontId="49" fillId="0" borderId="3" xfId="59" applyNumberFormat="1" applyFont="1" applyFill="1" applyBorder="1"/>
    <xf numFmtId="175" fontId="49" fillId="0" borderId="23" xfId="59" applyNumberFormat="1" applyFont="1" applyFill="1" applyBorder="1"/>
    <xf numFmtId="175" fontId="49" fillId="0" borderId="8" xfId="59" applyNumberFormat="1" applyFont="1" applyFill="1" applyBorder="1"/>
    <xf numFmtId="175" fontId="49" fillId="0" borderId="26" xfId="59" applyNumberFormat="1" applyFont="1" applyFill="1" applyBorder="1"/>
    <xf numFmtId="0" fontId="107" fillId="0" borderId="0" xfId="184" applyFont="1"/>
    <xf numFmtId="0" fontId="107" fillId="0" borderId="0" xfId="184" applyFont="1" applyAlignment="1">
      <alignment horizontal="right"/>
    </xf>
    <xf numFmtId="0" fontId="49" fillId="0" borderId="0" xfId="184" applyFont="1" applyFill="1" applyBorder="1" applyAlignment="1">
      <alignment horizontal="center"/>
    </xf>
    <xf numFmtId="0" fontId="49" fillId="0" borderId="0" xfId="184" applyFont="1" applyFill="1" applyAlignment="1"/>
    <xf numFmtId="171" fontId="49" fillId="14" borderId="0" xfId="59" applyNumberFormat="1" applyFont="1" applyFill="1"/>
    <xf numFmtId="171" fontId="49" fillId="17" borderId="0" xfId="59" applyNumberFormat="1" applyFont="1" applyFill="1"/>
    <xf numFmtId="174" fontId="49" fillId="14" borderId="0" xfId="209" applyFont="1" applyFill="1"/>
    <xf numFmtId="176" fontId="49" fillId="17" borderId="0" xfId="93" applyNumberFormat="1" applyFont="1" applyFill="1" applyBorder="1" applyAlignment="1"/>
    <xf numFmtId="174" fontId="56" fillId="14" borderId="0" xfId="209" applyFont="1" applyFill="1"/>
    <xf numFmtId="174" fontId="56" fillId="17" borderId="0" xfId="209" applyFont="1" applyFill="1"/>
    <xf numFmtId="174" fontId="49" fillId="17" borderId="0" xfId="209" applyFont="1" applyFill="1"/>
    <xf numFmtId="0" fontId="49" fillId="14" borderId="0" xfId="59" applyNumberFormat="1" applyFont="1" applyFill="1"/>
    <xf numFmtId="176" fontId="49" fillId="14" borderId="0" xfId="93" applyNumberFormat="1" applyFont="1" applyFill="1"/>
    <xf numFmtId="174" fontId="49" fillId="14" borderId="0" xfId="201" applyFont="1" applyFill="1"/>
    <xf numFmtId="176" fontId="49" fillId="17" borderId="0" xfId="93" applyNumberFormat="1" applyFont="1" applyFill="1"/>
    <xf numFmtId="174" fontId="49" fillId="0" borderId="10" xfId="209" applyFont="1" applyBorder="1"/>
    <xf numFmtId="175" fontId="39" fillId="14" borderId="0" xfId="59" applyNumberFormat="1" applyFont="1" applyFill="1" applyAlignment="1">
      <alignment horizontal="center"/>
    </xf>
    <xf numFmtId="175" fontId="39" fillId="17" borderId="8" xfId="59" applyNumberFormat="1" applyFont="1" applyFill="1" applyBorder="1" applyAlignment="1">
      <alignment horizontal="center"/>
    </xf>
    <xf numFmtId="175" fontId="49" fillId="17" borderId="30" xfId="59" applyNumberFormat="1" applyFont="1" applyFill="1" applyBorder="1"/>
    <xf numFmtId="175" fontId="49" fillId="17" borderId="10" xfId="59" applyNumberFormat="1" applyFont="1" applyFill="1" applyBorder="1"/>
    <xf numFmtId="174" fontId="49" fillId="14" borderId="11" xfId="209" applyFont="1" applyFill="1" applyBorder="1"/>
    <xf numFmtId="174" fontId="56" fillId="14" borderId="11" xfId="209" applyFont="1" applyFill="1" applyBorder="1"/>
    <xf numFmtId="10" fontId="49" fillId="17" borderId="0" xfId="59" applyNumberFormat="1" applyFont="1" applyFill="1"/>
    <xf numFmtId="41" fontId="49" fillId="17" borderId="0" xfId="212" applyNumberFormat="1" applyFont="1" applyFill="1"/>
    <xf numFmtId="175" fontId="49" fillId="17" borderId="0" xfId="59" applyNumberFormat="1" applyFont="1" applyFill="1"/>
    <xf numFmtId="175" fontId="39" fillId="17" borderId="0" xfId="59" applyNumberFormat="1" applyFont="1" applyFill="1"/>
    <xf numFmtId="0" fontId="49" fillId="17" borderId="0" xfId="59" applyNumberFormat="1" applyFont="1" applyFill="1" applyAlignment="1">
      <alignment horizontal="center"/>
    </xf>
    <xf numFmtId="0" fontId="102" fillId="17" borderId="0" xfId="59" applyNumberFormat="1" applyFont="1" applyFill="1" applyAlignment="1">
      <alignment horizontal="center"/>
    </xf>
    <xf numFmtId="0" fontId="102" fillId="0" borderId="0" xfId="184" applyFont="1" applyAlignment="1">
      <alignment horizontal="center"/>
    </xf>
    <xf numFmtId="0" fontId="102" fillId="0" borderId="27" xfId="184" applyFont="1" applyBorder="1" applyAlignment="1">
      <alignment wrapText="1"/>
    </xf>
    <xf numFmtId="0" fontId="108" fillId="0" borderId="0" xfId="184" applyFont="1" applyFill="1" applyAlignment="1"/>
    <xf numFmtId="0" fontId="108" fillId="0" borderId="0" xfId="184" applyFont="1" applyFill="1"/>
    <xf numFmtId="0" fontId="108" fillId="0" borderId="0" xfId="184" applyFont="1"/>
    <xf numFmtId="175" fontId="108" fillId="0" borderId="0" xfId="59" applyNumberFormat="1" applyFont="1" applyFill="1" applyBorder="1"/>
    <xf numFmtId="186" fontId="39" fillId="14" borderId="0" xfId="59" applyNumberFormat="1" applyFont="1" applyFill="1" applyAlignment="1"/>
    <xf numFmtId="175" fontId="56" fillId="0" borderId="0" xfId="0" applyNumberFormat="1" applyFont="1" applyAlignment="1" applyProtection="1">
      <alignment horizontal="center" wrapText="1"/>
      <protection locked="0"/>
    </xf>
    <xf numFmtId="10" fontId="109" fillId="21" borderId="0" xfId="283" applyNumberFormat="1" applyFont="1" applyFill="1" applyAlignment="1">
      <alignment horizontal="center"/>
    </xf>
    <xf numFmtId="186" fontId="39" fillId="0" borderId="0" xfId="59" applyNumberFormat="1" applyFont="1" applyFill="1" applyAlignment="1"/>
    <xf numFmtId="175" fontId="49" fillId="0" borderId="0" xfId="59" applyNumberFormat="1" applyFont="1" applyFill="1" applyAlignment="1" applyProtection="1">
      <alignment horizontal="center"/>
      <protection locked="0"/>
    </xf>
    <xf numFmtId="175" fontId="49" fillId="0" borderId="0" xfId="59" applyNumberFormat="1" applyFont="1"/>
    <xf numFmtId="174" fontId="56" fillId="0" borderId="0" xfId="0" applyFont="1" applyAlignment="1">
      <alignment horizontal="center"/>
    </xf>
    <xf numFmtId="174" fontId="49" fillId="0" borderId="0" xfId="0" applyFont="1" applyAlignment="1">
      <alignment horizontal="center"/>
    </xf>
    <xf numFmtId="174" fontId="49" fillId="0" borderId="0" xfId="0" applyFont="1" applyProtection="1">
      <protection locked="0"/>
    </xf>
    <xf numFmtId="174" fontId="56" fillId="0" borderId="0" xfId="0" applyFont="1"/>
    <xf numFmtId="174" fontId="49" fillId="0" borderId="0" xfId="0" applyFont="1" applyAlignment="1" applyProtection="1">
      <alignment horizontal="center"/>
      <protection locked="0"/>
    </xf>
    <xf numFmtId="174" fontId="56" fillId="0" borderId="0" xfId="0" applyFont="1" applyAlignment="1" applyProtection="1">
      <alignment horizontal="center"/>
      <protection locked="0"/>
    </xf>
    <xf numFmtId="174" fontId="91" fillId="0" borderId="0" xfId="0" applyFont="1" applyAlignment="1" applyProtection="1">
      <alignment horizontal="left"/>
      <protection locked="0"/>
    </xf>
    <xf numFmtId="174" fontId="56" fillId="0" borderId="25" xfId="0" applyFont="1" applyBorder="1" applyAlignment="1" applyProtection="1">
      <alignment horizontal="center"/>
      <protection locked="0"/>
    </xf>
    <xf numFmtId="174" fontId="56" fillId="0" borderId="27" xfId="0" applyFont="1" applyBorder="1" applyAlignment="1" applyProtection="1">
      <alignment horizontal="center"/>
      <protection locked="0"/>
    </xf>
    <xf numFmtId="174" fontId="56" fillId="0" borderId="9" xfId="0" applyFont="1" applyBorder="1" applyAlignment="1" applyProtection="1">
      <alignment horizontal="center" wrapText="1"/>
      <protection locked="0"/>
    </xf>
    <xf numFmtId="174" fontId="56" fillId="0" borderId="0" xfId="0" applyFont="1" applyProtection="1">
      <protection locked="0"/>
    </xf>
    <xf numFmtId="174" fontId="56" fillId="0" borderId="0" xfId="0" applyFont="1" applyAlignment="1" applyProtection="1">
      <alignment horizontal="center" wrapText="1"/>
      <protection locked="0"/>
    </xf>
    <xf numFmtId="174" fontId="56" fillId="0" borderId="28" xfId="0" applyFont="1" applyBorder="1" applyAlignment="1" applyProtection="1">
      <alignment horizontal="center" wrapText="1"/>
      <protection locked="0"/>
    </xf>
    <xf numFmtId="10" fontId="49" fillId="17" borderId="0" xfId="0" applyNumberFormat="1" applyFont="1" applyFill="1" applyAlignment="1">
      <alignment horizontal="center"/>
    </xf>
    <xf numFmtId="176" fontId="49" fillId="17" borderId="0" xfId="0" applyNumberFormat="1" applyFont="1" applyFill="1" applyProtection="1">
      <protection locked="0"/>
    </xf>
    <xf numFmtId="177" fontId="49" fillId="0" borderId="0" xfId="0" applyNumberFormat="1" applyFont="1" applyProtection="1">
      <protection locked="0"/>
    </xf>
    <xf numFmtId="44" fontId="49" fillId="0" borderId="0" xfId="0" applyNumberFormat="1" applyFont="1"/>
    <xf numFmtId="164" fontId="49" fillId="17" borderId="0" xfId="0" applyNumberFormat="1" applyFont="1" applyFill="1" applyProtection="1">
      <protection locked="0"/>
    </xf>
    <xf numFmtId="0" fontId="49" fillId="0" borderId="0" xfId="0" applyNumberFormat="1" applyFont="1" applyAlignment="1" applyProtection="1">
      <alignment horizontal="center"/>
      <protection locked="0"/>
    </xf>
    <xf numFmtId="171" fontId="49" fillId="17" borderId="0" xfId="0" applyNumberFormat="1" applyFont="1" applyFill="1" applyAlignment="1" applyProtection="1">
      <alignment horizontal="center"/>
      <protection locked="0"/>
    </xf>
    <xf numFmtId="10" fontId="49" fillId="17" borderId="0" xfId="0" applyNumberFormat="1" applyFont="1" applyFill="1" applyAlignment="1" applyProtection="1">
      <alignment horizontal="center"/>
      <protection locked="0"/>
    </xf>
    <xf numFmtId="164" fontId="49" fillId="0" borderId="0" xfId="0" applyNumberFormat="1" applyFont="1" applyProtection="1">
      <protection locked="0"/>
    </xf>
    <xf numFmtId="0" fontId="49" fillId="0" borderId="19" xfId="0" applyNumberFormat="1" applyFont="1" applyBorder="1" applyAlignment="1" applyProtection="1">
      <alignment horizontal="center"/>
      <protection locked="0"/>
    </xf>
    <xf numFmtId="10" fontId="49" fillId="0" borderId="0" xfId="0" applyNumberFormat="1" applyFont="1" applyAlignment="1" applyProtection="1">
      <alignment horizontal="center"/>
      <protection locked="0"/>
    </xf>
    <xf numFmtId="10" fontId="49" fillId="0" borderId="0" xfId="0" applyNumberFormat="1" applyFont="1" applyAlignment="1">
      <alignment horizontal="center"/>
    </xf>
    <xf numFmtId="278" fontId="49" fillId="0" borderId="0" xfId="0" applyNumberFormat="1" applyFont="1" applyProtection="1">
      <protection locked="0"/>
    </xf>
    <xf numFmtId="176" fontId="49" fillId="0" borderId="0" xfId="0" applyNumberFormat="1" applyFont="1" applyProtection="1">
      <protection locked="0"/>
    </xf>
    <xf numFmtId="174" fontId="89" fillId="0" borderId="19" xfId="0" applyFont="1" applyBorder="1" applyProtection="1">
      <protection locked="0"/>
    </xf>
    <xf numFmtId="174" fontId="49" fillId="0" borderId="25" xfId="0" applyFont="1" applyBorder="1" applyProtection="1">
      <protection locked="0"/>
    </xf>
    <xf numFmtId="174" fontId="49" fillId="0" borderId="19" xfId="0" applyFont="1" applyBorder="1" applyAlignment="1" applyProtection="1">
      <alignment horizontal="left"/>
      <protection locked="0"/>
    </xf>
    <xf numFmtId="174" fontId="49" fillId="0" borderId="0" xfId="0" applyFont="1" applyAlignment="1" applyProtection="1">
      <alignment horizontal="left"/>
      <protection locked="0"/>
    </xf>
    <xf numFmtId="175" fontId="49" fillId="0" borderId="19" xfId="0" applyNumberFormat="1" applyFont="1" applyBorder="1" applyProtection="1">
      <protection locked="0"/>
    </xf>
    <xf numFmtId="175" fontId="49" fillId="0" borderId="0" xfId="0" applyNumberFormat="1" applyFont="1" applyProtection="1">
      <protection locked="0"/>
    </xf>
    <xf numFmtId="175" fontId="49" fillId="0" borderId="23" xfId="0" applyNumberFormat="1" applyFont="1" applyBorder="1" applyProtection="1">
      <protection locked="0"/>
    </xf>
    <xf numFmtId="175" fontId="49" fillId="0" borderId="8" xfId="0" applyNumberFormat="1" applyFont="1" applyBorder="1" applyProtection="1">
      <protection locked="0"/>
    </xf>
    <xf numFmtId="174" fontId="49" fillId="0" borderId="8" xfId="0" applyFont="1" applyBorder="1" applyAlignment="1" applyProtection="1">
      <alignment horizontal="center"/>
      <protection locked="0"/>
    </xf>
    <xf numFmtId="174" fontId="49" fillId="0" borderId="8" xfId="0" applyFont="1" applyBorder="1" applyProtection="1">
      <protection locked="0"/>
    </xf>
    <xf numFmtId="174" fontId="49" fillId="0" borderId="26" xfId="0" applyFont="1" applyBorder="1" applyProtection="1">
      <protection locked="0"/>
    </xf>
    <xf numFmtId="0" fontId="56" fillId="0" borderId="0" xfId="0" applyNumberFormat="1" applyFont="1" applyAlignment="1" applyProtection="1">
      <alignment horizontal="left"/>
      <protection locked="0"/>
    </xf>
    <xf numFmtId="175" fontId="56" fillId="0" borderId="0" xfId="0" applyNumberFormat="1" applyFont="1" applyAlignment="1" applyProtection="1">
      <alignment horizontal="center"/>
      <protection locked="0"/>
    </xf>
    <xf numFmtId="175" fontId="49" fillId="0" borderId="0" xfId="0" applyNumberFormat="1" applyFont="1" applyAlignment="1" applyProtection="1">
      <alignment horizontal="center"/>
      <protection locked="0"/>
    </xf>
    <xf numFmtId="174" fontId="82" fillId="0" borderId="30" xfId="0" applyFont="1" applyBorder="1" applyAlignment="1" applyProtection="1">
      <alignment horizontal="left"/>
      <protection locked="0"/>
    </xf>
    <xf numFmtId="174" fontId="82" fillId="0" borderId="3" xfId="0" applyFont="1" applyBorder="1" applyAlignment="1" applyProtection="1">
      <alignment horizontal="center"/>
      <protection locked="0"/>
    </xf>
    <xf numFmtId="174" fontId="49" fillId="0" borderId="3" xfId="0" applyFont="1" applyBorder="1" applyAlignment="1" applyProtection="1">
      <alignment horizontal="center"/>
      <protection locked="0"/>
    </xf>
    <xf numFmtId="174" fontId="49" fillId="0" borderId="3" xfId="0" applyFont="1" applyBorder="1" applyProtection="1">
      <protection locked="0"/>
    </xf>
    <xf numFmtId="174" fontId="56" fillId="0" borderId="3" xfId="0" applyFont="1" applyBorder="1" applyAlignment="1" applyProtection="1">
      <alignment horizontal="center"/>
      <protection locked="0"/>
    </xf>
    <xf numFmtId="174" fontId="49" fillId="0" borderId="31" xfId="0" applyFont="1" applyBorder="1" applyAlignment="1" applyProtection="1">
      <alignment horizontal="center"/>
      <protection locked="0"/>
    </xf>
    <xf numFmtId="0" fontId="56" fillId="0" borderId="10" xfId="0" applyNumberFormat="1" applyFont="1" applyBorder="1" applyAlignment="1" applyProtection="1">
      <alignment horizontal="left"/>
      <protection locked="0"/>
    </xf>
    <xf numFmtId="174" fontId="82" fillId="0" borderId="0" xfId="0" applyFont="1" applyAlignment="1" applyProtection="1">
      <alignment horizontal="center"/>
      <protection locked="0"/>
    </xf>
    <xf numFmtId="174" fontId="49" fillId="0" borderId="12" xfId="0" applyFont="1" applyBorder="1" applyAlignment="1" applyProtection="1">
      <alignment horizontal="center"/>
      <protection locked="0"/>
    </xf>
    <xf numFmtId="174" fontId="82" fillId="0" borderId="10" xfId="0" applyFont="1" applyBorder="1" applyAlignment="1" applyProtection="1">
      <alignment horizontal="left"/>
      <protection locked="0"/>
    </xf>
    <xf numFmtId="174" fontId="49" fillId="0" borderId="10" xfId="0" applyFont="1" applyBorder="1" applyProtection="1">
      <protection locked="0"/>
    </xf>
    <xf numFmtId="175" fontId="49" fillId="17" borderId="0" xfId="59" applyNumberFormat="1" applyFont="1" applyFill="1" applyBorder="1" applyProtection="1">
      <protection locked="0"/>
    </xf>
    <xf numFmtId="182" fontId="49" fillId="17" borderId="0" xfId="0" applyNumberFormat="1" applyFont="1" applyFill="1" applyProtection="1">
      <protection locked="0"/>
    </xf>
    <xf numFmtId="182" fontId="49" fillId="0" borderId="0" xfId="0" applyNumberFormat="1" applyFont="1" applyProtection="1">
      <protection locked="0"/>
    </xf>
    <xf numFmtId="4" fontId="49" fillId="0" borderId="0" xfId="0" applyNumberFormat="1" applyFont="1" applyAlignment="1" applyProtection="1">
      <alignment horizontal="center"/>
      <protection locked="0"/>
    </xf>
    <xf numFmtId="4" fontId="49" fillId="0" borderId="0" xfId="0" applyNumberFormat="1" applyFont="1" applyAlignment="1">
      <alignment horizontal="center"/>
    </xf>
    <xf numFmtId="174" fontId="82" fillId="0" borderId="10" xfId="0" applyFont="1" applyBorder="1" applyProtection="1">
      <protection locked="0"/>
    </xf>
    <xf numFmtId="174" fontId="82" fillId="0" borderId="0" xfId="0" applyFont="1" applyProtection="1">
      <protection locked="0"/>
    </xf>
    <xf numFmtId="175" fontId="56" fillId="0" borderId="0" xfId="0" applyNumberFormat="1" applyFont="1" applyProtection="1">
      <protection locked="0"/>
    </xf>
    <xf numFmtId="175" fontId="49" fillId="0" borderId="0" xfId="0" applyNumberFormat="1" applyFont="1"/>
    <xf numFmtId="174" fontId="49" fillId="0" borderId="10" xfId="0" applyFont="1" applyBorder="1"/>
    <xf numFmtId="174" fontId="49" fillId="0" borderId="12" xfId="0" applyFont="1" applyBorder="1"/>
    <xf numFmtId="174" fontId="49" fillId="0" borderId="17" xfId="0" applyFont="1" applyBorder="1" applyProtection="1">
      <protection locked="0"/>
    </xf>
    <xf numFmtId="174" fontId="49" fillId="0" borderId="1" xfId="0" applyFont="1" applyBorder="1" applyProtection="1">
      <protection locked="0"/>
    </xf>
    <xf numFmtId="174" fontId="49" fillId="0" borderId="32" xfId="0" applyFont="1" applyBorder="1"/>
    <xf numFmtId="182" fontId="49" fillId="0" borderId="0" xfId="0" applyNumberFormat="1" applyFont="1"/>
    <xf numFmtId="186" fontId="49" fillId="17" borderId="0" xfId="59" applyNumberFormat="1" applyFont="1" applyFill="1" applyAlignment="1">
      <alignment horizontal="center"/>
    </xf>
    <xf numFmtId="175" fontId="49" fillId="0" borderId="12" xfId="59" applyNumberFormat="1" applyFont="1" applyBorder="1"/>
    <xf numFmtId="175" fontId="49" fillId="0" borderId="1" xfId="0" applyNumberFormat="1" applyFont="1" applyBorder="1"/>
    <xf numFmtId="175" fontId="49" fillId="0" borderId="11" xfId="59" applyNumberFormat="1" applyFont="1" applyFill="1" applyBorder="1" applyAlignment="1">
      <alignment horizontal="center"/>
    </xf>
    <xf numFmtId="175" fontId="49" fillId="0" borderId="11" xfId="59" applyNumberFormat="1" applyFont="1" applyBorder="1" applyAlignment="1">
      <alignment horizontal="center"/>
    </xf>
    <xf numFmtId="175" fontId="49" fillId="0" borderId="15" xfId="0" applyNumberFormat="1" applyFont="1" applyBorder="1"/>
    <xf numFmtId="1" fontId="49" fillId="17" borderId="0" xfId="0" applyNumberFormat="1" applyFont="1" applyFill="1" applyAlignment="1">
      <alignment horizontal="center"/>
    </xf>
    <xf numFmtId="175" fontId="49" fillId="17" borderId="11" xfId="59" applyNumberFormat="1" applyFont="1" applyFill="1" applyBorder="1" applyAlignment="1"/>
    <xf numFmtId="0" fontId="56" fillId="0" borderId="0" xfId="201" applyNumberFormat="1" applyFont="1"/>
    <xf numFmtId="175" fontId="49" fillId="0" borderId="0" xfId="59" applyNumberFormat="1" applyFont="1" applyAlignment="1">
      <alignment horizontal="fill"/>
    </xf>
    <xf numFmtId="175" fontId="49" fillId="0" borderId="0" xfId="211" applyNumberFormat="1" applyFont="1" applyAlignment="1"/>
    <xf numFmtId="175" fontId="49" fillId="0" borderId="0" xfId="211" applyNumberFormat="1" applyFont="1" applyAlignment="1">
      <alignment horizontal="fill"/>
    </xf>
    <xf numFmtId="10" fontId="49" fillId="0" borderId="0" xfId="266" applyNumberFormat="1" applyFont="1" applyFill="1" applyBorder="1" applyAlignment="1"/>
    <xf numFmtId="164" fontId="49" fillId="0" borderId="0" xfId="266" applyNumberFormat="1" applyFont="1" applyFill="1" applyBorder="1" applyAlignment="1"/>
    <xf numFmtId="175" fontId="39" fillId="0" borderId="0" xfId="59" applyNumberFormat="1" applyFont="1" applyFill="1" applyAlignment="1">
      <alignment horizontal="center"/>
    </xf>
    <xf numFmtId="0" fontId="56" fillId="0" borderId="0" xfId="211" applyNumberFormat="1" applyFont="1" applyFill="1" applyBorder="1" applyAlignment="1" applyProtection="1">
      <alignment horizontal="center" wrapText="1"/>
      <protection locked="0"/>
    </xf>
    <xf numFmtId="0" fontId="49" fillId="0" borderId="0" xfId="211" applyNumberFormat="1" applyFont="1" applyFill="1" applyAlignment="1" applyProtection="1">
      <alignment vertical="top" wrapText="1"/>
      <protection locked="0"/>
    </xf>
    <xf numFmtId="174" fontId="49" fillId="0" borderId="0" xfId="0" applyFont="1" applyFill="1" applyAlignment="1">
      <alignment vertical="top" wrapText="1"/>
    </xf>
    <xf numFmtId="0" fontId="49" fillId="0" borderId="0" xfId="206" applyFont="1" applyFill="1" applyAlignment="1">
      <alignment vertical="top" wrapText="1"/>
    </xf>
    <xf numFmtId="0" fontId="49" fillId="0" borderId="0" xfId="0" applyNumberFormat="1" applyFont="1" applyFill="1" applyBorder="1" applyAlignment="1">
      <alignment horizontal="left" vertical="top" wrapText="1"/>
    </xf>
    <xf numFmtId="174" fontId="49" fillId="0" borderId="0" xfId="0" applyFont="1" applyFill="1" applyAlignment="1">
      <alignment horizontal="left" wrapText="1"/>
    </xf>
    <xf numFmtId="0" fontId="49" fillId="0" borderId="0" xfId="211" quotePrefix="1" applyNumberFormat="1" applyFont="1" applyFill="1" applyAlignment="1">
      <alignment vertical="top" wrapText="1"/>
    </xf>
    <xf numFmtId="0" fontId="49" fillId="0" borderId="0" xfId="211" applyNumberFormat="1" applyFont="1" applyFill="1" applyAlignment="1">
      <alignment vertical="top" wrapText="1"/>
    </xf>
    <xf numFmtId="0" fontId="49" fillId="0" borderId="0" xfId="188" quotePrefix="1" applyNumberFormat="1" applyFont="1" applyFill="1" applyAlignment="1">
      <alignment vertical="top" wrapText="1"/>
    </xf>
    <xf numFmtId="0" fontId="49" fillId="0" borderId="0" xfId="188" applyNumberFormat="1" applyFont="1" applyFill="1" applyAlignment="1">
      <alignment vertical="top" wrapText="1"/>
    </xf>
    <xf numFmtId="174" fontId="49" fillId="0" borderId="0" xfId="211" applyFont="1" applyAlignment="1">
      <alignment horizontal="center"/>
    </xf>
    <xf numFmtId="49" fontId="49" fillId="0" borderId="0" xfId="211" applyNumberFormat="1" applyFont="1" applyAlignment="1" applyProtection="1">
      <alignment horizontal="center"/>
      <protection locked="0"/>
    </xf>
    <xf numFmtId="0" fontId="88" fillId="0" borderId="0" xfId="211" applyNumberFormat="1" applyFont="1" applyFill="1" applyAlignment="1" applyProtection="1">
      <alignment vertical="top" wrapText="1"/>
      <protection locked="0"/>
    </xf>
    <xf numFmtId="174" fontId="39" fillId="0" borderId="0" xfId="0" applyFont="1" applyAlignment="1">
      <alignment horizontal="left" vertical="center" wrapText="1"/>
    </xf>
    <xf numFmtId="174" fontId="49" fillId="0" borderId="0" xfId="201" applyFont="1" applyFill="1" applyBorder="1" applyAlignment="1">
      <alignment horizontal="left"/>
    </xf>
    <xf numFmtId="174" fontId="49" fillId="0" borderId="0" xfId="201" applyFont="1" applyFill="1" applyBorder="1" applyAlignment="1">
      <alignment horizontal="left" vertical="top" wrapText="1"/>
    </xf>
    <xf numFmtId="174" fontId="49" fillId="0" borderId="0" xfId="201" applyFont="1" applyFill="1" applyBorder="1" applyAlignment="1">
      <alignment horizontal="left" wrapText="1"/>
    </xf>
    <xf numFmtId="174" fontId="49" fillId="0" borderId="0" xfId="201" applyFont="1" applyAlignment="1">
      <alignment horizontal="left" vertical="top" wrapText="1"/>
    </xf>
    <xf numFmtId="174" fontId="49" fillId="0" borderId="30" xfId="0" applyFont="1" applyBorder="1" applyAlignment="1">
      <alignment horizontal="center"/>
    </xf>
    <xf numFmtId="174" fontId="49" fillId="0" borderId="31" xfId="0" applyFont="1" applyBorder="1" applyAlignment="1">
      <alignment horizontal="center"/>
    </xf>
    <xf numFmtId="174" fontId="49" fillId="0" borderId="17" xfId="0" applyFont="1" applyBorder="1" applyAlignment="1">
      <alignment horizontal="center"/>
    </xf>
    <xf numFmtId="174" fontId="49" fillId="0" borderId="32" xfId="0" applyFont="1" applyBorder="1" applyAlignment="1">
      <alignment horizontal="center"/>
    </xf>
    <xf numFmtId="174" fontId="49" fillId="0" borderId="0" xfId="0" applyFont="1" applyFill="1" applyAlignment="1">
      <alignment horizontal="left" vertical="top" wrapText="1"/>
    </xf>
    <xf numFmtId="0" fontId="49" fillId="0" borderId="0" xfId="188" applyNumberFormat="1" applyFont="1" applyFill="1" applyAlignment="1">
      <alignment horizontal="left" vertical="top" wrapText="1"/>
    </xf>
    <xf numFmtId="174" fontId="56" fillId="0" borderId="0" xfId="0" applyFont="1" applyAlignment="1">
      <alignment horizontal="center"/>
    </xf>
    <xf numFmtId="0" fontId="56" fillId="0" borderId="0" xfId="212" applyFont="1" applyAlignment="1">
      <alignment horizontal="center"/>
    </xf>
    <xf numFmtId="174" fontId="49" fillId="0" borderId="0" xfId="0" applyFont="1" applyFill="1" applyAlignment="1">
      <alignment horizontal="left" vertical="center" wrapText="1"/>
    </xf>
    <xf numFmtId="0" fontId="78" fillId="0" borderId="0" xfId="188" applyNumberFormat="1" applyFont="1" applyFill="1" applyAlignment="1">
      <alignment horizontal="left" vertical="top" wrapText="1"/>
    </xf>
    <xf numFmtId="0" fontId="49" fillId="0" borderId="0" xfId="184" applyFont="1" applyFill="1" applyAlignment="1">
      <alignment horizontal="center"/>
    </xf>
    <xf numFmtId="0" fontId="49" fillId="19" borderId="0" xfId="184" applyFont="1" applyFill="1" applyAlignment="1">
      <alignment horizontal="center"/>
    </xf>
    <xf numFmtId="0" fontId="102" fillId="0" borderId="0" xfId="184" applyFont="1" applyFill="1" applyAlignment="1">
      <alignment horizontal="center"/>
    </xf>
    <xf numFmtId="0" fontId="102" fillId="19" borderId="0" xfId="184" applyFont="1" applyFill="1" applyAlignment="1">
      <alignment horizontal="center"/>
    </xf>
    <xf numFmtId="0" fontId="49" fillId="0" borderId="0" xfId="184" applyFont="1" applyFill="1" applyBorder="1" applyAlignment="1">
      <alignment wrapText="1"/>
    </xf>
    <xf numFmtId="0" fontId="49" fillId="0" borderId="0" xfId="184" applyFont="1" applyBorder="1" applyAlignment="1">
      <alignment wrapText="1"/>
    </xf>
    <xf numFmtId="0" fontId="49" fillId="0" borderId="0" xfId="184" applyFont="1" applyFill="1" applyBorder="1" applyAlignment="1">
      <alignment horizontal="center"/>
    </xf>
    <xf numFmtId="0" fontId="49" fillId="0" borderId="0" xfId="184" applyFont="1" applyFill="1" applyAlignment="1">
      <alignment horizontal="left" wrapText="1"/>
    </xf>
    <xf numFmtId="0" fontId="49" fillId="0" borderId="0" xfId="184" applyFont="1" applyFill="1" applyAlignment="1"/>
    <xf numFmtId="0" fontId="49" fillId="0" borderId="24" xfId="184" applyFont="1" applyFill="1" applyBorder="1" applyAlignment="1">
      <alignment horizontal="center"/>
    </xf>
    <xf numFmtId="0" fontId="49" fillId="0" borderId="21" xfId="184" applyFont="1" applyFill="1" applyBorder="1" applyAlignment="1">
      <alignment horizontal="center"/>
    </xf>
    <xf numFmtId="0" fontId="49" fillId="0" borderId="20" xfId="184" applyFont="1" applyFill="1" applyBorder="1" applyAlignment="1">
      <alignment horizontal="center"/>
    </xf>
    <xf numFmtId="174" fontId="49" fillId="0" borderId="10" xfId="0" applyFont="1" applyFill="1" applyBorder="1" applyAlignment="1">
      <alignment horizontal="center"/>
    </xf>
    <xf numFmtId="174" fontId="49" fillId="0" borderId="0" xfId="0" applyFont="1" applyFill="1" applyBorder="1" applyAlignment="1">
      <alignment horizontal="center"/>
    </xf>
    <xf numFmtId="174" fontId="49" fillId="0" borderId="12" xfId="0" applyFont="1" applyFill="1" applyBorder="1" applyAlignment="1">
      <alignment horizontal="center"/>
    </xf>
    <xf numFmtId="174" fontId="11" fillId="0" borderId="0" xfId="201" applyFont="1" applyAlignment="1">
      <alignment horizontal="left" wrapText="1"/>
    </xf>
    <xf numFmtId="0" fontId="49" fillId="0" borderId="19" xfId="187" applyFont="1" applyFill="1" applyBorder="1" applyAlignment="1">
      <alignment horizontal="left"/>
    </xf>
    <xf numFmtId="0" fontId="49" fillId="0" borderId="0" xfId="187" applyFont="1" applyFill="1" applyBorder="1" applyAlignment="1">
      <alignment horizontal="left"/>
    </xf>
    <xf numFmtId="0" fontId="49" fillId="0" borderId="0" xfId="187" applyFont="1" applyFill="1" applyAlignment="1">
      <alignment horizontal="center"/>
    </xf>
    <xf numFmtId="0" fontId="49" fillId="0" borderId="0" xfId="211" applyNumberFormat="1" applyFont="1" applyFill="1" applyAlignment="1">
      <alignment horizontal="center"/>
    </xf>
    <xf numFmtId="0" fontId="56" fillId="0" borderId="0" xfId="187" applyFont="1" applyFill="1" applyBorder="1" applyAlignment="1">
      <alignment horizontal="center"/>
    </xf>
    <xf numFmtId="174" fontId="56" fillId="0" borderId="0" xfId="0" applyFont="1" applyAlignment="1" applyProtection="1">
      <alignment horizontal="center"/>
      <protection locked="0"/>
    </xf>
    <xf numFmtId="174" fontId="56" fillId="15" borderId="24" xfId="0" applyFont="1" applyFill="1" applyBorder="1" applyAlignment="1" applyProtection="1">
      <alignment horizontal="center"/>
      <protection locked="0"/>
    </xf>
    <xf numFmtId="174" fontId="56" fillId="15" borderId="21" xfId="0" applyFont="1" applyFill="1" applyBorder="1" applyAlignment="1" applyProtection="1">
      <alignment horizontal="center"/>
      <protection locked="0"/>
    </xf>
    <xf numFmtId="174" fontId="56" fillId="15" borderId="20" xfId="0" applyFont="1" applyFill="1" applyBorder="1" applyAlignment="1" applyProtection="1">
      <alignment horizontal="center"/>
      <protection locked="0"/>
    </xf>
    <xf numFmtId="175" fontId="56" fillId="0" borderId="21" xfId="0" applyNumberFormat="1" applyFont="1" applyBorder="1" applyAlignment="1" applyProtection="1">
      <alignment horizontal="center"/>
      <protection locked="0"/>
    </xf>
    <xf numFmtId="2" fontId="99" fillId="0" borderId="0" xfId="0" applyNumberFormat="1" applyFont="1" applyAlignment="1">
      <alignment horizontal="center" wrapText="1"/>
    </xf>
    <xf numFmtId="174" fontId="29" fillId="0" borderId="0" xfId="0" applyFont="1" applyAlignment="1">
      <alignment horizontal="center"/>
    </xf>
    <xf numFmtId="3" fontId="49" fillId="0" borderId="0" xfId="211" applyNumberFormat="1" applyFont="1" applyAlignment="1">
      <alignment horizontal="center"/>
    </xf>
    <xf numFmtId="174" fontId="49" fillId="0" borderId="0" xfId="0" applyFont="1" applyAlignment="1">
      <alignment horizontal="center"/>
    </xf>
  </cellXfs>
  <cellStyles count="418">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90" xr:uid="{F1A11952-D50D-4CD4-BDA1-95A9C2F75C50}"/>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6" xr:uid="{CCA99D24-DE04-4220-87E7-E3A57F1B7625}"/>
    <cellStyle name="Comma 10 2" xfId="415" xr:uid="{FB7CD252-F019-4BF8-8830-837297AE77CA}"/>
    <cellStyle name="Comma 11" xfId="77" xr:uid="{00000000-0005-0000-0000-00004C000000}"/>
    <cellStyle name="Comma 12" xfId="384" xr:uid="{9E816AB6-7453-4ED9-971F-34551CE99AD1}"/>
    <cellStyle name="Comma 13" xfId="398" xr:uid="{83CF5CCB-B5A3-4487-A05C-BABDECAD92AA}"/>
    <cellStyle name="Comma 14" xfId="412" xr:uid="{F3F2EC71-0F13-4E0A-A096-5233213DB425}"/>
    <cellStyle name="Comma 2" xfId="78" xr:uid="{00000000-0005-0000-0000-00004D000000}"/>
    <cellStyle name="Comma 2 2" xfId="79" xr:uid="{00000000-0005-0000-0000-00004E000000}"/>
    <cellStyle name="Comma 2 2 2" xfId="411" xr:uid="{DB8B0483-2EB2-4D54-BEC4-F4A9DBB156FC}"/>
    <cellStyle name="Comma 2 3" xfId="383" xr:uid="{5A13C53E-B2D7-4FDC-BC0E-1EA609B956F3}"/>
    <cellStyle name="Comma 3" xfId="80" xr:uid="{00000000-0005-0000-0000-00004F000000}"/>
    <cellStyle name="Comma 3 2" xfId="81" xr:uid="{00000000-0005-0000-0000-000050000000}"/>
    <cellStyle name="Comma 4" xfId="82" xr:uid="{00000000-0005-0000-0000-000051000000}"/>
    <cellStyle name="Comma 5" xfId="83" xr:uid="{00000000-0005-0000-0000-000052000000}"/>
    <cellStyle name="Comma 5 2" xfId="395" xr:uid="{95C17741-19CD-4FC7-A861-8336EF06CCC4}"/>
    <cellStyle name="Comma 6" xfId="84" xr:uid="{00000000-0005-0000-0000-000053000000}"/>
    <cellStyle name="Comma 7" xfId="85" xr:uid="{00000000-0005-0000-0000-000054000000}"/>
    <cellStyle name="Comma 7 2" xfId="391" xr:uid="{F7F9A6A9-A1AC-48F6-BA0B-BAF5025D1105}"/>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3" xfId="103" xr:uid="{00000000-0005-0000-0000-000068000000}"/>
    <cellStyle name="Currency 3 2" xfId="104" xr:uid="{00000000-0005-0000-0000-000069000000}"/>
    <cellStyle name="Currency 4" xfId="105" xr:uid="{00000000-0005-0000-0000-00006A000000}"/>
    <cellStyle name="Currency 5" xfId="402" xr:uid="{B98FF1B0-8678-4627-A856-182BC5E06414}"/>
    <cellStyle name="Currency 6" xfId="387" xr:uid="{A7DE6B94-CBEC-4CF2-AD15-D3D34E612259}"/>
    <cellStyle name="Currency 7" xfId="416" xr:uid="{1AEB864B-48A9-4CE2-97BE-07EFE0E7273C}"/>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een" xfId="142" xr:uid="{00000000-0005-0000-0000-00008F000000}"/>
    <cellStyle name="grey" xfId="143" xr:uid="{00000000-0005-0000-0000-000090000000}"/>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2" xfId="148" builtinId="17" customBuiltin="1"/>
    <cellStyle name="Heading 2 2" xfId="149" xr:uid="{00000000-0005-0000-0000-000096000000}"/>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400" xr:uid="{D9FA9126-EE55-4ED9-BD38-9CBCE8AE7CBE}"/>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94" xr:uid="{F49EE03E-90E8-45A4-8579-78D5660BEEAC}"/>
    <cellStyle name="Normal 11" xfId="183" xr:uid="{00000000-0005-0000-0000-0000BA000000}"/>
    <cellStyle name="Normal 12" xfId="381" xr:uid="{DAD2B735-6A20-4F2E-A857-42211CF407D7}"/>
    <cellStyle name="Normal 12 2" xfId="385" xr:uid="{CFE060BE-42F7-4D55-B159-6419D1DCC305}"/>
    <cellStyle name="Normal 12 3" xfId="392" xr:uid="{64812F63-A36A-434B-9DD2-553F628012EE}"/>
    <cellStyle name="Normal 13" xfId="393" xr:uid="{E5DBE176-AB04-49BB-81C8-4CE56183F132}"/>
    <cellStyle name="Normal 14" xfId="397" xr:uid="{EBF796C3-BDD0-47EC-8073-949038EC0A62}"/>
    <cellStyle name="Normal 15" xfId="417" xr:uid="{08AA7B49-9314-4250-810C-16B734C50986}"/>
    <cellStyle name="Normal 2" xfId="184" xr:uid="{00000000-0005-0000-0000-0000BB000000}"/>
    <cellStyle name="Normal 2 2" xfId="185" xr:uid="{00000000-0005-0000-0000-0000BC000000}"/>
    <cellStyle name="Normal 2 2 2" xfId="410" xr:uid="{18FBECAB-14AF-41F9-9EF1-081D3878A8CC}"/>
    <cellStyle name="Normal 2 2 2 2" xfId="414" xr:uid="{617E0B9F-6625-4507-8963-3FEF3CDA98D4}"/>
    <cellStyle name="Normal 2 3" xfId="382" xr:uid="{13020E0D-39C9-41E7-8CF4-C66CDBE8FFD2}"/>
    <cellStyle name="Normal 2 3 2" xfId="403" xr:uid="{C1F0FC26-C1A4-40DA-9B47-039BFA60341B}"/>
    <cellStyle name="Normal 2 6 2 2" xfId="401" xr:uid="{E86D5B51-BDC2-4C92-A998-6616ECDBA6E0}"/>
    <cellStyle name="Normal 3" xfId="186" xr:uid="{00000000-0005-0000-0000-0000BD000000}"/>
    <cellStyle name="Normal 3 2" xfId="187" xr:uid="{00000000-0005-0000-0000-0000BE000000}"/>
    <cellStyle name="Normal 3 4" xfId="388" xr:uid="{FEF47400-C830-4360-8D19-DAC80F18CE51}"/>
    <cellStyle name="Normal 3 8" xfId="404" xr:uid="{D1EFF233-91A1-48EA-A3E3-3F666DCB4E71}"/>
    <cellStyle name="Normal 3_Attach O, GG, Support -New Method 2-14-11" xfId="188" xr:uid="{00000000-0005-0000-0000-0000BF000000}"/>
    <cellStyle name="Normal 4" xfId="189" xr:uid="{00000000-0005-0000-0000-0000C0000000}"/>
    <cellStyle name="Normal 4 2" xfId="190" xr:uid="{00000000-0005-0000-0000-0000C1000000}"/>
    <cellStyle name="Normal 4_Attach O, GG, Support -New Method 2-14-11" xfId="191" xr:uid="{00000000-0005-0000-0000-0000C2000000}"/>
    <cellStyle name="Normal 42" xfId="389" xr:uid="{60E58600-24A5-4522-A202-5244C27B141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5" xr:uid="{787785A2-961F-49BA-979B-57DB35A39928}"/>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8" xr:uid="{12B21656-517A-49E7-9007-2762C81B63D0}"/>
    <cellStyle name="Percent 11" xfId="409" xr:uid="{8D49C140-A9FB-4B95-B78A-6A368620C717}"/>
    <cellStyle name="Percent 2" xfId="282" xr:uid="{00000000-0005-0000-0000-00002A010000}"/>
    <cellStyle name="Percent 2 2" xfId="283" xr:uid="{00000000-0005-0000-0000-00002B010000}"/>
    <cellStyle name="Percent 2 2 2" xfId="407" xr:uid="{21F21245-F044-4A15-BFDB-732AED2ECECA}"/>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3" xr:uid="{C4935AA7-43F4-46C3-AB48-CA57BA2F5EBC}"/>
    <cellStyle name="Percent 8 2" xfId="386" xr:uid="{70B09C38-DA10-4D10-9DCF-F11C0A51A886}"/>
    <cellStyle name="Percent 9" xfId="399" xr:uid="{30B6D19D-6AC8-470F-A8D4-E51256847510}"/>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96" xr:uid="{3C82D041-4ADD-454B-B7A6-0C70D04FE2A6}"/>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ystem Defined" xfId="345" xr:uid="{00000000-0005-0000-0000-000069010000}"/>
    <cellStyle name="TableHeading" xfId="346" xr:uid="{00000000-0005-0000-0000-00006A010000}"/>
    <cellStyle name="tb" xfId="347" xr:uid="{00000000-0005-0000-0000-00006B010000}"/>
    <cellStyle name="Tickmark" xfId="348" xr:uid="{00000000-0005-0000-0000-00006C010000}"/>
    <cellStyle name="Title1" xfId="349" xr:uid="{00000000-0005-0000-0000-00006D010000}"/>
    <cellStyle name="top" xfId="350" xr:uid="{00000000-0005-0000-0000-00006E010000}"/>
    <cellStyle name="Total" xfId="351" builtinId="25" customBuiltin="1"/>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822960</xdr:colOff>
          <xdr:row>15</xdr:row>
          <xdr:rowOff>106680</xdr:rowOff>
        </xdr:from>
        <xdr:to>
          <xdr:col>4</xdr:col>
          <xdr:colOff>83820</xdr:colOff>
          <xdr:row>19</xdr:row>
          <xdr:rowOff>83820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T3%20Template%20to%20Sectors.pp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DN0Q74\Documents\FINAL%20Provision%20Workbook%20-%2003.3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nesmith\OneDrive%20-%20Gridliance\Income%20Tax%20Filings\2019\Holdco\2019%20Gridliance%20Holdco%20SIT%20Workpapers%20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N0Q74\Desktop\2022%20projections\GLH%20MISO%20FRT%202022%20Projection%20-%20Effective%205-31-2021%20(Draft%209-24-2021)%20w%20ADIT%20-%2009.28.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C1">
            <v>44196</v>
          </cell>
        </row>
        <row r="2">
          <cell r="C2">
            <v>44286</v>
          </cell>
          <cell r="E2">
            <v>3</v>
          </cell>
        </row>
        <row r="3">
          <cell r="C3">
            <v>44561</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ow r="9">
          <cell r="C9">
            <v>0.21</v>
          </cell>
        </row>
        <row r="10">
          <cell r="C10">
            <v>5.7892734317605811E-2</v>
          </cell>
          <cell r="D10">
            <v>0</v>
          </cell>
          <cell r="E10">
            <v>8.8568694290062963E-2</v>
          </cell>
        </row>
        <row r="11">
          <cell r="C11">
            <v>0.25695381005520729</v>
          </cell>
          <cell r="D11">
            <v>0.20999999999999996</v>
          </cell>
          <cell r="E11">
            <v>0.29049967090220358</v>
          </cell>
        </row>
        <row r="12">
          <cell r="C12">
            <v>0.19906107573760148</v>
          </cell>
          <cell r="D12">
            <v>0.20999999999999996</v>
          </cell>
          <cell r="E12">
            <v>0.2019309766121406</v>
          </cell>
          <cell r="F12">
            <v>0.20986184649726711</v>
          </cell>
        </row>
        <row r="14">
          <cell r="C14">
            <v>0.13692287477689324</v>
          </cell>
          <cell r="E14">
            <v>0.15479844433178522</v>
          </cell>
        </row>
        <row r="17">
          <cell r="F17">
            <v>0</v>
          </cell>
        </row>
        <row r="19">
          <cell r="C19">
            <v>1.3458113553806106</v>
          </cell>
          <cell r="D19">
            <v>1.2658227848101264</v>
          </cell>
          <cell r="E19">
            <v>1.409442616145935</v>
          </cell>
          <cell r="F19">
            <v>1.2666560846904023</v>
          </cell>
        </row>
        <row r="21">
          <cell r="C21">
            <v>-1.215747420669722E-2</v>
          </cell>
          <cell r="D21">
            <v>0</v>
          </cell>
          <cell r="E21">
            <v>-1.859942580091322E-2</v>
          </cell>
          <cell r="F21">
            <v>-1.381535027328861E-4</v>
          </cell>
        </row>
        <row r="22">
          <cell r="C22">
            <v>1.2185499442987115E-3</v>
          </cell>
          <cell r="D22">
            <v>-2.7755575615628914E-17</v>
          </cell>
          <cell r="E22">
            <v>1.0530402413053828E-2</v>
          </cell>
          <cell r="F22">
            <v>1.0299920638612292E-18</v>
          </cell>
        </row>
        <row r="25">
          <cell r="F25">
            <v>6.5787382253755294E-4</v>
          </cell>
        </row>
        <row r="26">
          <cell r="F26">
            <v>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1">
          <cell r="C21" t="str">
            <v>PTBI</v>
          </cell>
        </row>
      </sheetData>
      <sheetData sheetId="61">
        <row r="358">
          <cell r="C358" t="str">
            <v>PTBI</v>
          </cell>
          <cell r="E358">
            <v>12104221.368647994</v>
          </cell>
          <cell r="F358">
            <v>9729711.0742479935</v>
          </cell>
          <cell r="G358">
            <v>2374510.2944000005</v>
          </cell>
          <cell r="H358">
            <v>2043239</v>
          </cell>
          <cell r="I358">
            <v>0</v>
          </cell>
          <cell r="J358">
            <v>2043239</v>
          </cell>
          <cell r="K358">
            <v>498647</v>
          </cell>
          <cell r="L358">
            <v>0</v>
          </cell>
          <cell r="M358">
            <v>498647</v>
          </cell>
          <cell r="N358">
            <v>2541886</v>
          </cell>
          <cell r="O358">
            <v>0</v>
          </cell>
          <cell r="P358">
            <v>2541886</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28396.155000000002</v>
          </cell>
          <cell r="F361">
            <v>28396.155000000002</v>
          </cell>
          <cell r="G361">
            <v>0</v>
          </cell>
          <cell r="H361">
            <v>5963</v>
          </cell>
          <cell r="I361">
            <v>0</v>
          </cell>
          <cell r="J361">
            <v>5963</v>
          </cell>
          <cell r="K361">
            <v>0</v>
          </cell>
          <cell r="L361">
            <v>0</v>
          </cell>
          <cell r="M361">
            <v>0</v>
          </cell>
          <cell r="N361">
            <v>5963</v>
          </cell>
          <cell r="O361">
            <v>0</v>
          </cell>
          <cell r="P361">
            <v>5963</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1282.1099999999999</v>
          </cell>
          <cell r="F362">
            <v>0</v>
          </cell>
          <cell r="G362">
            <v>1282.1099999999999</v>
          </cell>
          <cell r="H362">
            <v>0</v>
          </cell>
          <cell r="I362">
            <v>0</v>
          </cell>
          <cell r="J362">
            <v>0</v>
          </cell>
          <cell r="K362">
            <v>269</v>
          </cell>
          <cell r="L362">
            <v>0</v>
          </cell>
          <cell r="M362">
            <v>269</v>
          </cell>
          <cell r="N362">
            <v>269</v>
          </cell>
          <cell r="O362">
            <v>0</v>
          </cell>
          <cell r="P362">
            <v>269</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132000</v>
          </cell>
          <cell r="F363">
            <v>0</v>
          </cell>
          <cell r="G363">
            <v>132000</v>
          </cell>
          <cell r="H363">
            <v>0</v>
          </cell>
          <cell r="I363">
            <v>0</v>
          </cell>
          <cell r="J363">
            <v>0</v>
          </cell>
          <cell r="K363">
            <v>27720</v>
          </cell>
          <cell r="L363">
            <v>0</v>
          </cell>
          <cell r="M363">
            <v>27720</v>
          </cell>
          <cell r="N363">
            <v>27720</v>
          </cell>
          <cell r="O363">
            <v>0</v>
          </cell>
          <cell r="P363">
            <v>27720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161678.26500000001</v>
          </cell>
          <cell r="F365">
            <v>28396.155000000002</v>
          </cell>
          <cell r="G365">
            <v>133282.10999999999</v>
          </cell>
        </row>
        <row r="368">
          <cell r="C368" t="str">
            <v>F100</v>
          </cell>
          <cell r="E368">
            <v>-125007.72183379241</v>
          </cell>
          <cell r="F368">
            <v>0</v>
          </cell>
          <cell r="G368">
            <v>-125007.72183379241</v>
          </cell>
          <cell r="H368">
            <v>0</v>
          </cell>
          <cell r="I368">
            <v>0</v>
          </cell>
          <cell r="J368">
            <v>0</v>
          </cell>
          <cell r="K368">
            <v>-26252</v>
          </cell>
          <cell r="L368">
            <v>0</v>
          </cell>
          <cell r="M368">
            <v>-26252</v>
          </cell>
          <cell r="N368">
            <v>-26252</v>
          </cell>
          <cell r="O368">
            <v>0</v>
          </cell>
          <cell r="P368">
            <v>-26252</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-125007.72183379241</v>
          </cell>
          <cell r="F372">
            <v>0</v>
          </cell>
          <cell r="G372">
            <v>-125007.72183379241</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3637316.5433590692</v>
          </cell>
          <cell r="F376">
            <v>3637316.5433590692</v>
          </cell>
          <cell r="G376">
            <v>0</v>
          </cell>
          <cell r="H376">
            <v>763836</v>
          </cell>
          <cell r="I376">
            <v>0</v>
          </cell>
          <cell r="J376">
            <v>763836</v>
          </cell>
          <cell r="K376">
            <v>0</v>
          </cell>
          <cell r="L376">
            <v>0</v>
          </cell>
          <cell r="M376">
            <v>0</v>
          </cell>
          <cell r="N376">
            <v>763836</v>
          </cell>
          <cell r="O376">
            <v>0</v>
          </cell>
          <cell r="P376">
            <v>763836</v>
          </cell>
          <cell r="Q376">
            <v>0</v>
          </cell>
          <cell r="R376">
            <v>0</v>
          </cell>
          <cell r="S376">
            <v>0</v>
          </cell>
          <cell r="T376">
            <v>-763836</v>
          </cell>
          <cell r="U376">
            <v>0</v>
          </cell>
          <cell r="V376">
            <v>-763836</v>
          </cell>
          <cell r="W376">
            <v>0</v>
          </cell>
          <cell r="X376">
            <v>0</v>
          </cell>
          <cell r="Y376">
            <v>0</v>
          </cell>
          <cell r="Z376">
            <v>0</v>
          </cell>
          <cell r="AA376">
            <v>0</v>
          </cell>
          <cell r="AB376">
            <v>0</v>
          </cell>
        </row>
        <row r="377">
          <cell r="C377" t="str">
            <v>T210</v>
          </cell>
          <cell r="D377">
            <v>282</v>
          </cell>
          <cell r="E377">
            <v>-11933045.242598414</v>
          </cell>
          <cell r="F377">
            <v>-11933045.242598414</v>
          </cell>
          <cell r="G377">
            <v>0</v>
          </cell>
          <cell r="H377">
            <v>-2505940</v>
          </cell>
          <cell r="I377">
            <v>0</v>
          </cell>
          <cell r="J377">
            <v>-2505940</v>
          </cell>
          <cell r="K377">
            <v>0</v>
          </cell>
          <cell r="L377">
            <v>0</v>
          </cell>
          <cell r="M377">
            <v>0</v>
          </cell>
          <cell r="N377">
            <v>-2505940</v>
          </cell>
          <cell r="O377">
            <v>0</v>
          </cell>
          <cell r="P377">
            <v>-2505940</v>
          </cell>
          <cell r="Q377">
            <v>2505940</v>
          </cell>
          <cell r="R377">
            <v>0</v>
          </cell>
          <cell r="S377">
            <v>2505940</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2091.5700000000652</v>
          </cell>
          <cell r="F379">
            <v>0</v>
          </cell>
          <cell r="G379">
            <v>2091.5700000000652</v>
          </cell>
          <cell r="H379">
            <v>0</v>
          </cell>
          <cell r="I379">
            <v>0</v>
          </cell>
          <cell r="J379">
            <v>0</v>
          </cell>
          <cell r="K379">
            <v>439</v>
          </cell>
          <cell r="L379">
            <v>0</v>
          </cell>
          <cell r="M379">
            <v>439</v>
          </cell>
          <cell r="N379">
            <v>439</v>
          </cell>
          <cell r="O379">
            <v>0</v>
          </cell>
          <cell r="P379">
            <v>439</v>
          </cell>
          <cell r="Q379">
            <v>0</v>
          </cell>
          <cell r="R379">
            <v>0</v>
          </cell>
          <cell r="S379">
            <v>0</v>
          </cell>
          <cell r="T379">
            <v>0</v>
          </cell>
          <cell r="U379">
            <v>0</v>
          </cell>
          <cell r="V379">
            <v>0</v>
          </cell>
          <cell r="W379">
            <v>0</v>
          </cell>
          <cell r="X379">
            <v>0</v>
          </cell>
          <cell r="Y379">
            <v>0</v>
          </cell>
          <cell r="Z379">
            <v>-439</v>
          </cell>
          <cell r="AA379">
            <v>0</v>
          </cell>
          <cell r="AB379">
            <v>-439</v>
          </cell>
        </row>
        <row r="380">
          <cell r="C380" t="str">
            <v>T240</v>
          </cell>
          <cell r="D380">
            <v>282</v>
          </cell>
          <cell r="E380">
            <v>-39099.514566207588</v>
          </cell>
          <cell r="F380">
            <v>0</v>
          </cell>
          <cell r="G380">
            <v>-39099.514566207588</v>
          </cell>
          <cell r="H380">
            <v>0</v>
          </cell>
          <cell r="I380">
            <v>0</v>
          </cell>
          <cell r="J380">
            <v>0</v>
          </cell>
          <cell r="K380">
            <v>-8211</v>
          </cell>
          <cell r="L380">
            <v>0</v>
          </cell>
          <cell r="M380">
            <v>-8211</v>
          </cell>
          <cell r="N380">
            <v>-8211</v>
          </cell>
          <cell r="O380">
            <v>0</v>
          </cell>
          <cell r="P380">
            <v>-8211</v>
          </cell>
          <cell r="Q380">
            <v>0</v>
          </cell>
          <cell r="R380">
            <v>0</v>
          </cell>
          <cell r="S380">
            <v>0</v>
          </cell>
          <cell r="T380">
            <v>0</v>
          </cell>
          <cell r="U380">
            <v>0</v>
          </cell>
          <cell r="V380">
            <v>0</v>
          </cell>
          <cell r="W380">
            <v>8211</v>
          </cell>
          <cell r="X380">
            <v>0</v>
          </cell>
          <cell r="Y380">
            <v>8211</v>
          </cell>
          <cell r="Z380">
            <v>0</v>
          </cell>
          <cell r="AA380">
            <v>0</v>
          </cell>
          <cell r="AB380">
            <v>0</v>
          </cell>
        </row>
        <row r="381">
          <cell r="C381" t="str">
            <v>T300</v>
          </cell>
          <cell r="D381">
            <v>283</v>
          </cell>
          <cell r="E381">
            <v>2033513.142</v>
          </cell>
          <cell r="F381">
            <v>0</v>
          </cell>
          <cell r="G381">
            <v>2033513.142</v>
          </cell>
          <cell r="H381">
            <v>0</v>
          </cell>
          <cell r="I381">
            <v>0</v>
          </cell>
          <cell r="J381">
            <v>0</v>
          </cell>
          <cell r="K381">
            <v>427038</v>
          </cell>
          <cell r="L381">
            <v>0</v>
          </cell>
          <cell r="M381">
            <v>427038</v>
          </cell>
          <cell r="N381">
            <v>427038</v>
          </cell>
          <cell r="O381">
            <v>0</v>
          </cell>
          <cell r="P381">
            <v>427038</v>
          </cell>
          <cell r="Q381">
            <v>0</v>
          </cell>
          <cell r="R381">
            <v>0</v>
          </cell>
          <cell r="S381">
            <v>0</v>
          </cell>
          <cell r="T381">
            <v>0</v>
          </cell>
          <cell r="U381">
            <v>0</v>
          </cell>
          <cell r="V381">
            <v>0</v>
          </cell>
          <cell r="W381">
            <v>0</v>
          </cell>
          <cell r="X381">
            <v>0</v>
          </cell>
          <cell r="Y381">
            <v>0</v>
          </cell>
          <cell r="Z381">
            <v>-427038</v>
          </cell>
          <cell r="AA381">
            <v>0</v>
          </cell>
          <cell r="AB381">
            <v>-427038</v>
          </cell>
        </row>
        <row r="382">
          <cell r="C382" t="str">
            <v>T310</v>
          </cell>
          <cell r="D382">
            <v>283</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C383" t="str">
            <v>T320</v>
          </cell>
          <cell r="D383">
            <v>283</v>
          </cell>
          <cell r="E383">
            <v>-1057587.572128905</v>
          </cell>
          <cell r="F383">
            <v>-1057587.572128905</v>
          </cell>
          <cell r="G383">
            <v>0</v>
          </cell>
          <cell r="H383">
            <v>-222093</v>
          </cell>
          <cell r="I383">
            <v>0</v>
          </cell>
          <cell r="J383">
            <v>-222093</v>
          </cell>
          <cell r="K383">
            <v>0</v>
          </cell>
          <cell r="L383">
            <v>0</v>
          </cell>
          <cell r="M383">
            <v>0</v>
          </cell>
          <cell r="N383">
            <v>-222093</v>
          </cell>
          <cell r="O383">
            <v>0</v>
          </cell>
          <cell r="P383">
            <v>-222093</v>
          </cell>
          <cell r="Q383">
            <v>222093</v>
          </cell>
          <cell r="R383">
            <v>0</v>
          </cell>
          <cell r="S383">
            <v>222093</v>
          </cell>
          <cell r="T383">
            <v>0</v>
          </cell>
          <cell r="U383">
            <v>0</v>
          </cell>
          <cell r="V383">
            <v>0</v>
          </cell>
          <cell r="W383">
            <v>0</v>
          </cell>
          <cell r="X383">
            <v>0</v>
          </cell>
          <cell r="Y383">
            <v>0</v>
          </cell>
          <cell r="Z383">
            <v>0</v>
          </cell>
          <cell r="AA383">
            <v>0</v>
          </cell>
          <cell r="AB383">
            <v>0</v>
          </cell>
        </row>
        <row r="384">
          <cell r="C384" t="str">
            <v>T400</v>
          </cell>
          <cell r="D384">
            <v>283</v>
          </cell>
          <cell r="E384">
            <v>-5562658</v>
          </cell>
          <cell r="F384">
            <v>0</v>
          </cell>
          <cell r="G384">
            <v>-5562658</v>
          </cell>
          <cell r="H384">
            <v>0</v>
          </cell>
          <cell r="I384">
            <v>0</v>
          </cell>
          <cell r="J384">
            <v>0</v>
          </cell>
          <cell r="K384">
            <v>-1168158</v>
          </cell>
          <cell r="L384">
            <v>0</v>
          </cell>
          <cell r="M384">
            <v>-1168158</v>
          </cell>
          <cell r="N384">
            <v>-1168158</v>
          </cell>
          <cell r="O384">
            <v>0</v>
          </cell>
          <cell r="P384">
            <v>-1168158</v>
          </cell>
          <cell r="Q384">
            <v>0</v>
          </cell>
          <cell r="R384">
            <v>0</v>
          </cell>
          <cell r="S384">
            <v>0</v>
          </cell>
          <cell r="T384">
            <v>0</v>
          </cell>
          <cell r="U384">
            <v>0</v>
          </cell>
          <cell r="V384">
            <v>0</v>
          </cell>
          <cell r="W384">
            <v>1168158</v>
          </cell>
          <cell r="X384">
            <v>0</v>
          </cell>
          <cell r="Y384">
            <v>1168158</v>
          </cell>
          <cell r="Z384">
            <v>0</v>
          </cell>
          <cell r="AA384">
            <v>0</v>
          </cell>
          <cell r="AB384">
            <v>0</v>
          </cell>
        </row>
        <row r="385">
          <cell r="C385" t="str">
            <v>T410</v>
          </cell>
          <cell r="D385">
            <v>283</v>
          </cell>
          <cell r="E385">
            <v>89344.92</v>
          </cell>
          <cell r="F385">
            <v>0</v>
          </cell>
          <cell r="G385">
            <v>89344.92</v>
          </cell>
          <cell r="H385">
            <v>0</v>
          </cell>
          <cell r="I385">
            <v>0</v>
          </cell>
          <cell r="J385">
            <v>0</v>
          </cell>
          <cell r="K385">
            <v>18762</v>
          </cell>
          <cell r="L385">
            <v>0</v>
          </cell>
          <cell r="M385">
            <v>18762</v>
          </cell>
          <cell r="N385">
            <v>18762</v>
          </cell>
          <cell r="O385">
            <v>0</v>
          </cell>
          <cell r="P385">
            <v>18762</v>
          </cell>
          <cell r="Q385">
            <v>0</v>
          </cell>
          <cell r="R385">
            <v>0</v>
          </cell>
          <cell r="S385">
            <v>0</v>
          </cell>
          <cell r="T385">
            <v>0</v>
          </cell>
          <cell r="U385">
            <v>0</v>
          </cell>
          <cell r="V385">
            <v>0</v>
          </cell>
          <cell r="W385">
            <v>0</v>
          </cell>
          <cell r="X385">
            <v>0</v>
          </cell>
          <cell r="Y385">
            <v>0</v>
          </cell>
          <cell r="Z385">
            <v>-18762</v>
          </cell>
          <cell r="AA385">
            <v>0</v>
          </cell>
          <cell r="AB385">
            <v>-18762</v>
          </cell>
        </row>
        <row r="386">
          <cell r="C386" t="str">
            <v>T500</v>
          </cell>
          <cell r="D386">
            <v>283</v>
          </cell>
          <cell r="E386">
            <v>1094023.2</v>
          </cell>
          <cell r="F386">
            <v>0</v>
          </cell>
          <cell r="G386">
            <v>1094023.2</v>
          </cell>
          <cell r="H386">
            <v>0</v>
          </cell>
          <cell r="I386">
            <v>0</v>
          </cell>
          <cell r="J386">
            <v>0</v>
          </cell>
          <cell r="K386">
            <v>229745</v>
          </cell>
          <cell r="L386">
            <v>0</v>
          </cell>
          <cell r="M386">
            <v>229745</v>
          </cell>
          <cell r="N386">
            <v>229745</v>
          </cell>
          <cell r="O386">
            <v>0</v>
          </cell>
          <cell r="P386">
            <v>229745</v>
          </cell>
          <cell r="Q386">
            <v>0</v>
          </cell>
          <cell r="R386">
            <v>0</v>
          </cell>
          <cell r="S386">
            <v>0</v>
          </cell>
          <cell r="T386">
            <v>0</v>
          </cell>
          <cell r="U386">
            <v>0</v>
          </cell>
          <cell r="V386">
            <v>0</v>
          </cell>
          <cell r="W386">
            <v>0</v>
          </cell>
          <cell r="X386">
            <v>0</v>
          </cell>
          <cell r="Y386">
            <v>0</v>
          </cell>
          <cell r="Z386">
            <v>-229745</v>
          </cell>
          <cell r="AA386">
            <v>0</v>
          </cell>
          <cell r="AB386">
            <v>-229745</v>
          </cell>
        </row>
        <row r="387">
          <cell r="C387" t="str">
            <v>T600</v>
          </cell>
          <cell r="D387">
            <v>283</v>
          </cell>
          <cell r="E387">
            <v>-37670.357651167258</v>
          </cell>
          <cell r="F387">
            <v>-37670.357651167258</v>
          </cell>
          <cell r="G387">
            <v>0</v>
          </cell>
          <cell r="H387">
            <v>-7911</v>
          </cell>
          <cell r="I387">
            <v>0</v>
          </cell>
          <cell r="J387">
            <v>-7911</v>
          </cell>
          <cell r="K387">
            <v>0</v>
          </cell>
          <cell r="L387">
            <v>0</v>
          </cell>
          <cell r="M387">
            <v>0</v>
          </cell>
          <cell r="N387">
            <v>-7911</v>
          </cell>
          <cell r="O387">
            <v>0</v>
          </cell>
          <cell r="P387">
            <v>-7911</v>
          </cell>
          <cell r="Q387">
            <v>7911</v>
          </cell>
          <cell r="R387">
            <v>0</v>
          </cell>
          <cell r="S387">
            <v>7911</v>
          </cell>
          <cell r="T387">
            <v>0</v>
          </cell>
          <cell r="U387">
            <v>0</v>
          </cell>
          <cell r="V387">
            <v>0</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-11773771.311585626</v>
          </cell>
          <cell r="F390">
            <v>-9390986.6290194169</v>
          </cell>
          <cell r="G390">
            <v>-2382784.6825662078</v>
          </cell>
        </row>
        <row r="392">
          <cell r="E392">
            <v>367120.60022857785</v>
          </cell>
          <cell r="F392">
            <v>367120.60022857599</v>
          </cell>
          <cell r="G392">
            <v>0</v>
          </cell>
        </row>
        <row r="393">
          <cell r="C393" t="str">
            <v>Federal_NOL</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C394" t="str">
            <v>Federal_TEO</v>
          </cell>
          <cell r="E394">
            <v>-171493</v>
          </cell>
          <cell r="F394">
            <v>-171493</v>
          </cell>
          <cell r="G394">
            <v>0</v>
          </cell>
          <cell r="H394">
            <v>-36013</v>
          </cell>
          <cell r="I394">
            <v>0</v>
          </cell>
          <cell r="J394">
            <v>-36013</v>
          </cell>
          <cell r="K394">
            <v>0</v>
          </cell>
          <cell r="L394">
            <v>0</v>
          </cell>
          <cell r="M394">
            <v>0</v>
          </cell>
          <cell r="N394">
            <v>-36013</v>
          </cell>
          <cell r="O394">
            <v>0</v>
          </cell>
          <cell r="P394">
            <v>-36013</v>
          </cell>
          <cell r="Q394">
            <v>-1278043</v>
          </cell>
          <cell r="R394">
            <v>0</v>
          </cell>
          <cell r="S394">
            <v>-1278043</v>
          </cell>
          <cell r="T394">
            <v>356811</v>
          </cell>
          <cell r="U394">
            <v>0</v>
          </cell>
          <cell r="V394">
            <v>356811</v>
          </cell>
          <cell r="W394">
            <v>-549518</v>
          </cell>
          <cell r="X394">
            <v>0</v>
          </cell>
          <cell r="Y394">
            <v>-549518</v>
          </cell>
          <cell r="Z394">
            <v>315773</v>
          </cell>
          <cell r="AA394">
            <v>0</v>
          </cell>
          <cell r="AB394">
            <v>315773</v>
          </cell>
        </row>
        <row r="395">
          <cell r="E395">
            <v>195627.60022857785</v>
          </cell>
          <cell r="F395">
            <v>195627.60022857599</v>
          </cell>
          <cell r="G395">
            <v>0</v>
          </cell>
        </row>
        <row r="397">
          <cell r="C397" t="str">
            <v>State_IT</v>
          </cell>
          <cell r="E397">
            <v>0</v>
          </cell>
          <cell r="F397">
            <v>0</v>
          </cell>
          <cell r="G397">
            <v>0</v>
          </cell>
        </row>
        <row r="398">
          <cell r="C398" t="str">
            <v>State_Dep</v>
          </cell>
          <cell r="E398">
            <v>0</v>
          </cell>
          <cell r="F398">
            <v>0</v>
          </cell>
          <cell r="G398">
            <v>0</v>
          </cell>
        </row>
        <row r="399">
          <cell r="E399">
            <v>367120.60022857785</v>
          </cell>
          <cell r="F399">
            <v>367120.60022857599</v>
          </cell>
          <cell r="G399">
            <v>0</v>
          </cell>
        </row>
        <row r="400">
          <cell r="C400" t="str">
            <v>State_NOL</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C401" t="str">
            <v>State_TEO</v>
          </cell>
          <cell r="E401">
            <v>-171493</v>
          </cell>
          <cell r="F401">
            <v>-171493</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E402">
            <v>195627.60022857785</v>
          </cell>
          <cell r="F402">
            <v>195627.60022857599</v>
          </cell>
          <cell r="G402">
            <v>0</v>
          </cell>
        </row>
        <row r="404">
          <cell r="C404" t="str">
            <v>Rounding</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41081</v>
          </cell>
          <cell r="I406">
            <v>0</v>
          </cell>
          <cell r="J406">
            <v>41081</v>
          </cell>
          <cell r="K406">
            <v>-1</v>
          </cell>
          <cell r="L406">
            <v>0</v>
          </cell>
          <cell r="M406">
            <v>-1</v>
          </cell>
          <cell r="N406">
            <v>41080</v>
          </cell>
          <cell r="O406">
            <v>0</v>
          </cell>
          <cell r="P406">
            <v>41080</v>
          </cell>
          <cell r="Q406">
            <v>1457901</v>
          </cell>
          <cell r="R406">
            <v>0</v>
          </cell>
          <cell r="S406">
            <v>1457901</v>
          </cell>
          <cell r="T406">
            <v>-407025</v>
          </cell>
          <cell r="U406">
            <v>0</v>
          </cell>
          <cell r="V406">
            <v>-407025</v>
          </cell>
          <cell r="W406">
            <v>626851</v>
          </cell>
          <cell r="X406">
            <v>0</v>
          </cell>
          <cell r="Y406">
            <v>626851</v>
          </cell>
          <cell r="Z406">
            <v>-360211</v>
          </cell>
          <cell r="AA406">
            <v>0</v>
          </cell>
          <cell r="AB406">
            <v>-360211</v>
          </cell>
        </row>
        <row r="409">
          <cell r="C409" t="str">
            <v>Discrete_1</v>
          </cell>
          <cell r="E409">
            <v>0</v>
          </cell>
          <cell r="F409">
            <v>0</v>
          </cell>
          <cell r="G409">
            <v>0</v>
          </cell>
        </row>
        <row r="410">
          <cell r="C410" t="str">
            <v>Discrete_2</v>
          </cell>
          <cell r="E410">
            <v>0</v>
          </cell>
          <cell r="F410">
            <v>0</v>
          </cell>
          <cell r="G410">
            <v>0</v>
          </cell>
        </row>
        <row r="412">
          <cell r="H412">
            <v>41081</v>
          </cell>
          <cell r="I412">
            <v>0</v>
          </cell>
          <cell r="J412">
            <v>41081</v>
          </cell>
          <cell r="K412">
            <v>-1</v>
          </cell>
          <cell r="L412">
            <v>0</v>
          </cell>
          <cell r="M412">
            <v>-1</v>
          </cell>
          <cell r="N412">
            <v>41080</v>
          </cell>
          <cell r="O412">
            <v>0</v>
          </cell>
          <cell r="P412">
            <v>41080</v>
          </cell>
          <cell r="Q412">
            <v>1457901</v>
          </cell>
          <cell r="R412">
            <v>0</v>
          </cell>
          <cell r="S412">
            <v>1457901</v>
          </cell>
          <cell r="T412">
            <v>-407025</v>
          </cell>
          <cell r="U412">
            <v>0</v>
          </cell>
          <cell r="V412">
            <v>-407025</v>
          </cell>
          <cell r="W412">
            <v>626851</v>
          </cell>
          <cell r="X412">
            <v>0</v>
          </cell>
          <cell r="Y412">
            <v>626851</v>
          </cell>
          <cell r="Z412">
            <v>-360211</v>
          </cell>
          <cell r="AA412">
            <v>0</v>
          </cell>
          <cell r="AB412">
            <v>-360211</v>
          </cell>
        </row>
      </sheetData>
      <sheetData sheetId="62">
        <row r="21">
          <cell r="C21" t="str">
            <v>PTBI</v>
          </cell>
          <cell r="E21">
            <v>-644369.34000000008</v>
          </cell>
          <cell r="F21">
            <v>-1061560.8987499997</v>
          </cell>
          <cell r="G21">
            <v>417191.5587499995</v>
          </cell>
          <cell r="H21">
            <v>-214362</v>
          </cell>
          <cell r="I21">
            <v>-94021</v>
          </cell>
          <cell r="J21">
            <v>-308383</v>
          </cell>
          <cell r="K21">
            <v>84244</v>
          </cell>
          <cell r="L21">
            <v>36950</v>
          </cell>
          <cell r="M21">
            <v>121194</v>
          </cell>
          <cell r="N21">
            <v>-130118</v>
          </cell>
          <cell r="O21">
            <v>-57071</v>
          </cell>
          <cell r="P21">
            <v>-187189</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1782.7900000000002</v>
          </cell>
          <cell r="F24">
            <v>1782.7900000000002</v>
          </cell>
          <cell r="G24">
            <v>0</v>
          </cell>
          <cell r="H24">
            <v>360</v>
          </cell>
          <cell r="I24">
            <v>158</v>
          </cell>
          <cell r="J24">
            <v>518</v>
          </cell>
          <cell r="K24">
            <v>0</v>
          </cell>
          <cell r="L24">
            <v>0</v>
          </cell>
          <cell r="M24">
            <v>0</v>
          </cell>
          <cell r="N24">
            <v>360</v>
          </cell>
          <cell r="O24">
            <v>158</v>
          </cell>
          <cell r="P24">
            <v>518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3275.6600000000003</v>
          </cell>
          <cell r="F25">
            <v>0</v>
          </cell>
          <cell r="G25">
            <v>3275.6600000000003</v>
          </cell>
          <cell r="H25">
            <v>0</v>
          </cell>
          <cell r="I25">
            <v>0</v>
          </cell>
          <cell r="J25">
            <v>0</v>
          </cell>
          <cell r="K25">
            <v>661</v>
          </cell>
          <cell r="L25">
            <v>290</v>
          </cell>
          <cell r="M25">
            <v>951</v>
          </cell>
          <cell r="N25">
            <v>661</v>
          </cell>
          <cell r="O25">
            <v>290</v>
          </cell>
          <cell r="P25">
            <v>951</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256721.35</v>
          </cell>
          <cell r="F26">
            <v>0</v>
          </cell>
          <cell r="G26">
            <v>256721.35</v>
          </cell>
          <cell r="H26">
            <v>0</v>
          </cell>
          <cell r="I26">
            <v>0</v>
          </cell>
          <cell r="J26">
            <v>0</v>
          </cell>
          <cell r="K26">
            <v>51840</v>
          </cell>
          <cell r="L26">
            <v>22737</v>
          </cell>
          <cell r="M26">
            <v>74577</v>
          </cell>
          <cell r="N26">
            <v>51840</v>
          </cell>
          <cell r="O26">
            <v>22737</v>
          </cell>
          <cell r="P26">
            <v>74577</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261779.80000000002</v>
          </cell>
          <cell r="F28">
            <v>1782.7900000000002</v>
          </cell>
          <cell r="G28">
            <v>259997.01</v>
          </cell>
        </row>
        <row r="31">
          <cell r="C31" t="str">
            <v>F100</v>
          </cell>
          <cell r="E31">
            <v>-18798.441595448192</v>
          </cell>
          <cell r="F31">
            <v>0</v>
          </cell>
          <cell r="G31">
            <v>-18798.441595448192</v>
          </cell>
          <cell r="H31">
            <v>0</v>
          </cell>
          <cell r="I31">
            <v>0</v>
          </cell>
          <cell r="J31">
            <v>0</v>
          </cell>
          <cell r="K31">
            <v>-3796</v>
          </cell>
          <cell r="L31">
            <v>-1665</v>
          </cell>
          <cell r="M31">
            <v>-5461</v>
          </cell>
          <cell r="N31">
            <v>-3796</v>
          </cell>
          <cell r="O31">
            <v>-1665</v>
          </cell>
          <cell r="P31">
            <v>-5461</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-517532.51999999955</v>
          </cell>
          <cell r="F33">
            <v>0</v>
          </cell>
          <cell r="G33">
            <v>-517532.51999999955</v>
          </cell>
          <cell r="H33">
            <v>0</v>
          </cell>
          <cell r="I33">
            <v>0</v>
          </cell>
          <cell r="J33">
            <v>0</v>
          </cell>
          <cell r="K33">
            <v>-104506</v>
          </cell>
          <cell r="L33">
            <v>-45837</v>
          </cell>
          <cell r="M33">
            <v>-150343</v>
          </cell>
          <cell r="N33">
            <v>-104506</v>
          </cell>
          <cell r="O33">
            <v>-45837</v>
          </cell>
          <cell r="P33">
            <v>-150343</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-536330.96159544773</v>
          </cell>
          <cell r="F35">
            <v>0</v>
          </cell>
          <cell r="G35">
            <v>-536330.96159544773</v>
          </cell>
        </row>
        <row r="38">
          <cell r="C38" t="str">
            <v>T100</v>
          </cell>
          <cell r="D38">
            <v>190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C39" t="str">
            <v>T200</v>
          </cell>
          <cell r="D39">
            <v>282</v>
          </cell>
          <cell r="E39">
            <v>130944.38960000001</v>
          </cell>
          <cell r="F39">
            <v>130944.38960000001</v>
          </cell>
          <cell r="G39">
            <v>0</v>
          </cell>
          <cell r="H39">
            <v>26442</v>
          </cell>
          <cell r="I39">
            <v>11598</v>
          </cell>
          <cell r="J39">
            <v>38040</v>
          </cell>
          <cell r="K39">
            <v>0</v>
          </cell>
          <cell r="L39">
            <v>0</v>
          </cell>
          <cell r="M39">
            <v>0</v>
          </cell>
          <cell r="N39">
            <v>26442</v>
          </cell>
          <cell r="O39">
            <v>11598</v>
          </cell>
          <cell r="P39">
            <v>38040</v>
          </cell>
          <cell r="Q39">
            <v>0</v>
          </cell>
          <cell r="R39">
            <v>0</v>
          </cell>
          <cell r="S39">
            <v>0</v>
          </cell>
          <cell r="T39">
            <v>-26442</v>
          </cell>
          <cell r="U39">
            <v>-11598</v>
          </cell>
          <cell r="V39">
            <v>-38040</v>
          </cell>
          <cell r="W39">
            <v>0</v>
          </cell>
          <cell r="X39">
            <v>0</v>
          </cell>
          <cell r="Y39">
            <v>0</v>
          </cell>
          <cell r="Z39">
            <v>0</v>
          </cell>
          <cell r="AA39">
            <v>0</v>
          </cell>
          <cell r="AB39">
            <v>0</v>
          </cell>
        </row>
        <row r="40">
          <cell r="C40" t="str">
            <v>T210</v>
          </cell>
          <cell r="D40">
            <v>282</v>
          </cell>
          <cell r="E40">
            <v>-478322.62464426819</v>
          </cell>
          <cell r="F40">
            <v>-478322.62464426819</v>
          </cell>
          <cell r="G40">
            <v>0</v>
          </cell>
          <cell r="H40">
            <v>-96588</v>
          </cell>
          <cell r="I40">
            <v>-42364</v>
          </cell>
          <cell r="J40">
            <v>-138952</v>
          </cell>
          <cell r="K40">
            <v>0</v>
          </cell>
          <cell r="L40">
            <v>0</v>
          </cell>
          <cell r="M40">
            <v>0</v>
          </cell>
          <cell r="N40">
            <v>-96588</v>
          </cell>
          <cell r="O40">
            <v>-42364</v>
          </cell>
          <cell r="P40">
            <v>-138952</v>
          </cell>
          <cell r="Q40">
            <v>96588</v>
          </cell>
          <cell r="R40">
            <v>42364</v>
          </cell>
          <cell r="S40">
            <v>138952</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10291.069999999949</v>
          </cell>
          <cell r="F42">
            <v>0</v>
          </cell>
          <cell r="G42">
            <v>10291.069999999949</v>
          </cell>
          <cell r="H42">
            <v>0</v>
          </cell>
          <cell r="I42">
            <v>0</v>
          </cell>
          <cell r="J42">
            <v>0</v>
          </cell>
          <cell r="K42">
            <v>2078</v>
          </cell>
          <cell r="L42">
            <v>911</v>
          </cell>
          <cell r="M42">
            <v>2989</v>
          </cell>
          <cell r="N42">
            <v>2078</v>
          </cell>
          <cell r="O42">
            <v>911</v>
          </cell>
          <cell r="P42">
            <v>2989</v>
          </cell>
          <cell r="Q42">
            <v>0</v>
          </cell>
          <cell r="R42">
            <v>0</v>
          </cell>
          <cell r="S42">
            <v>0</v>
          </cell>
          <cell r="T42">
            <v>0</v>
          </cell>
          <cell r="U42">
            <v>0</v>
          </cell>
          <cell r="V42">
            <v>0</v>
          </cell>
          <cell r="W42">
            <v>0</v>
          </cell>
          <cell r="X42">
            <v>0</v>
          </cell>
          <cell r="Y42">
            <v>0</v>
          </cell>
          <cell r="Z42">
            <v>-2078</v>
          </cell>
          <cell r="AA42">
            <v>-911</v>
          </cell>
          <cell r="AB42">
            <v>-2989</v>
          </cell>
        </row>
        <row r="43">
          <cell r="C43" t="str">
            <v>T240</v>
          </cell>
          <cell r="D43">
            <v>282</v>
          </cell>
          <cell r="E43">
            <v>-2894.977154551807</v>
          </cell>
          <cell r="F43">
            <v>0</v>
          </cell>
          <cell r="G43">
            <v>-2894.977154551807</v>
          </cell>
          <cell r="H43">
            <v>0</v>
          </cell>
          <cell r="I43">
            <v>0</v>
          </cell>
          <cell r="J43">
            <v>0</v>
          </cell>
          <cell r="K43">
            <v>-585</v>
          </cell>
          <cell r="L43">
            <v>-256</v>
          </cell>
          <cell r="M43">
            <v>-841</v>
          </cell>
          <cell r="N43">
            <v>-585</v>
          </cell>
          <cell r="O43">
            <v>-256</v>
          </cell>
          <cell r="P43">
            <v>-841</v>
          </cell>
          <cell r="Q43">
            <v>0</v>
          </cell>
          <cell r="R43">
            <v>0</v>
          </cell>
          <cell r="S43">
            <v>0</v>
          </cell>
          <cell r="T43">
            <v>0</v>
          </cell>
          <cell r="U43">
            <v>0</v>
          </cell>
          <cell r="V43">
            <v>0</v>
          </cell>
          <cell r="W43">
            <v>585</v>
          </cell>
          <cell r="X43">
            <v>256</v>
          </cell>
          <cell r="Y43">
            <v>841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-148253.69999999995</v>
          </cell>
          <cell r="F45">
            <v>0</v>
          </cell>
          <cell r="G45">
            <v>-148253.69999999995</v>
          </cell>
          <cell r="H45">
            <v>0</v>
          </cell>
          <cell r="I45">
            <v>0</v>
          </cell>
          <cell r="J45">
            <v>0</v>
          </cell>
          <cell r="K45">
            <v>-29937</v>
          </cell>
          <cell r="L45">
            <v>-13131</v>
          </cell>
          <cell r="M45">
            <v>-43068</v>
          </cell>
          <cell r="N45">
            <v>-29937</v>
          </cell>
          <cell r="O45">
            <v>-13131</v>
          </cell>
          <cell r="P45">
            <v>-43068</v>
          </cell>
          <cell r="Q45">
            <v>0</v>
          </cell>
          <cell r="R45">
            <v>0</v>
          </cell>
          <cell r="S45">
            <v>0</v>
          </cell>
          <cell r="T45">
            <v>0</v>
          </cell>
          <cell r="U45">
            <v>0</v>
          </cell>
          <cell r="V45">
            <v>0</v>
          </cell>
          <cell r="W45">
            <v>29937</v>
          </cell>
          <cell r="X45">
            <v>13131</v>
          </cell>
          <cell r="Y45">
            <v>43068</v>
          </cell>
          <cell r="Z45">
            <v>0</v>
          </cell>
          <cell r="AA45">
            <v>0</v>
          </cell>
          <cell r="AB45">
            <v>0</v>
          </cell>
        </row>
        <row r="46">
          <cell r="C46" t="str">
            <v>T320</v>
          </cell>
          <cell r="D46">
            <v>283</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C47" t="str">
            <v>T400</v>
          </cell>
          <cell r="D47">
            <v>283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T410</v>
          </cell>
          <cell r="D48">
            <v>283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256412.81000000006</v>
          </cell>
          <cell r="F50">
            <v>256412.81000000006</v>
          </cell>
          <cell r="G50">
            <v>0</v>
          </cell>
          <cell r="H50">
            <v>51778</v>
          </cell>
          <cell r="I50">
            <v>22710</v>
          </cell>
          <cell r="J50">
            <v>74488</v>
          </cell>
          <cell r="K50">
            <v>0</v>
          </cell>
          <cell r="L50">
            <v>0</v>
          </cell>
          <cell r="M50">
            <v>0</v>
          </cell>
          <cell r="N50">
            <v>51778</v>
          </cell>
          <cell r="O50">
            <v>22710</v>
          </cell>
          <cell r="P50">
            <v>74488</v>
          </cell>
          <cell r="Q50">
            <v>0</v>
          </cell>
          <cell r="R50">
            <v>0</v>
          </cell>
          <cell r="S50">
            <v>0</v>
          </cell>
          <cell r="T50">
            <v>-51778</v>
          </cell>
          <cell r="U50">
            <v>-22710</v>
          </cell>
          <cell r="V50">
            <v>-74488</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-231823.03219881997</v>
          </cell>
          <cell r="F53">
            <v>-90965.425044268137</v>
          </cell>
          <cell r="G53">
            <v>-140857.60715455181</v>
          </cell>
        </row>
        <row r="55">
          <cell r="E55">
            <v>-1150743.5337942678</v>
          </cell>
          <cell r="F55">
            <v>-1150743.5337942678</v>
          </cell>
          <cell r="G55">
            <v>0</v>
          </cell>
        </row>
        <row r="56">
          <cell r="C56" t="str">
            <v>Federal_NOL</v>
          </cell>
          <cell r="E56">
            <v>1150743.5337942678</v>
          </cell>
          <cell r="F56">
            <v>1150743.5337942678</v>
          </cell>
          <cell r="G56">
            <v>0</v>
          </cell>
          <cell r="H56">
            <v>232371</v>
          </cell>
          <cell r="I56">
            <v>0</v>
          </cell>
          <cell r="J56">
            <v>232371</v>
          </cell>
          <cell r="K56">
            <v>0</v>
          </cell>
          <cell r="L56">
            <v>0</v>
          </cell>
          <cell r="M56">
            <v>0</v>
          </cell>
          <cell r="N56">
            <v>232371</v>
          </cell>
          <cell r="O56">
            <v>0</v>
          </cell>
          <cell r="P56">
            <v>232371</v>
          </cell>
          <cell r="Q56">
            <v>0</v>
          </cell>
          <cell r="R56">
            <v>0</v>
          </cell>
          <cell r="S56">
            <v>0</v>
          </cell>
          <cell r="T56">
            <v>-232371</v>
          </cell>
          <cell r="U56">
            <v>0</v>
          </cell>
          <cell r="V56">
            <v>-232371</v>
          </cell>
          <cell r="W56">
            <v>0</v>
          </cell>
          <cell r="X56">
            <v>0</v>
          </cell>
          <cell r="Y56">
            <v>0</v>
          </cell>
          <cell r="Z56">
            <v>0</v>
          </cell>
          <cell r="AA56">
            <v>0</v>
          </cell>
          <cell r="AB56">
            <v>0</v>
          </cell>
        </row>
        <row r="57">
          <cell r="C57" t="str">
            <v>Federal_TEO</v>
          </cell>
          <cell r="E57">
            <v>0</v>
          </cell>
          <cell r="F57">
            <v>0</v>
          </cell>
          <cell r="G57">
            <v>0</v>
          </cell>
          <cell r="H57">
            <v>0</v>
          </cell>
          <cell r="I57">
            <v>0</v>
          </cell>
          <cell r="J57">
            <v>0</v>
          </cell>
          <cell r="K57">
            <v>0</v>
          </cell>
          <cell r="L57">
            <v>0</v>
          </cell>
          <cell r="M57">
            <v>0</v>
          </cell>
          <cell r="N57">
            <v>0</v>
          </cell>
          <cell r="O57">
            <v>0</v>
          </cell>
          <cell r="P57">
            <v>0</v>
          </cell>
          <cell r="Q57">
            <v>-45119</v>
          </cell>
          <cell r="R57">
            <v>0</v>
          </cell>
          <cell r="S57">
            <v>-45119</v>
          </cell>
          <cell r="T57">
            <v>145086</v>
          </cell>
          <cell r="U57">
            <v>0</v>
          </cell>
          <cell r="V57">
            <v>145086</v>
          </cell>
          <cell r="W57">
            <v>-14258</v>
          </cell>
          <cell r="X57">
            <v>0</v>
          </cell>
          <cell r="Y57">
            <v>-14258</v>
          </cell>
          <cell r="Z57">
            <v>971</v>
          </cell>
          <cell r="AA57">
            <v>0</v>
          </cell>
          <cell r="AB57">
            <v>971</v>
          </cell>
        </row>
        <row r="58">
          <cell r="E58">
            <v>0</v>
          </cell>
          <cell r="F58">
            <v>0</v>
          </cell>
          <cell r="G58">
            <v>0</v>
          </cell>
        </row>
        <row r="60">
          <cell r="C60" t="str">
            <v>State_IT</v>
          </cell>
          <cell r="E60">
            <v>0</v>
          </cell>
          <cell r="F60">
            <v>0</v>
          </cell>
          <cell r="G60">
            <v>0</v>
          </cell>
        </row>
        <row r="61">
          <cell r="C61" t="str">
            <v>State_Dep</v>
          </cell>
          <cell r="E61">
            <v>0</v>
          </cell>
          <cell r="F61">
            <v>0</v>
          </cell>
          <cell r="G61">
            <v>0</v>
          </cell>
        </row>
        <row r="62">
          <cell r="E62">
            <v>-1150743.5337942678</v>
          </cell>
          <cell r="F62">
            <v>-1150743.5337942678</v>
          </cell>
          <cell r="G62">
            <v>0</v>
          </cell>
        </row>
        <row r="63">
          <cell r="C63" t="str">
            <v>State_NOL</v>
          </cell>
          <cell r="E63">
            <v>1150743.5337942678</v>
          </cell>
          <cell r="F63">
            <v>1150743.5337942678</v>
          </cell>
          <cell r="G63">
            <v>0</v>
          </cell>
          <cell r="H63">
            <v>0</v>
          </cell>
          <cell r="I63">
            <v>101920</v>
          </cell>
          <cell r="J63">
            <v>101920</v>
          </cell>
          <cell r="K63">
            <v>0</v>
          </cell>
          <cell r="L63">
            <v>0</v>
          </cell>
          <cell r="M63">
            <v>0</v>
          </cell>
          <cell r="N63">
            <v>0</v>
          </cell>
          <cell r="O63">
            <v>101920</v>
          </cell>
          <cell r="P63">
            <v>101920</v>
          </cell>
          <cell r="Q63">
            <v>0</v>
          </cell>
          <cell r="R63">
            <v>0</v>
          </cell>
          <cell r="S63">
            <v>0</v>
          </cell>
          <cell r="T63">
            <v>0</v>
          </cell>
          <cell r="U63">
            <v>-101920</v>
          </cell>
          <cell r="V63">
            <v>-101920</v>
          </cell>
          <cell r="W63">
            <v>0</v>
          </cell>
          <cell r="X63">
            <v>0</v>
          </cell>
          <cell r="Y63">
            <v>0</v>
          </cell>
          <cell r="Z63">
            <v>0</v>
          </cell>
          <cell r="AA63">
            <v>0</v>
          </cell>
          <cell r="AB63">
            <v>0</v>
          </cell>
        </row>
        <row r="64">
          <cell r="C64" t="str">
            <v>State_TEO</v>
          </cell>
          <cell r="E64">
            <v>0</v>
          </cell>
          <cell r="F64">
            <v>0</v>
          </cell>
          <cell r="G64">
            <v>0</v>
          </cell>
          <cell r="H64">
            <v>0</v>
          </cell>
          <cell r="I64">
            <v>0</v>
          </cell>
          <cell r="J64">
            <v>0</v>
          </cell>
          <cell r="K64">
            <v>0</v>
          </cell>
          <cell r="L64">
            <v>0</v>
          </cell>
          <cell r="M64">
            <v>0</v>
          </cell>
          <cell r="N64">
            <v>0</v>
          </cell>
          <cell r="O64">
            <v>0</v>
          </cell>
          <cell r="P64">
            <v>0</v>
          </cell>
          <cell r="Q64">
            <v>0</v>
          </cell>
          <cell r="R64">
            <v>-19790</v>
          </cell>
          <cell r="S64">
            <v>-19790</v>
          </cell>
          <cell r="T64">
            <v>0</v>
          </cell>
          <cell r="U64">
            <v>63636</v>
          </cell>
          <cell r="V64">
            <v>63636</v>
          </cell>
          <cell r="W64">
            <v>0</v>
          </cell>
          <cell r="X64">
            <v>-6253</v>
          </cell>
          <cell r="Y64">
            <v>-6253</v>
          </cell>
          <cell r="Z64">
            <v>0</v>
          </cell>
          <cell r="AA64">
            <v>426</v>
          </cell>
          <cell r="AB64">
            <v>426</v>
          </cell>
        </row>
        <row r="65">
          <cell r="E65">
            <v>0</v>
          </cell>
          <cell r="F65">
            <v>0</v>
          </cell>
          <cell r="G65">
            <v>0</v>
          </cell>
        </row>
        <row r="67">
          <cell r="C67" t="str">
            <v>Rounding</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1</v>
          </cell>
          <cell r="I69">
            <v>1</v>
          </cell>
          <cell r="J69">
            <v>2</v>
          </cell>
          <cell r="K69">
            <v>-1</v>
          </cell>
          <cell r="L69">
            <v>-1</v>
          </cell>
          <cell r="M69">
            <v>-2</v>
          </cell>
          <cell r="N69">
            <v>0</v>
          </cell>
          <cell r="O69">
            <v>0</v>
          </cell>
          <cell r="P69">
            <v>0</v>
          </cell>
          <cell r="Q69">
            <v>51469</v>
          </cell>
          <cell r="R69">
            <v>22574</v>
          </cell>
          <cell r="S69">
            <v>74043</v>
          </cell>
          <cell r="T69">
            <v>-165505</v>
          </cell>
          <cell r="U69">
            <v>-72592</v>
          </cell>
          <cell r="V69">
            <v>-238097</v>
          </cell>
          <cell r="W69">
            <v>16264</v>
          </cell>
          <cell r="X69">
            <v>7134</v>
          </cell>
          <cell r="Y69">
            <v>23398</v>
          </cell>
          <cell r="Z69">
            <v>-1107</v>
          </cell>
          <cell r="AA69">
            <v>-485</v>
          </cell>
          <cell r="AB69">
            <v>-1592</v>
          </cell>
        </row>
        <row r="72">
          <cell r="C72" t="str">
            <v>Discrete_1</v>
          </cell>
          <cell r="E72">
            <v>0</v>
          </cell>
          <cell r="F72">
            <v>0</v>
          </cell>
          <cell r="G72">
            <v>0</v>
          </cell>
        </row>
        <row r="73">
          <cell r="C73" t="str">
            <v>Discrete_2</v>
          </cell>
          <cell r="E73">
            <v>0</v>
          </cell>
          <cell r="F73">
            <v>0</v>
          </cell>
          <cell r="G73">
            <v>0</v>
          </cell>
        </row>
        <row r="75">
          <cell r="H75">
            <v>1</v>
          </cell>
          <cell r="I75">
            <v>1</v>
          </cell>
          <cell r="J75">
            <v>2</v>
          </cell>
          <cell r="K75">
            <v>-1</v>
          </cell>
          <cell r="L75">
            <v>-1</v>
          </cell>
          <cell r="M75">
            <v>-2</v>
          </cell>
          <cell r="N75">
            <v>0</v>
          </cell>
          <cell r="O75">
            <v>0</v>
          </cell>
          <cell r="P75">
            <v>0</v>
          </cell>
          <cell r="Q75">
            <v>51469</v>
          </cell>
          <cell r="R75">
            <v>22574</v>
          </cell>
          <cell r="S75">
            <v>74043</v>
          </cell>
          <cell r="T75">
            <v>-165505</v>
          </cell>
          <cell r="U75">
            <v>-72592</v>
          </cell>
          <cell r="V75">
            <v>-238097</v>
          </cell>
          <cell r="W75">
            <v>16264</v>
          </cell>
          <cell r="X75">
            <v>7134</v>
          </cell>
          <cell r="Y75">
            <v>23398</v>
          </cell>
          <cell r="Z75">
            <v>-1107</v>
          </cell>
          <cell r="AA75">
            <v>-485</v>
          </cell>
          <cell r="AB75">
            <v>-1592</v>
          </cell>
        </row>
        <row r="358">
          <cell r="C358" t="str">
            <v>PTBI</v>
          </cell>
          <cell r="E358">
            <v>314525.46033222787</v>
          </cell>
          <cell r="F358">
            <v>-1170080.3242570397</v>
          </cell>
          <cell r="G358">
            <v>1484605.7845892676</v>
          </cell>
          <cell r="H358">
            <v>-236275</v>
          </cell>
          <cell r="I358">
            <v>-103632</v>
          </cell>
          <cell r="J358">
            <v>-339907</v>
          </cell>
          <cell r="K358">
            <v>299788</v>
          </cell>
          <cell r="L358">
            <v>131490</v>
          </cell>
          <cell r="M358">
            <v>431278</v>
          </cell>
          <cell r="N358">
            <v>63513</v>
          </cell>
          <cell r="O358">
            <v>27858</v>
          </cell>
          <cell r="P358">
            <v>91371</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7131.1600000000008</v>
          </cell>
          <cell r="F361">
            <v>7131.1600000000008</v>
          </cell>
          <cell r="G361">
            <v>0</v>
          </cell>
          <cell r="H361">
            <v>1440</v>
          </cell>
          <cell r="I361">
            <v>632</v>
          </cell>
          <cell r="J361">
            <v>2072</v>
          </cell>
          <cell r="K361">
            <v>0</v>
          </cell>
          <cell r="L361">
            <v>0</v>
          </cell>
          <cell r="M361">
            <v>0</v>
          </cell>
          <cell r="N361">
            <v>1440</v>
          </cell>
          <cell r="O361">
            <v>632</v>
          </cell>
          <cell r="P361">
            <v>2072</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13102.640000000001</v>
          </cell>
          <cell r="F362">
            <v>0</v>
          </cell>
          <cell r="G362">
            <v>13102.640000000001</v>
          </cell>
          <cell r="H362">
            <v>0</v>
          </cell>
          <cell r="I362">
            <v>0</v>
          </cell>
          <cell r="J362">
            <v>0</v>
          </cell>
          <cell r="K362">
            <v>2646</v>
          </cell>
          <cell r="L362">
            <v>1160</v>
          </cell>
          <cell r="M362">
            <v>3806</v>
          </cell>
          <cell r="N362">
            <v>2646</v>
          </cell>
          <cell r="O362">
            <v>1160</v>
          </cell>
          <cell r="P362">
            <v>3806</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1026885.4</v>
          </cell>
          <cell r="F363">
            <v>0</v>
          </cell>
          <cell r="G363">
            <v>1026885.4</v>
          </cell>
          <cell r="H363">
            <v>0</v>
          </cell>
          <cell r="I363">
            <v>0</v>
          </cell>
          <cell r="J363">
            <v>0</v>
          </cell>
          <cell r="K363">
            <v>207360</v>
          </cell>
          <cell r="L363">
            <v>90950</v>
          </cell>
          <cell r="M363">
            <v>298310</v>
          </cell>
          <cell r="N363">
            <v>207360</v>
          </cell>
          <cell r="O363">
            <v>90950</v>
          </cell>
          <cell r="P363">
            <v>298310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1047119.2000000001</v>
          </cell>
          <cell r="F365">
            <v>7131.1600000000008</v>
          </cell>
          <cell r="G365">
            <v>1039988.04</v>
          </cell>
        </row>
        <row r="368">
          <cell r="C368" t="str">
            <v>F100</v>
          </cell>
          <cell r="E368">
            <v>-75193.766381792768</v>
          </cell>
          <cell r="F368">
            <v>0</v>
          </cell>
          <cell r="G368">
            <v>-75193.766381792768</v>
          </cell>
          <cell r="H368">
            <v>0</v>
          </cell>
          <cell r="I368">
            <v>0</v>
          </cell>
          <cell r="J368">
            <v>0</v>
          </cell>
          <cell r="K368">
            <v>-15184</v>
          </cell>
          <cell r="L368">
            <v>-6660</v>
          </cell>
          <cell r="M368">
            <v>-21844</v>
          </cell>
          <cell r="N368">
            <v>-15184</v>
          </cell>
          <cell r="O368">
            <v>-6660</v>
          </cell>
          <cell r="P368">
            <v>-21844</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-2149123.268818547</v>
          </cell>
          <cell r="F370">
            <v>0</v>
          </cell>
          <cell r="G370">
            <v>-2149123.268818547</v>
          </cell>
          <cell r="H370">
            <v>0</v>
          </cell>
          <cell r="I370">
            <v>0</v>
          </cell>
          <cell r="J370">
            <v>0</v>
          </cell>
          <cell r="K370">
            <v>-433975</v>
          </cell>
          <cell r="L370">
            <v>-190345</v>
          </cell>
          <cell r="M370">
            <v>-624320</v>
          </cell>
          <cell r="N370">
            <v>-433975</v>
          </cell>
          <cell r="O370">
            <v>-190345</v>
          </cell>
          <cell r="P370">
            <v>-624320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-2224317.0352003397</v>
          </cell>
          <cell r="F372">
            <v>0</v>
          </cell>
          <cell r="G372">
            <v>-2224317.0352003397</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574187.26217600121</v>
          </cell>
          <cell r="F376">
            <v>574187.26217600121</v>
          </cell>
          <cell r="G376">
            <v>0</v>
          </cell>
          <cell r="H376">
            <v>115946</v>
          </cell>
          <cell r="I376">
            <v>50855</v>
          </cell>
          <cell r="J376">
            <v>166801</v>
          </cell>
          <cell r="K376">
            <v>0</v>
          </cell>
          <cell r="L376">
            <v>0</v>
          </cell>
          <cell r="M376">
            <v>0</v>
          </cell>
          <cell r="N376">
            <v>115946</v>
          </cell>
          <cell r="O376">
            <v>50855</v>
          </cell>
          <cell r="P376">
            <v>166801</v>
          </cell>
          <cell r="Q376">
            <v>0</v>
          </cell>
          <cell r="R376">
            <v>0</v>
          </cell>
          <cell r="S376">
            <v>0</v>
          </cell>
          <cell r="T376">
            <v>-115946</v>
          </cell>
          <cell r="U376">
            <v>-50855</v>
          </cell>
          <cell r="V376">
            <v>-166801</v>
          </cell>
          <cell r="W376">
            <v>0</v>
          </cell>
          <cell r="X376">
            <v>0</v>
          </cell>
          <cell r="Y376">
            <v>0</v>
          </cell>
          <cell r="Z376">
            <v>0</v>
          </cell>
          <cell r="AA376">
            <v>0</v>
          </cell>
          <cell r="AB376">
            <v>0</v>
          </cell>
        </row>
        <row r="377">
          <cell r="C377" t="str">
            <v>T210</v>
          </cell>
          <cell r="D377">
            <v>282</v>
          </cell>
          <cell r="E377">
            <v>-1913290.4985770728</v>
          </cell>
          <cell r="F377">
            <v>-1913290.4985770728</v>
          </cell>
          <cell r="G377">
            <v>0</v>
          </cell>
          <cell r="H377">
            <v>-386353</v>
          </cell>
          <cell r="I377">
            <v>-169458</v>
          </cell>
          <cell r="J377">
            <v>-555811</v>
          </cell>
          <cell r="K377">
            <v>0</v>
          </cell>
          <cell r="L377">
            <v>0</v>
          </cell>
          <cell r="M377">
            <v>0</v>
          </cell>
          <cell r="N377">
            <v>-386353</v>
          </cell>
          <cell r="O377">
            <v>-169458</v>
          </cell>
          <cell r="P377">
            <v>-555811</v>
          </cell>
          <cell r="Q377">
            <v>386353</v>
          </cell>
          <cell r="R377">
            <v>169458</v>
          </cell>
          <cell r="S377">
            <v>555811</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10291.069999999949</v>
          </cell>
          <cell r="F379">
            <v>0</v>
          </cell>
          <cell r="G379">
            <v>10291.069999999949</v>
          </cell>
          <cell r="H379">
            <v>0</v>
          </cell>
          <cell r="I379">
            <v>0</v>
          </cell>
          <cell r="J379">
            <v>0</v>
          </cell>
          <cell r="K379">
            <v>2078</v>
          </cell>
          <cell r="L379">
            <v>911</v>
          </cell>
          <cell r="M379">
            <v>2989</v>
          </cell>
          <cell r="N379">
            <v>2078</v>
          </cell>
          <cell r="O379">
            <v>911</v>
          </cell>
          <cell r="P379">
            <v>2989</v>
          </cell>
          <cell r="Q379">
            <v>0</v>
          </cell>
          <cell r="R379">
            <v>0</v>
          </cell>
          <cell r="S379">
            <v>0</v>
          </cell>
          <cell r="T379">
            <v>0</v>
          </cell>
          <cell r="U379">
            <v>0</v>
          </cell>
          <cell r="V379">
            <v>0</v>
          </cell>
          <cell r="W379">
            <v>0</v>
          </cell>
          <cell r="X379">
            <v>0</v>
          </cell>
          <cell r="Y379">
            <v>0</v>
          </cell>
          <cell r="Z379">
            <v>-2078</v>
          </cell>
          <cell r="AA379">
            <v>-911</v>
          </cell>
          <cell r="AB379">
            <v>-2989</v>
          </cell>
        </row>
        <row r="380">
          <cell r="C380" t="str">
            <v>T240</v>
          </cell>
          <cell r="D380">
            <v>282</v>
          </cell>
          <cell r="E380">
            <v>-11579.908618207228</v>
          </cell>
          <cell r="F380">
            <v>0</v>
          </cell>
          <cell r="G380">
            <v>-11579.908618207228</v>
          </cell>
          <cell r="H380">
            <v>0</v>
          </cell>
          <cell r="I380">
            <v>0</v>
          </cell>
          <cell r="J380">
            <v>0</v>
          </cell>
          <cell r="K380">
            <v>-2338</v>
          </cell>
          <cell r="L380">
            <v>-1026</v>
          </cell>
          <cell r="M380">
            <v>-3364</v>
          </cell>
          <cell r="N380">
            <v>-2338</v>
          </cell>
          <cell r="O380">
            <v>-1026</v>
          </cell>
          <cell r="P380">
            <v>-3364</v>
          </cell>
          <cell r="Q380">
            <v>0</v>
          </cell>
          <cell r="R380">
            <v>0</v>
          </cell>
          <cell r="S380">
            <v>0</v>
          </cell>
          <cell r="T380">
            <v>0</v>
          </cell>
          <cell r="U380">
            <v>0</v>
          </cell>
          <cell r="V380">
            <v>0</v>
          </cell>
          <cell r="W380">
            <v>2338</v>
          </cell>
          <cell r="X380">
            <v>1026</v>
          </cell>
          <cell r="Y380">
            <v>3364</v>
          </cell>
          <cell r="Z380">
            <v>0</v>
          </cell>
          <cell r="AA380">
            <v>0</v>
          </cell>
          <cell r="AB380">
            <v>0</v>
          </cell>
        </row>
        <row r="381">
          <cell r="C381" t="str">
            <v>T300</v>
          </cell>
          <cell r="D381">
            <v>283</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C382" t="str">
            <v>T310</v>
          </cell>
          <cell r="D382">
            <v>283</v>
          </cell>
          <cell r="E382">
            <v>-298987.95077072066</v>
          </cell>
          <cell r="F382">
            <v>0</v>
          </cell>
          <cell r="G382">
            <v>-298987.95077072066</v>
          </cell>
          <cell r="H382">
            <v>0</v>
          </cell>
          <cell r="I382">
            <v>0</v>
          </cell>
          <cell r="J382">
            <v>0</v>
          </cell>
          <cell r="K382">
            <v>-60375</v>
          </cell>
          <cell r="L382">
            <v>-26481</v>
          </cell>
          <cell r="M382">
            <v>-86856</v>
          </cell>
          <cell r="N382">
            <v>-60375</v>
          </cell>
          <cell r="O382">
            <v>-26481</v>
          </cell>
          <cell r="P382">
            <v>-86856</v>
          </cell>
          <cell r="Q382">
            <v>0</v>
          </cell>
          <cell r="R382">
            <v>0</v>
          </cell>
          <cell r="S382">
            <v>0</v>
          </cell>
          <cell r="T382">
            <v>0</v>
          </cell>
          <cell r="U382">
            <v>0</v>
          </cell>
          <cell r="V382">
            <v>0</v>
          </cell>
          <cell r="W382">
            <v>60375</v>
          </cell>
          <cell r="X382">
            <v>26481</v>
          </cell>
          <cell r="Y382">
            <v>86856</v>
          </cell>
          <cell r="Z382">
            <v>0</v>
          </cell>
          <cell r="AA382">
            <v>0</v>
          </cell>
          <cell r="AB382">
            <v>0</v>
          </cell>
        </row>
        <row r="383">
          <cell r="C383" t="str">
            <v>T320</v>
          </cell>
          <cell r="D383">
            <v>283</v>
          </cell>
          <cell r="E383">
            <v>-1048811.7094975188</v>
          </cell>
          <cell r="F383">
            <v>-1048811.7094975188</v>
          </cell>
          <cell r="G383">
            <v>0</v>
          </cell>
          <cell r="H383">
            <v>-211788</v>
          </cell>
          <cell r="I383">
            <v>-92892</v>
          </cell>
          <cell r="J383">
            <v>-304680</v>
          </cell>
          <cell r="K383">
            <v>0</v>
          </cell>
          <cell r="L383">
            <v>0</v>
          </cell>
          <cell r="M383">
            <v>0</v>
          </cell>
          <cell r="N383">
            <v>-211788</v>
          </cell>
          <cell r="O383">
            <v>-92892</v>
          </cell>
          <cell r="P383">
            <v>-304680</v>
          </cell>
          <cell r="Q383">
            <v>211788</v>
          </cell>
          <cell r="R383">
            <v>92892</v>
          </cell>
          <cell r="S383">
            <v>304680</v>
          </cell>
          <cell r="T383">
            <v>0</v>
          </cell>
          <cell r="U383">
            <v>0</v>
          </cell>
          <cell r="V383">
            <v>0</v>
          </cell>
          <cell r="W383">
            <v>0</v>
          </cell>
          <cell r="X383">
            <v>0</v>
          </cell>
          <cell r="Y383">
            <v>0</v>
          </cell>
          <cell r="Z383">
            <v>0</v>
          </cell>
          <cell r="AA383">
            <v>0</v>
          </cell>
          <cell r="AB383">
            <v>0</v>
          </cell>
        </row>
        <row r="384">
          <cell r="C384" t="str">
            <v>T400</v>
          </cell>
          <cell r="D384">
            <v>283</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C385" t="str">
            <v>T410</v>
          </cell>
          <cell r="D385">
            <v>283</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C387" t="str">
            <v>T600</v>
          </cell>
          <cell r="D387">
            <v>283</v>
          </cell>
          <cell r="E387">
            <v>987940.35387687781</v>
          </cell>
          <cell r="F387">
            <v>987940.35387687781</v>
          </cell>
          <cell r="G387">
            <v>0</v>
          </cell>
          <cell r="H387">
            <v>199496</v>
          </cell>
          <cell r="I387">
            <v>87501</v>
          </cell>
          <cell r="J387">
            <v>286997</v>
          </cell>
          <cell r="K387">
            <v>0</v>
          </cell>
          <cell r="L387">
            <v>0</v>
          </cell>
          <cell r="M387">
            <v>0</v>
          </cell>
          <cell r="N387">
            <v>199496</v>
          </cell>
          <cell r="O387">
            <v>87501</v>
          </cell>
          <cell r="P387">
            <v>286997</v>
          </cell>
          <cell r="Q387">
            <v>0</v>
          </cell>
          <cell r="R387">
            <v>0</v>
          </cell>
          <cell r="S387">
            <v>0</v>
          </cell>
          <cell r="T387">
            <v>-199496</v>
          </cell>
          <cell r="U387">
            <v>-87501</v>
          </cell>
          <cell r="V387">
            <v>-286997</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-1700251.3814106404</v>
          </cell>
          <cell r="F390">
            <v>-1399974.5920217128</v>
          </cell>
          <cell r="G390">
            <v>-300276.78938892792</v>
          </cell>
        </row>
        <row r="392">
          <cell r="E392">
            <v>-2562923.7562787523</v>
          </cell>
          <cell r="F392">
            <v>-2562923.7562787523</v>
          </cell>
          <cell r="G392">
            <v>0</v>
          </cell>
        </row>
        <row r="393">
          <cell r="C393" t="str">
            <v>Federal_NOL</v>
          </cell>
          <cell r="E393">
            <v>2562923.7562787523</v>
          </cell>
          <cell r="F393">
            <v>2562923.7562787523</v>
          </cell>
          <cell r="G393">
            <v>0</v>
          </cell>
          <cell r="H393">
            <v>517534</v>
          </cell>
          <cell r="I393">
            <v>0</v>
          </cell>
          <cell r="J393">
            <v>517534</v>
          </cell>
          <cell r="K393">
            <v>0</v>
          </cell>
          <cell r="L393">
            <v>0</v>
          </cell>
          <cell r="M393">
            <v>0</v>
          </cell>
          <cell r="N393">
            <v>517534</v>
          </cell>
          <cell r="O393">
            <v>0</v>
          </cell>
          <cell r="P393">
            <v>517534</v>
          </cell>
          <cell r="Q393">
            <v>0</v>
          </cell>
          <cell r="R393">
            <v>0</v>
          </cell>
          <cell r="S393">
            <v>0</v>
          </cell>
          <cell r="T393">
            <v>-517534</v>
          </cell>
          <cell r="U393">
            <v>0</v>
          </cell>
          <cell r="V393">
            <v>-517534</v>
          </cell>
          <cell r="W393">
            <v>0</v>
          </cell>
          <cell r="X393">
            <v>0</v>
          </cell>
          <cell r="Y393">
            <v>0</v>
          </cell>
          <cell r="Z393">
            <v>0</v>
          </cell>
          <cell r="AA393">
            <v>0</v>
          </cell>
          <cell r="AB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-279410</v>
          </cell>
          <cell r="R394">
            <v>0</v>
          </cell>
          <cell r="S394">
            <v>-279410</v>
          </cell>
          <cell r="T394">
            <v>389108</v>
          </cell>
          <cell r="U394">
            <v>0</v>
          </cell>
          <cell r="V394">
            <v>389108</v>
          </cell>
          <cell r="W394">
            <v>-29295</v>
          </cell>
          <cell r="X394">
            <v>0</v>
          </cell>
          <cell r="Y394">
            <v>-29295</v>
          </cell>
          <cell r="Z394">
            <v>971</v>
          </cell>
          <cell r="AA394">
            <v>0</v>
          </cell>
          <cell r="AB394">
            <v>971</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-2562923.7562787523</v>
          </cell>
          <cell r="F399">
            <v>-2562923.7562787523</v>
          </cell>
          <cell r="G399">
            <v>0</v>
          </cell>
        </row>
        <row r="400">
          <cell r="C400" t="str">
            <v>State_NOL</v>
          </cell>
          <cell r="E400">
            <v>2562923.7562787523</v>
          </cell>
          <cell r="F400">
            <v>2562923.7562787523</v>
          </cell>
          <cell r="G400">
            <v>0</v>
          </cell>
          <cell r="H400">
            <v>0</v>
          </cell>
          <cell r="I400">
            <v>226995</v>
          </cell>
          <cell r="J400">
            <v>226995</v>
          </cell>
          <cell r="K400">
            <v>0</v>
          </cell>
          <cell r="L400">
            <v>0</v>
          </cell>
          <cell r="M400">
            <v>0</v>
          </cell>
          <cell r="N400">
            <v>0</v>
          </cell>
          <cell r="O400">
            <v>226995</v>
          </cell>
          <cell r="P400">
            <v>226995</v>
          </cell>
          <cell r="Q400">
            <v>0</v>
          </cell>
          <cell r="R400">
            <v>0</v>
          </cell>
          <cell r="S400">
            <v>0</v>
          </cell>
          <cell r="T400">
            <v>0</v>
          </cell>
          <cell r="U400">
            <v>-226995</v>
          </cell>
          <cell r="V400">
            <v>-226995</v>
          </cell>
          <cell r="W400">
            <v>0</v>
          </cell>
          <cell r="X400">
            <v>0</v>
          </cell>
          <cell r="Y400">
            <v>0</v>
          </cell>
          <cell r="Z400">
            <v>0</v>
          </cell>
          <cell r="AA400">
            <v>0</v>
          </cell>
          <cell r="AB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-122552</v>
          </cell>
          <cell r="S401">
            <v>-122552</v>
          </cell>
          <cell r="T401">
            <v>0</v>
          </cell>
          <cell r="U401">
            <v>170667</v>
          </cell>
          <cell r="V401">
            <v>170667</v>
          </cell>
          <cell r="W401">
            <v>0</v>
          </cell>
          <cell r="X401">
            <v>-12849</v>
          </cell>
          <cell r="Y401">
            <v>-12849</v>
          </cell>
          <cell r="Z401">
            <v>0</v>
          </cell>
          <cell r="AA401">
            <v>426</v>
          </cell>
          <cell r="AB401">
            <v>426</v>
          </cell>
        </row>
        <row r="402">
          <cell r="E402">
            <v>0</v>
          </cell>
          <cell r="F402">
            <v>0</v>
          </cell>
          <cell r="G402">
            <v>0</v>
          </cell>
        </row>
        <row r="404">
          <cell r="C404" t="str">
            <v>Rounding</v>
          </cell>
          <cell r="H404">
            <v>1</v>
          </cell>
          <cell r="I404">
            <v>0</v>
          </cell>
          <cell r="J404">
            <v>1</v>
          </cell>
          <cell r="K404">
            <v>-1</v>
          </cell>
          <cell r="L404">
            <v>-1</v>
          </cell>
          <cell r="M404">
            <v>-2</v>
          </cell>
          <cell r="N404">
            <v>0</v>
          </cell>
          <cell r="O404">
            <v>-1</v>
          </cell>
          <cell r="P404">
            <v>-1</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1</v>
          </cell>
          <cell r="I406">
            <v>1</v>
          </cell>
          <cell r="J406">
            <v>2</v>
          </cell>
          <cell r="K406">
            <v>-1</v>
          </cell>
          <cell r="L406">
            <v>-2</v>
          </cell>
          <cell r="M406">
            <v>-3</v>
          </cell>
          <cell r="N406">
            <v>0</v>
          </cell>
          <cell r="O406">
            <v>-1</v>
          </cell>
          <cell r="P406">
            <v>-1</v>
          </cell>
          <cell r="Q406">
            <v>318731</v>
          </cell>
          <cell r="R406">
            <v>139798</v>
          </cell>
          <cell r="S406">
            <v>458529</v>
          </cell>
          <cell r="T406">
            <v>-443868</v>
          </cell>
          <cell r="U406">
            <v>-194684</v>
          </cell>
          <cell r="V406">
            <v>-638552</v>
          </cell>
          <cell r="W406">
            <v>33418</v>
          </cell>
          <cell r="X406">
            <v>14658</v>
          </cell>
          <cell r="Y406">
            <v>48076</v>
          </cell>
          <cell r="Z406">
            <v>-1107</v>
          </cell>
          <cell r="AA406">
            <v>-485</v>
          </cell>
          <cell r="AB406">
            <v>-1592</v>
          </cell>
        </row>
        <row r="408">
          <cell r="C408" t="str">
            <v>Rounding</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C409" t="str">
            <v>Discrete_1</v>
          </cell>
          <cell r="E409">
            <v>0</v>
          </cell>
          <cell r="F409">
            <v>0</v>
          </cell>
          <cell r="G409">
            <v>0</v>
          </cell>
        </row>
        <row r="410">
          <cell r="C410" t="str">
            <v>Discrete_2</v>
          </cell>
          <cell r="E410">
            <v>0</v>
          </cell>
          <cell r="F410">
            <v>0</v>
          </cell>
          <cell r="G410">
            <v>0</v>
          </cell>
        </row>
        <row r="412">
          <cell r="H412">
            <v>1</v>
          </cell>
          <cell r="I412">
            <v>1</v>
          </cell>
          <cell r="J412">
            <v>2</v>
          </cell>
          <cell r="K412">
            <v>-1</v>
          </cell>
          <cell r="L412">
            <v>-2</v>
          </cell>
          <cell r="M412">
            <v>-3</v>
          </cell>
          <cell r="N412">
            <v>0</v>
          </cell>
          <cell r="O412">
            <v>-1</v>
          </cell>
          <cell r="P412">
            <v>-1</v>
          </cell>
          <cell r="Q412">
            <v>318731</v>
          </cell>
          <cell r="R412">
            <v>139798</v>
          </cell>
          <cell r="S412">
            <v>458529</v>
          </cell>
          <cell r="T412">
            <v>-443868</v>
          </cell>
          <cell r="U412">
            <v>-194684</v>
          </cell>
          <cell r="V412">
            <v>-638552</v>
          </cell>
          <cell r="W412">
            <v>33418</v>
          </cell>
          <cell r="X412">
            <v>14658</v>
          </cell>
          <cell r="Y412">
            <v>48076</v>
          </cell>
          <cell r="Z412">
            <v>-1107</v>
          </cell>
          <cell r="AA412">
            <v>-485</v>
          </cell>
          <cell r="AB412">
            <v>-1592</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37">
          <cell r="C237" t="str">
            <v>PTBI</v>
          </cell>
          <cell r="E237">
            <v>-3163304.4399999902</v>
          </cell>
          <cell r="F237">
            <v>-3167246.8399999901</v>
          </cell>
          <cell r="G237">
            <v>3942.4</v>
          </cell>
          <cell r="H237">
            <v>-664684</v>
          </cell>
          <cell r="I237">
            <v>-2084</v>
          </cell>
          <cell r="J237">
            <v>-666768</v>
          </cell>
          <cell r="K237">
            <v>827</v>
          </cell>
          <cell r="L237">
            <v>3</v>
          </cell>
          <cell r="M237">
            <v>830</v>
          </cell>
          <cell r="N237">
            <v>-663857</v>
          </cell>
          <cell r="O237">
            <v>-2081</v>
          </cell>
          <cell r="P237">
            <v>-665938</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-664684</v>
          </cell>
          <cell r="AG237">
            <v>-2084</v>
          </cell>
          <cell r="AH237">
            <v>-666768</v>
          </cell>
          <cell r="AI237">
            <v>827</v>
          </cell>
          <cell r="AJ237">
            <v>3</v>
          </cell>
          <cell r="AK237">
            <v>830</v>
          </cell>
          <cell r="AL237">
            <v>-663857</v>
          </cell>
          <cell r="AM237">
            <v>-2081</v>
          </cell>
          <cell r="AN237">
            <v>-665938</v>
          </cell>
        </row>
        <row r="240">
          <cell r="C240" t="str">
            <v>P100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row>
        <row r="241">
          <cell r="C241" t="str">
            <v>P200</v>
          </cell>
          <cell r="E241">
            <v>-3942.4</v>
          </cell>
          <cell r="F241">
            <v>0</v>
          </cell>
          <cell r="G241">
            <v>-3942.4</v>
          </cell>
          <cell r="H241">
            <v>0</v>
          </cell>
          <cell r="I241">
            <v>0</v>
          </cell>
          <cell r="J241">
            <v>0</v>
          </cell>
          <cell r="K241">
            <v>-827</v>
          </cell>
          <cell r="L241">
            <v>-3</v>
          </cell>
          <cell r="M241">
            <v>-830</v>
          </cell>
          <cell r="N241">
            <v>-827</v>
          </cell>
          <cell r="O241">
            <v>-3</v>
          </cell>
          <cell r="P241">
            <v>-830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-827</v>
          </cell>
          <cell r="AJ241">
            <v>-3</v>
          </cell>
          <cell r="AK241">
            <v>-830</v>
          </cell>
          <cell r="AL241">
            <v>-827</v>
          </cell>
          <cell r="AM241">
            <v>-3</v>
          </cell>
          <cell r="AN241">
            <v>-830</v>
          </cell>
        </row>
        <row r="242">
          <cell r="C242" t="str">
            <v>P300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row>
        <row r="243">
          <cell r="C243" t="str">
            <v>P999</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row>
        <row r="244">
          <cell r="E244">
            <v>-3942.4</v>
          </cell>
          <cell r="F244">
            <v>0</v>
          </cell>
          <cell r="G244">
            <v>-3942.4</v>
          </cell>
        </row>
        <row r="247">
          <cell r="C247" t="str">
            <v>F100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row>
        <row r="248">
          <cell r="C248" t="str">
            <v>F100</v>
          </cell>
          <cell r="E248">
            <v>0</v>
          </cell>
          <cell r="F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C249" t="str">
            <v>F999</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row>
        <row r="250">
          <cell r="E250">
            <v>0</v>
          </cell>
          <cell r="F250">
            <v>0</v>
          </cell>
          <cell r="G250">
            <v>0</v>
          </cell>
        </row>
        <row r="253">
          <cell r="C253" t="str">
            <v>T200</v>
          </cell>
          <cell r="D253">
            <v>282</v>
          </cell>
          <cell r="E253">
            <v>561596.49733333231</v>
          </cell>
          <cell r="F253">
            <v>561596.49733333231</v>
          </cell>
          <cell r="G253">
            <v>0</v>
          </cell>
          <cell r="H253">
            <v>117858</v>
          </cell>
          <cell r="I253">
            <v>369</v>
          </cell>
          <cell r="J253">
            <v>118227</v>
          </cell>
          <cell r="K253">
            <v>0</v>
          </cell>
          <cell r="L253">
            <v>0</v>
          </cell>
          <cell r="M253">
            <v>0</v>
          </cell>
          <cell r="N253">
            <v>117858</v>
          </cell>
          <cell r="O253">
            <v>369</v>
          </cell>
          <cell r="P253">
            <v>118227</v>
          </cell>
          <cell r="Q253">
            <v>0</v>
          </cell>
          <cell r="R253">
            <v>0</v>
          </cell>
          <cell r="S253">
            <v>0</v>
          </cell>
          <cell r="T253">
            <v>-117858</v>
          </cell>
          <cell r="U253">
            <v>-369</v>
          </cell>
          <cell r="V253">
            <v>-118227</v>
          </cell>
          <cell r="W253">
            <v>0</v>
          </cell>
          <cell r="X253">
            <v>0</v>
          </cell>
          <cell r="Y253">
            <v>0</v>
          </cell>
          <cell r="Z253">
            <v>0</v>
          </cell>
          <cell r="AA253">
            <v>0</v>
          </cell>
          <cell r="AB253">
            <v>0</v>
          </cell>
          <cell r="AC253">
            <v>-117858</v>
          </cell>
          <cell r="AD253">
            <v>-369</v>
          </cell>
          <cell r="AE253">
            <v>-118227</v>
          </cell>
          <cell r="AF253">
            <v>0</v>
          </cell>
          <cell r="AG253">
            <v>0</v>
          </cell>
          <cell r="AH253">
            <v>0</v>
          </cell>
          <cell r="AI253">
            <v>0</v>
          </cell>
          <cell r="AJ253">
            <v>0</v>
          </cell>
          <cell r="AK253">
            <v>0</v>
          </cell>
          <cell r="AL253">
            <v>0</v>
          </cell>
          <cell r="AM253">
            <v>0</v>
          </cell>
          <cell r="AN253">
            <v>0</v>
          </cell>
        </row>
        <row r="254">
          <cell r="C254" t="str">
            <v>T210</v>
          </cell>
          <cell r="D254">
            <v>282</v>
          </cell>
          <cell r="E254">
            <v>-369504.8265345</v>
          </cell>
          <cell r="F254">
            <v>-369504.8265345</v>
          </cell>
          <cell r="G254">
            <v>0</v>
          </cell>
          <cell r="H254">
            <v>-77545</v>
          </cell>
          <cell r="I254">
            <v>-243</v>
          </cell>
          <cell r="J254">
            <v>-77788</v>
          </cell>
          <cell r="K254">
            <v>0</v>
          </cell>
          <cell r="L254">
            <v>0</v>
          </cell>
          <cell r="M254">
            <v>0</v>
          </cell>
          <cell r="N254">
            <v>-77545</v>
          </cell>
          <cell r="O254">
            <v>-243</v>
          </cell>
          <cell r="P254">
            <v>-77788</v>
          </cell>
          <cell r="Q254">
            <v>77545</v>
          </cell>
          <cell r="R254">
            <v>243</v>
          </cell>
          <cell r="S254">
            <v>77788</v>
          </cell>
          <cell r="T254">
            <v>0</v>
          </cell>
          <cell r="U254">
            <v>0</v>
          </cell>
          <cell r="V254">
            <v>0</v>
          </cell>
          <cell r="W254">
            <v>0</v>
          </cell>
          <cell r="X254">
            <v>0</v>
          </cell>
          <cell r="Y254">
            <v>0</v>
          </cell>
          <cell r="Z254">
            <v>0</v>
          </cell>
          <cell r="AA254">
            <v>0</v>
          </cell>
          <cell r="AB254">
            <v>0</v>
          </cell>
          <cell r="AC254">
            <v>77545</v>
          </cell>
          <cell r="AD254">
            <v>243</v>
          </cell>
          <cell r="AE254">
            <v>77788</v>
          </cell>
          <cell r="AF254">
            <v>0</v>
          </cell>
          <cell r="AG254">
            <v>0</v>
          </cell>
          <cell r="AH254">
            <v>0</v>
          </cell>
          <cell r="AI254">
            <v>0</v>
          </cell>
          <cell r="AJ254">
            <v>0</v>
          </cell>
          <cell r="AK254">
            <v>0</v>
          </cell>
          <cell r="AL254">
            <v>0</v>
          </cell>
          <cell r="AM254">
            <v>0</v>
          </cell>
          <cell r="AN254">
            <v>0</v>
          </cell>
        </row>
        <row r="255">
          <cell r="C255" t="str">
            <v>T600</v>
          </cell>
          <cell r="D255">
            <v>283</v>
          </cell>
          <cell r="E255">
            <v>200875.67999999993</v>
          </cell>
          <cell r="F255">
            <v>200875.67999999993</v>
          </cell>
          <cell r="G255">
            <v>0</v>
          </cell>
          <cell r="H255">
            <v>42156</v>
          </cell>
          <cell r="I255">
            <v>132</v>
          </cell>
          <cell r="J255">
            <v>42288</v>
          </cell>
          <cell r="K255">
            <v>0</v>
          </cell>
          <cell r="L255">
            <v>0</v>
          </cell>
          <cell r="M255">
            <v>0</v>
          </cell>
          <cell r="N255">
            <v>42156</v>
          </cell>
          <cell r="O255">
            <v>132</v>
          </cell>
          <cell r="P255">
            <v>42288</v>
          </cell>
          <cell r="Q255">
            <v>0</v>
          </cell>
          <cell r="R255">
            <v>0</v>
          </cell>
          <cell r="S255">
            <v>0</v>
          </cell>
          <cell r="T255">
            <v>-42156</v>
          </cell>
          <cell r="U255">
            <v>-132</v>
          </cell>
          <cell r="V255">
            <v>-42288</v>
          </cell>
          <cell r="W255">
            <v>0</v>
          </cell>
          <cell r="X255">
            <v>0</v>
          </cell>
          <cell r="Y255">
            <v>0</v>
          </cell>
          <cell r="Z255">
            <v>0</v>
          </cell>
          <cell r="AA255">
            <v>0</v>
          </cell>
          <cell r="AB255">
            <v>0</v>
          </cell>
          <cell r="AC255">
            <v>-42156</v>
          </cell>
          <cell r="AD255">
            <v>-132</v>
          </cell>
          <cell r="AE255">
            <v>-42288</v>
          </cell>
          <cell r="AF255">
            <v>0</v>
          </cell>
          <cell r="AG255">
            <v>0</v>
          </cell>
          <cell r="AH255">
            <v>0</v>
          </cell>
          <cell r="AI255">
            <v>0</v>
          </cell>
          <cell r="AJ255">
            <v>0</v>
          </cell>
          <cell r="AK255">
            <v>0</v>
          </cell>
          <cell r="AL255">
            <v>0</v>
          </cell>
          <cell r="AM255">
            <v>0</v>
          </cell>
          <cell r="AN255">
            <v>0</v>
          </cell>
        </row>
        <row r="256">
          <cell r="C256" t="str">
            <v>T700</v>
          </cell>
          <cell r="D256">
            <v>283</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row>
        <row r="257">
          <cell r="C257" t="str">
            <v>T800</v>
          </cell>
          <cell r="D257">
            <v>283</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row>
        <row r="258">
          <cell r="C258" t="str">
            <v>T900</v>
          </cell>
          <cell r="D258">
            <v>283</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C259" t="str">
            <v>T999</v>
          </cell>
          <cell r="D259">
            <v>283</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E260">
            <v>392967.35079883225</v>
          </cell>
          <cell r="F260">
            <v>392967.35079883225</v>
          </cell>
          <cell r="G260">
            <v>0</v>
          </cell>
        </row>
        <row r="262">
          <cell r="E262">
            <v>-2774279.4892011578</v>
          </cell>
          <cell r="F262">
            <v>-2774279.4892011578</v>
          </cell>
          <cell r="G262">
            <v>0</v>
          </cell>
        </row>
        <row r="263">
          <cell r="C263" t="str">
            <v>Federal_NOL</v>
          </cell>
          <cell r="E263">
            <v>2774279.4892011578</v>
          </cell>
          <cell r="F263">
            <v>2774279.4892011578</v>
          </cell>
          <cell r="G263">
            <v>0</v>
          </cell>
          <cell r="H263">
            <v>582215</v>
          </cell>
          <cell r="I263">
            <v>0</v>
          </cell>
          <cell r="J263">
            <v>582215</v>
          </cell>
          <cell r="K263">
            <v>0</v>
          </cell>
          <cell r="L263">
            <v>0</v>
          </cell>
          <cell r="M263">
            <v>0</v>
          </cell>
          <cell r="N263">
            <v>582215</v>
          </cell>
          <cell r="O263">
            <v>0</v>
          </cell>
          <cell r="P263">
            <v>582215</v>
          </cell>
          <cell r="Q263">
            <v>0</v>
          </cell>
          <cell r="R263">
            <v>0</v>
          </cell>
          <cell r="S263">
            <v>0</v>
          </cell>
          <cell r="T263">
            <v>-582215</v>
          </cell>
          <cell r="U263">
            <v>0</v>
          </cell>
          <cell r="V263">
            <v>-582215</v>
          </cell>
          <cell r="W263">
            <v>0</v>
          </cell>
          <cell r="X263">
            <v>0</v>
          </cell>
          <cell r="Y263">
            <v>0</v>
          </cell>
          <cell r="Z263">
            <v>0</v>
          </cell>
          <cell r="AA263">
            <v>0</v>
          </cell>
          <cell r="AB263">
            <v>0</v>
          </cell>
          <cell r="AC263">
            <v>-582215</v>
          </cell>
          <cell r="AD263">
            <v>0</v>
          </cell>
          <cell r="AE263">
            <v>-582215</v>
          </cell>
          <cell r="AF263">
            <v>0</v>
          </cell>
          <cell r="AG263">
            <v>0</v>
          </cell>
          <cell r="AH263">
            <v>0</v>
          </cell>
          <cell r="AI263">
            <v>0</v>
          </cell>
          <cell r="AJ263">
            <v>0</v>
          </cell>
          <cell r="AK263">
            <v>0</v>
          </cell>
          <cell r="AL263">
            <v>0</v>
          </cell>
          <cell r="AM263">
            <v>0</v>
          </cell>
          <cell r="AN263">
            <v>0</v>
          </cell>
        </row>
        <row r="264">
          <cell r="C264" t="str">
            <v>Federal_ManageCo_TEO</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E265">
            <v>0</v>
          </cell>
          <cell r="F265">
            <v>0</v>
          </cell>
          <cell r="G265">
            <v>0</v>
          </cell>
        </row>
        <row r="267">
          <cell r="C267" t="str">
            <v>State_IT</v>
          </cell>
          <cell r="E267">
            <v>0</v>
          </cell>
          <cell r="F267">
            <v>0</v>
          </cell>
          <cell r="G267">
            <v>0</v>
          </cell>
        </row>
        <row r="268">
          <cell r="C268" t="str">
            <v>State_Dep</v>
          </cell>
          <cell r="E268">
            <v>0</v>
          </cell>
          <cell r="F268">
            <v>0</v>
          </cell>
          <cell r="G268">
            <v>0</v>
          </cell>
        </row>
        <row r="269">
          <cell r="E269">
            <v>-2774279.4892011578</v>
          </cell>
          <cell r="F269">
            <v>-2774279.4892011578</v>
          </cell>
          <cell r="G269">
            <v>0</v>
          </cell>
        </row>
        <row r="270">
          <cell r="C270" t="str">
            <v>State_NOL</v>
          </cell>
          <cell r="E270">
            <v>2774279.4892011578</v>
          </cell>
          <cell r="F270">
            <v>2774279.4892011578</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E271">
            <v>0</v>
          </cell>
          <cell r="F271">
            <v>0</v>
          </cell>
          <cell r="G271">
            <v>0</v>
          </cell>
        </row>
        <row r="273">
          <cell r="E273">
            <v>-2774279.4892011578</v>
          </cell>
          <cell r="F273">
            <v>-2774279.4892011578</v>
          </cell>
          <cell r="G273">
            <v>0</v>
          </cell>
        </row>
        <row r="274">
          <cell r="E274">
            <v>2774279.4892011578</v>
          </cell>
          <cell r="F274">
            <v>2774279.4892011578</v>
          </cell>
          <cell r="G274">
            <v>0</v>
          </cell>
          <cell r="H274">
            <v>0</v>
          </cell>
          <cell r="I274">
            <v>1825</v>
          </cell>
          <cell r="J274">
            <v>1825</v>
          </cell>
          <cell r="K274">
            <v>0</v>
          </cell>
          <cell r="L274">
            <v>0</v>
          </cell>
          <cell r="M274">
            <v>0</v>
          </cell>
          <cell r="N274">
            <v>0</v>
          </cell>
          <cell r="O274">
            <v>1825</v>
          </cell>
          <cell r="P274">
            <v>1825</v>
          </cell>
          <cell r="Q274">
            <v>0</v>
          </cell>
          <cell r="R274">
            <v>0</v>
          </cell>
          <cell r="S274">
            <v>0</v>
          </cell>
          <cell r="T274">
            <v>0</v>
          </cell>
          <cell r="U274">
            <v>-1825</v>
          </cell>
          <cell r="V274">
            <v>-1825</v>
          </cell>
          <cell r="W274">
            <v>0</v>
          </cell>
          <cell r="X274">
            <v>0</v>
          </cell>
          <cell r="Y274">
            <v>0</v>
          </cell>
          <cell r="Z274">
            <v>0</v>
          </cell>
          <cell r="AA274">
            <v>0</v>
          </cell>
          <cell r="AB274">
            <v>0</v>
          </cell>
          <cell r="AC274">
            <v>0</v>
          </cell>
          <cell r="AD274">
            <v>-1825</v>
          </cell>
          <cell r="AE274">
            <v>-1825</v>
          </cell>
          <cell r="AF274">
            <v>0</v>
          </cell>
          <cell r="AG274">
            <v>0</v>
          </cell>
          <cell r="AH274">
            <v>0</v>
          </cell>
          <cell r="AI274">
            <v>0</v>
          </cell>
          <cell r="AJ274">
            <v>0</v>
          </cell>
          <cell r="AK274">
            <v>0</v>
          </cell>
          <cell r="AL274">
            <v>0</v>
          </cell>
          <cell r="AM274">
            <v>0</v>
          </cell>
          <cell r="AN274">
            <v>0</v>
          </cell>
        </row>
        <row r="275">
          <cell r="E275">
            <v>0</v>
          </cell>
          <cell r="F275">
            <v>0</v>
          </cell>
          <cell r="G275">
            <v>0</v>
          </cell>
        </row>
        <row r="277">
          <cell r="C277" t="str">
            <v>Rounding</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C278" t="str">
            <v>Tax_Credit_1</v>
          </cell>
          <cell r="E278">
            <v>0</v>
          </cell>
          <cell r="F278">
            <v>0</v>
          </cell>
          <cell r="G278">
            <v>0</v>
          </cell>
        </row>
        <row r="279">
          <cell r="H279">
            <v>0</v>
          </cell>
          <cell r="I279">
            <v>-1</v>
          </cell>
          <cell r="J279">
            <v>-1</v>
          </cell>
          <cell r="K279">
            <v>0</v>
          </cell>
          <cell r="L279">
            <v>0</v>
          </cell>
          <cell r="M279">
            <v>0</v>
          </cell>
          <cell r="N279">
            <v>0</v>
          </cell>
          <cell r="O279">
            <v>-1</v>
          </cell>
          <cell r="P279">
            <v>-1</v>
          </cell>
          <cell r="Q279">
            <v>77545</v>
          </cell>
          <cell r="R279">
            <v>243</v>
          </cell>
          <cell r="S279">
            <v>77788</v>
          </cell>
          <cell r="T279">
            <v>-742229</v>
          </cell>
          <cell r="U279">
            <v>-2326</v>
          </cell>
          <cell r="V279">
            <v>-744555</v>
          </cell>
          <cell r="W279">
            <v>0</v>
          </cell>
          <cell r="X279">
            <v>0</v>
          </cell>
          <cell r="Y279">
            <v>0</v>
          </cell>
          <cell r="Z279">
            <v>0</v>
          </cell>
          <cell r="AA279">
            <v>0</v>
          </cell>
          <cell r="AB279">
            <v>0</v>
          </cell>
          <cell r="AC279">
            <v>-664684</v>
          </cell>
          <cell r="AD279">
            <v>-2083</v>
          </cell>
          <cell r="AE279">
            <v>-666767</v>
          </cell>
          <cell r="AF279">
            <v>-664684</v>
          </cell>
          <cell r="AG279">
            <v>-2084</v>
          </cell>
          <cell r="AH279">
            <v>-666768</v>
          </cell>
          <cell r="AI279">
            <v>0</v>
          </cell>
          <cell r="AJ279">
            <v>0</v>
          </cell>
          <cell r="AK279">
            <v>0</v>
          </cell>
          <cell r="AL279">
            <v>-664684</v>
          </cell>
          <cell r="AM279">
            <v>-2084</v>
          </cell>
          <cell r="AN279">
            <v>-666768</v>
          </cell>
        </row>
        <row r="282">
          <cell r="C282" t="str">
            <v>Discrete_1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row>
        <row r="283">
          <cell r="C283" t="str">
            <v>Discrete_2</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row>
        <row r="285">
          <cell r="H285">
            <v>0</v>
          </cell>
          <cell r="I285">
            <v>-1</v>
          </cell>
          <cell r="J285">
            <v>-1</v>
          </cell>
          <cell r="K285">
            <v>0</v>
          </cell>
          <cell r="L285">
            <v>0</v>
          </cell>
          <cell r="M285">
            <v>0</v>
          </cell>
          <cell r="N285">
            <v>0</v>
          </cell>
          <cell r="O285">
            <v>-1</v>
          </cell>
          <cell r="P285">
            <v>-1</v>
          </cell>
          <cell r="Q285">
            <v>77545</v>
          </cell>
          <cell r="R285">
            <v>243</v>
          </cell>
          <cell r="S285">
            <v>77788</v>
          </cell>
          <cell r="T285">
            <v>-742229</v>
          </cell>
          <cell r="U285">
            <v>-2326</v>
          </cell>
          <cell r="V285">
            <v>-744555</v>
          </cell>
          <cell r="W285">
            <v>0</v>
          </cell>
          <cell r="X285">
            <v>0</v>
          </cell>
          <cell r="Y285">
            <v>0</v>
          </cell>
          <cell r="Z285">
            <v>0</v>
          </cell>
          <cell r="AA285">
            <v>0</v>
          </cell>
          <cell r="AB285">
            <v>0</v>
          </cell>
          <cell r="AC285">
            <v>-664684</v>
          </cell>
          <cell r="AD285">
            <v>-2083</v>
          </cell>
          <cell r="AE285">
            <v>-666767</v>
          </cell>
          <cell r="AF285">
            <v>-664684</v>
          </cell>
          <cell r="AG285">
            <v>-2084</v>
          </cell>
          <cell r="AH285">
            <v>-666768</v>
          </cell>
          <cell r="AI285">
            <v>0</v>
          </cell>
          <cell r="AJ285">
            <v>0</v>
          </cell>
          <cell r="AK285">
            <v>0</v>
          </cell>
          <cell r="AL285">
            <v>-664684</v>
          </cell>
          <cell r="AM285">
            <v>-2084</v>
          </cell>
          <cell r="AN285">
            <v>-666768</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sheetDataSet>
      <sheetData sheetId="0" refreshError="1"/>
      <sheetData sheetId="1" refreshError="1">
        <row r="16">
          <cell r="E16" t="b">
            <v>0</v>
          </cell>
        </row>
        <row r="24">
          <cell r="C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F2" t="str">
            <v>Afghanistan</v>
          </cell>
        </row>
      </sheetData>
      <sheetData sheetId="5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8g - Exc-Def ADIT Worksheet"/>
      <sheetName val="8h - ADIT Remeasurement"/>
      <sheetName val="&gt;&gt;&gt;&gt;"/>
      <sheetName val="Rate Mitigation Calc"/>
      <sheetName val="ADIT Rate Mitigation Support"/>
      <sheetName val="Tax_Fcst ADIT"/>
      <sheetName val="Tax_Tax Depreciation"/>
      <sheetName val="Capex"/>
      <sheetName val="Opex"/>
      <sheetName val="GLH Provision"/>
      <sheetName val="Tax Depreciation 03.31.21"/>
      <sheetName val="03.21 GLH FERC BS"/>
      <sheetName val="GLH forecast"/>
      <sheetName val="GLH ITA"/>
      <sheetName val="72.13% GLH 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0.46713039690878705</v>
          </cell>
        </row>
      </sheetData>
      <sheetData sheetId="24" refreshError="1"/>
      <sheetData sheetId="25"/>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8"/>
  <sheetViews>
    <sheetView view="pageBreakPreview" topLeftCell="A193" zoomScale="70" zoomScaleNormal="70" zoomScaleSheetLayoutView="70" workbookViewId="0">
      <selection activeCell="H250" sqref="H250"/>
    </sheetView>
  </sheetViews>
  <sheetFormatPr defaultColWidth="8.90625" defaultRowHeight="13.2"/>
  <cols>
    <col min="1" max="1" width="5.81640625" style="15" customWidth="1"/>
    <col min="2" max="2" width="56" style="15" customWidth="1"/>
    <col min="3" max="3" width="47.453125" style="15" bestFit="1" customWidth="1"/>
    <col min="4" max="4" width="16.36328125" style="15" customWidth="1"/>
    <col min="5" max="5" width="5.81640625" style="15" customWidth="1"/>
    <col min="6" max="6" width="7.36328125" style="15" customWidth="1"/>
    <col min="7" max="7" width="16.81640625" style="15" customWidth="1"/>
    <col min="8" max="8" width="4.90625" style="15" customWidth="1"/>
    <col min="9" max="9" width="16.36328125" style="15" customWidth="1"/>
    <col min="10" max="10" width="2.6328125" style="15" customWidth="1"/>
    <col min="11" max="11" width="11.453125" style="15" customWidth="1"/>
    <col min="12" max="12" width="14.453125" style="15" bestFit="1" customWidth="1"/>
    <col min="13" max="13" width="14.6328125" style="15" bestFit="1" customWidth="1"/>
    <col min="14" max="16384" width="8.90625" style="15"/>
  </cols>
  <sheetData>
    <row r="1" spans="1:11">
      <c r="A1" s="143"/>
      <c r="B1" s="143"/>
      <c r="C1" s="143"/>
      <c r="D1" s="143"/>
      <c r="E1" s="143"/>
      <c r="F1" s="143"/>
      <c r="G1" s="143"/>
      <c r="H1" s="143"/>
      <c r="I1" s="143"/>
      <c r="J1" s="143"/>
      <c r="K1" s="144" t="s">
        <v>175</v>
      </c>
    </row>
    <row r="2" spans="1:11">
      <c r="A2" s="143"/>
      <c r="B2" s="143" t="s">
        <v>507</v>
      </c>
      <c r="C2" s="143"/>
      <c r="D2" s="143"/>
      <c r="E2" s="143"/>
      <c r="F2" s="143"/>
      <c r="G2" s="143"/>
      <c r="H2" s="143"/>
      <c r="I2" s="143"/>
      <c r="J2" s="143"/>
      <c r="K2" s="143"/>
    </row>
    <row r="3" spans="1:11">
      <c r="A3" s="36"/>
      <c r="B3" s="28" t="s">
        <v>9</v>
      </c>
      <c r="C3" s="281" t="str">
        <f>+'Attachment H'!D5</f>
        <v>Gridliance High Plains LLC</v>
      </c>
      <c r="D3" s="145" t="s">
        <v>91</v>
      </c>
      <c r="E3" s="28"/>
      <c r="F3" s="28"/>
      <c r="G3" s="146"/>
      <c r="H3" s="147"/>
      <c r="I3" s="148"/>
      <c r="J3" s="149"/>
      <c r="K3" s="21" t="s">
        <v>1139</v>
      </c>
    </row>
    <row r="4" spans="1:11">
      <c r="A4" s="36"/>
      <c r="C4" s="29"/>
      <c r="D4" s="32" t="s">
        <v>160</v>
      </c>
      <c r="E4" s="29"/>
      <c r="F4" s="29"/>
      <c r="G4" s="29"/>
      <c r="H4" s="150"/>
      <c r="I4" s="150"/>
      <c r="J4" s="151"/>
      <c r="K4" s="151"/>
    </row>
    <row r="5" spans="1:11" ht="15.6">
      <c r="A5" s="36"/>
      <c r="B5" s="152"/>
      <c r="C5" s="151"/>
      <c r="D5" s="451" t="s">
        <v>1100</v>
      </c>
      <c r="E5" s="151"/>
      <c r="F5" s="151"/>
      <c r="G5" s="151"/>
      <c r="H5" s="151"/>
      <c r="I5" s="151"/>
      <c r="J5" s="151"/>
      <c r="K5" s="151"/>
    </row>
    <row r="6" spans="1:11" ht="13.8">
      <c r="B6" s="152"/>
      <c r="J6" s="153"/>
      <c r="K6" s="153"/>
    </row>
    <row r="7" spans="1:11">
      <c r="A7" s="145"/>
      <c r="C7" s="151"/>
      <c r="D7" s="154"/>
      <c r="E7" s="151"/>
      <c r="F7" s="151"/>
      <c r="G7" s="151"/>
      <c r="H7" s="151"/>
      <c r="I7" s="151"/>
      <c r="J7" s="151"/>
      <c r="K7" s="151"/>
    </row>
    <row r="8" spans="1:11">
      <c r="A8" s="145"/>
      <c r="B8" s="155" t="s">
        <v>11</v>
      </c>
      <c r="C8" s="155" t="s">
        <v>12</v>
      </c>
      <c r="D8" s="155" t="s">
        <v>13</v>
      </c>
      <c r="E8" s="29" t="s">
        <v>10</v>
      </c>
      <c r="F8" s="29"/>
      <c r="G8" s="154" t="s">
        <v>14</v>
      </c>
      <c r="H8" s="29"/>
      <c r="I8" s="154" t="s">
        <v>15</v>
      </c>
      <c r="J8" s="151"/>
      <c r="K8" s="151"/>
    </row>
    <row r="9" spans="1:11">
      <c r="A9" s="145" t="s">
        <v>16</v>
      </c>
      <c r="B9" s="151"/>
      <c r="C9" s="151"/>
      <c r="D9" s="156"/>
      <c r="E9" s="151"/>
      <c r="F9" s="151"/>
      <c r="G9" s="151"/>
      <c r="H9" s="151"/>
      <c r="I9" s="145" t="s">
        <v>17</v>
      </c>
      <c r="J9" s="151"/>
      <c r="K9" s="151"/>
    </row>
    <row r="10" spans="1:11" ht="13.8" thickBot="1">
      <c r="A10" s="33" t="s">
        <v>18</v>
      </c>
      <c r="B10" s="151"/>
      <c r="C10" s="151"/>
      <c r="D10" s="151"/>
      <c r="E10" s="151"/>
      <c r="F10" s="151"/>
      <c r="G10" s="151"/>
      <c r="H10" s="151"/>
      <c r="I10" s="33" t="s">
        <v>19</v>
      </c>
      <c r="J10" s="151"/>
      <c r="K10" s="151"/>
    </row>
    <row r="11" spans="1:11">
      <c r="A11" s="145">
        <v>1</v>
      </c>
      <c r="B11" s="151" t="s">
        <v>318</v>
      </c>
      <c r="C11" s="151" t="s">
        <v>317</v>
      </c>
      <c r="D11" s="157"/>
      <c r="E11" s="151"/>
      <c r="F11" s="151"/>
      <c r="G11" s="151"/>
      <c r="H11" s="151"/>
      <c r="I11" s="158">
        <f>+I172</f>
        <v>18476965.008849274</v>
      </c>
      <c r="J11" s="151"/>
      <c r="K11" s="159"/>
    </row>
    <row r="12" spans="1:11">
      <c r="A12" s="145"/>
      <c r="B12" s="151"/>
      <c r="C12" s="151"/>
      <c r="D12" s="151"/>
      <c r="E12" s="151"/>
      <c r="F12" s="151"/>
      <c r="G12" s="151"/>
      <c r="H12" s="151"/>
      <c r="I12" s="157"/>
      <c r="J12" s="151"/>
      <c r="K12" s="151"/>
    </row>
    <row r="13" spans="1:11" ht="13.8" thickBot="1">
      <c r="A13" s="145" t="s">
        <v>10</v>
      </c>
      <c r="B13" s="31" t="s">
        <v>20</v>
      </c>
      <c r="C13" s="37" t="s">
        <v>319</v>
      </c>
      <c r="D13" s="33" t="s">
        <v>21</v>
      </c>
      <c r="E13" s="29"/>
      <c r="F13" s="160" t="s">
        <v>22</v>
      </c>
      <c r="G13" s="160"/>
      <c r="H13" s="151"/>
      <c r="I13" s="157"/>
      <c r="J13" s="151"/>
      <c r="K13" s="151"/>
    </row>
    <row r="14" spans="1:11">
      <c r="A14" s="145">
        <f>+A11+1</f>
        <v>2</v>
      </c>
      <c r="B14" s="31" t="s">
        <v>176</v>
      </c>
      <c r="C14" s="37" t="str">
        <f>"(page 4, line "&amp;A222&amp;")"</f>
        <v>(page 4, line 29)</v>
      </c>
      <c r="D14" s="214">
        <f>I222</f>
        <v>16999.999999999996</v>
      </c>
      <c r="E14" s="29"/>
      <c r="F14" s="29" t="s">
        <v>23</v>
      </c>
      <c r="G14" s="27">
        <f>I191</f>
        <v>1</v>
      </c>
      <c r="H14" s="44"/>
      <c r="I14" s="18">
        <f>+G14*D14</f>
        <v>16999.999999999996</v>
      </c>
      <c r="J14" s="151"/>
      <c r="K14" s="151"/>
    </row>
    <row r="15" spans="1:11">
      <c r="A15" s="145">
        <f>+A14+1</f>
        <v>3</v>
      </c>
      <c r="B15" s="31" t="s">
        <v>177</v>
      </c>
      <c r="C15" s="37" t="str">
        <f>"(page 4, line "&amp;A227&amp;")"</f>
        <v>(page 4, line 33)</v>
      </c>
      <c r="D15" s="214">
        <f>I227</f>
        <v>190000.00000000009</v>
      </c>
      <c r="E15" s="29"/>
      <c r="F15" s="29" t="s">
        <v>23</v>
      </c>
      <c r="G15" s="27">
        <f>+G14</f>
        <v>1</v>
      </c>
      <c r="H15" s="44"/>
      <c r="I15" s="18">
        <f>+G15*D15</f>
        <v>190000.00000000009</v>
      </c>
      <c r="J15" s="151"/>
      <c r="K15" s="151"/>
    </row>
    <row r="16" spans="1:11">
      <c r="A16" s="145">
        <f>+A15+1</f>
        <v>4</v>
      </c>
      <c r="B16" s="31" t="s">
        <v>273</v>
      </c>
      <c r="C16" s="37" t="s">
        <v>870</v>
      </c>
      <c r="D16" s="214">
        <f>+'5-P3 Support'!G68</f>
        <v>0</v>
      </c>
      <c r="E16" s="29"/>
      <c r="F16" s="29" t="s">
        <v>23</v>
      </c>
      <c r="G16" s="27">
        <f>+G15</f>
        <v>1</v>
      </c>
      <c r="H16" s="44"/>
      <c r="I16" s="18">
        <f>+D16*G16</f>
        <v>0</v>
      </c>
      <c r="J16" s="151"/>
      <c r="K16" s="151"/>
    </row>
    <row r="17" spans="1:13">
      <c r="A17" s="145">
        <f>+A16+1</f>
        <v>5</v>
      </c>
      <c r="B17" s="162" t="s">
        <v>419</v>
      </c>
      <c r="C17" s="163" t="s">
        <v>313</v>
      </c>
      <c r="D17" s="214">
        <v>0</v>
      </c>
      <c r="E17" s="29"/>
      <c r="F17" s="29" t="s">
        <v>23</v>
      </c>
      <c r="G17" s="27">
        <f>+G15</f>
        <v>1</v>
      </c>
      <c r="H17" s="44"/>
      <c r="I17" s="18">
        <f>+G17*D17</f>
        <v>0</v>
      </c>
      <c r="J17" s="151"/>
      <c r="K17" s="151"/>
    </row>
    <row r="18" spans="1:13" ht="13.8" thickBot="1">
      <c r="A18" s="145">
        <f>+A17+1</f>
        <v>6</v>
      </c>
      <c r="B18" s="162" t="s">
        <v>178</v>
      </c>
      <c r="C18" s="163"/>
      <c r="D18" s="214">
        <v>0</v>
      </c>
      <c r="E18" s="29"/>
      <c r="F18" s="29" t="s">
        <v>23</v>
      </c>
      <c r="G18" s="27">
        <f>+G17</f>
        <v>1</v>
      </c>
      <c r="H18" s="44"/>
      <c r="I18" s="201">
        <f>+G18*D18</f>
        <v>0</v>
      </c>
      <c r="J18" s="151"/>
      <c r="K18" s="151"/>
    </row>
    <row r="19" spans="1:13">
      <c r="A19" s="145">
        <f>+A18+1</f>
        <v>7</v>
      </c>
      <c r="B19" s="31" t="s">
        <v>340</v>
      </c>
      <c r="C19" s="151" t="s">
        <v>339</v>
      </c>
      <c r="D19" s="1095">
        <f>SUM(D14:D18)</f>
        <v>207000.00000000009</v>
      </c>
      <c r="E19" s="29"/>
      <c r="F19" s="29"/>
      <c r="G19" s="45"/>
      <c r="H19" s="44"/>
      <c r="I19" s="18">
        <f>SUM(I14:I18)</f>
        <v>207000.00000000009</v>
      </c>
      <c r="J19" s="151"/>
      <c r="K19" s="151"/>
    </row>
    <row r="20" spans="1:13">
      <c r="A20" s="145"/>
      <c r="B20" s="36"/>
      <c r="C20" s="151"/>
      <c r="D20" s="1096" t="s">
        <v>10</v>
      </c>
      <c r="E20" s="151"/>
      <c r="F20" s="151"/>
      <c r="G20" s="164"/>
      <c r="H20" s="151"/>
      <c r="I20" s="36"/>
      <c r="J20" s="151"/>
      <c r="K20" s="151"/>
    </row>
    <row r="21" spans="1:13" ht="13.8" thickBot="1">
      <c r="A21" s="145">
        <f>+A19+1</f>
        <v>8</v>
      </c>
      <c r="B21" s="31" t="s">
        <v>24</v>
      </c>
      <c r="C21" s="151" t="s">
        <v>320</v>
      </c>
      <c r="D21" s="1097" t="s">
        <v>10</v>
      </c>
      <c r="E21" s="29"/>
      <c r="F21" s="29"/>
      <c r="G21" s="29"/>
      <c r="H21" s="29"/>
      <c r="I21" s="165">
        <f>I11-I19</f>
        <v>18269965.008849274</v>
      </c>
      <c r="J21" s="151"/>
      <c r="K21" s="151"/>
      <c r="M21" s="166"/>
    </row>
    <row r="22" spans="1:13" ht="13.8" thickTop="1">
      <c r="A22" s="145"/>
      <c r="B22" s="36"/>
      <c r="C22" s="151"/>
      <c r="D22" s="1097"/>
      <c r="E22" s="29"/>
      <c r="F22" s="29"/>
      <c r="G22" s="29"/>
      <c r="H22" s="29"/>
      <c r="I22" s="36"/>
      <c r="J22" s="151"/>
      <c r="K22" s="151"/>
      <c r="M22" s="167"/>
    </row>
    <row r="23" spans="1:13">
      <c r="A23" s="168">
        <f>+A21+1</f>
        <v>9</v>
      </c>
      <c r="B23" s="169" t="s">
        <v>161</v>
      </c>
      <c r="C23" s="614" t="s">
        <v>678</v>
      </c>
      <c r="D23" s="214">
        <f>+'3-Project True-up'!K39</f>
        <v>4509427.2677603606</v>
      </c>
      <c r="E23" s="170"/>
      <c r="F23" s="171" t="s">
        <v>97</v>
      </c>
      <c r="G23" s="172">
        <v>1</v>
      </c>
      <c r="H23" s="170"/>
      <c r="I23" s="18">
        <f>+G23*D23</f>
        <v>4509427.2677603606</v>
      </c>
      <c r="K23" s="173"/>
    </row>
    <row r="24" spans="1:13">
      <c r="A24" s="168"/>
      <c r="B24" s="169"/>
      <c r="C24" s="170"/>
      <c r="D24" s="174"/>
      <c r="E24" s="174"/>
      <c r="F24" s="174"/>
      <c r="G24" s="174"/>
      <c r="H24" s="174"/>
      <c r="I24" s="175"/>
      <c r="K24" s="173"/>
    </row>
    <row r="25" spans="1:13" ht="13.8" thickBot="1">
      <c r="A25" s="168">
        <f>+A23+1</f>
        <v>10</v>
      </c>
      <c r="B25" s="169" t="s">
        <v>24</v>
      </c>
      <c r="C25" s="170" t="s">
        <v>321</v>
      </c>
      <c r="D25" s="174"/>
      <c r="E25" s="175"/>
      <c r="F25" s="175"/>
      <c r="G25" s="175"/>
      <c r="H25" s="175"/>
      <c r="I25" s="176">
        <f>+I21+I23</f>
        <v>22779392.276609637</v>
      </c>
      <c r="K25" s="546"/>
    </row>
    <row r="26" spans="1:13" ht="13.8" thickTop="1">
      <c r="A26" s="177"/>
      <c r="B26" s="162"/>
      <c r="C26" s="173"/>
      <c r="D26" s="173"/>
      <c r="E26" s="173"/>
      <c r="F26" s="178"/>
      <c r="G26" s="179"/>
      <c r="H26" s="173"/>
      <c r="I26" s="162"/>
      <c r="J26" s="173"/>
      <c r="K26" s="173"/>
    </row>
    <row r="27" spans="1:13">
      <c r="A27" s="177"/>
      <c r="B27" s="180"/>
      <c r="C27" s="173"/>
      <c r="D27" s="173"/>
      <c r="E27" s="173"/>
      <c r="F27" s="178"/>
      <c r="G27" s="179"/>
      <c r="H27" s="173"/>
      <c r="I27" s="162"/>
      <c r="J27" s="173"/>
      <c r="K27" s="173"/>
    </row>
    <row r="28" spans="1:13">
      <c r="A28" s="177"/>
      <c r="B28" s="162"/>
      <c r="C28" s="173"/>
      <c r="D28" s="173"/>
      <c r="E28" s="173"/>
      <c r="F28" s="173"/>
      <c r="G28" s="179"/>
      <c r="H28" s="173"/>
      <c r="I28" s="162"/>
      <c r="J28" s="173"/>
      <c r="K28" s="173"/>
    </row>
    <row r="29" spans="1:13">
      <c r="A29" s="177"/>
      <c r="B29" s="162"/>
      <c r="C29" s="173"/>
      <c r="D29" s="173"/>
      <c r="E29" s="173"/>
      <c r="F29" s="173"/>
      <c r="G29" s="179"/>
      <c r="H29" s="173"/>
      <c r="I29" s="162"/>
      <c r="J29" s="173"/>
      <c r="K29" s="173"/>
    </row>
    <row r="30" spans="1:13">
      <c r="A30" s="177"/>
      <c r="B30" s="162"/>
      <c r="C30" s="173"/>
      <c r="D30" s="173"/>
      <c r="E30" s="173"/>
      <c r="F30" s="173"/>
      <c r="G30" s="179"/>
      <c r="H30" s="173"/>
      <c r="I30" s="162"/>
      <c r="J30" s="173"/>
      <c r="K30" s="173"/>
    </row>
    <row r="31" spans="1:13">
      <c r="A31" s="177"/>
      <c r="B31" s="181"/>
      <c r="C31" s="173"/>
      <c r="D31" s="173"/>
      <c r="E31" s="173"/>
      <c r="F31" s="173"/>
      <c r="G31" s="173"/>
      <c r="H31" s="173"/>
      <c r="I31" s="162"/>
      <c r="J31" s="173"/>
      <c r="K31" s="173"/>
    </row>
    <row r="32" spans="1:13">
      <c r="A32" s="177"/>
      <c r="B32" s="180"/>
      <c r="C32" s="173"/>
      <c r="D32" s="173"/>
      <c r="E32" s="173"/>
      <c r="F32" s="173"/>
      <c r="G32" s="173"/>
      <c r="H32" s="173"/>
      <c r="I32" s="162"/>
      <c r="J32" s="173"/>
      <c r="K32" s="173"/>
    </row>
    <row r="33" spans="1:11">
      <c r="A33" s="177"/>
      <c r="B33" s="180"/>
      <c r="C33" s="173"/>
      <c r="D33" s="182"/>
      <c r="E33" s="173"/>
      <c r="F33" s="173"/>
      <c r="G33" s="173"/>
      <c r="H33" s="173"/>
      <c r="I33" s="178"/>
      <c r="J33" s="173"/>
      <c r="K33" s="173"/>
    </row>
    <row r="34" spans="1:11">
      <c r="A34" s="177"/>
      <c r="B34" s="180"/>
      <c r="C34" s="173"/>
      <c r="D34" s="182"/>
      <c r="E34" s="173"/>
      <c r="F34" s="173"/>
      <c r="G34" s="173"/>
      <c r="H34" s="173"/>
      <c r="I34" s="178"/>
      <c r="J34" s="173"/>
      <c r="K34" s="173"/>
    </row>
    <row r="35" spans="1:11">
      <c r="A35" s="177"/>
      <c r="B35" s="180"/>
      <c r="C35" s="173"/>
      <c r="D35" s="183"/>
      <c r="E35" s="173"/>
      <c r="F35" s="173"/>
      <c r="G35" s="173"/>
      <c r="H35" s="173"/>
      <c r="I35" s="178"/>
      <c r="J35" s="173"/>
      <c r="K35" s="173"/>
    </row>
    <row r="36" spans="1:11">
      <c r="A36" s="177"/>
      <c r="B36" s="180"/>
      <c r="C36" s="173"/>
      <c r="D36" s="184"/>
      <c r="E36" s="173"/>
      <c r="F36" s="173"/>
      <c r="G36" s="173"/>
      <c r="H36" s="173"/>
      <c r="I36" s="185"/>
      <c r="J36" s="173"/>
      <c r="K36" s="173"/>
    </row>
    <row r="37" spans="1:11">
      <c r="A37" s="177"/>
      <c r="B37" s="180"/>
      <c r="C37" s="186"/>
      <c r="D37" s="182"/>
      <c r="E37" s="173"/>
      <c r="F37" s="173"/>
      <c r="G37" s="173"/>
      <c r="H37" s="173"/>
      <c r="I37" s="187"/>
      <c r="J37" s="173"/>
      <c r="K37" s="173"/>
    </row>
    <row r="38" spans="1:11">
      <c r="A38" s="177"/>
      <c r="B38" s="180"/>
      <c r="C38" s="186"/>
      <c r="D38" s="182"/>
      <c r="E38" s="173"/>
      <c r="F38" s="178"/>
      <c r="G38" s="173"/>
      <c r="H38" s="173"/>
      <c r="I38" s="187"/>
      <c r="J38" s="173"/>
      <c r="K38" s="173"/>
    </row>
    <row r="39" spans="1:11">
      <c r="A39" s="177"/>
      <c r="B39" s="180"/>
      <c r="C39" s="186"/>
      <c r="D39" s="182"/>
      <c r="E39" s="173"/>
      <c r="F39" s="178"/>
      <c r="G39" s="173"/>
      <c r="H39" s="173"/>
      <c r="I39" s="187"/>
      <c r="J39" s="173"/>
      <c r="K39" s="173"/>
    </row>
    <row r="40" spans="1:11">
      <c r="A40" s="177"/>
      <c r="B40" s="180"/>
      <c r="C40" s="173"/>
      <c r="D40" s="173"/>
      <c r="E40" s="173"/>
      <c r="F40" s="178"/>
      <c r="G40" s="173"/>
      <c r="H40" s="173"/>
      <c r="I40" s="178"/>
      <c r="J40" s="173"/>
      <c r="K40" s="173"/>
    </row>
    <row r="41" spans="1:11">
      <c r="A41" s="177"/>
      <c r="B41" s="180"/>
      <c r="C41" s="173"/>
      <c r="D41" s="173"/>
      <c r="E41" s="173"/>
      <c r="F41" s="178"/>
      <c r="G41" s="173"/>
      <c r="H41" s="173"/>
      <c r="I41" s="178"/>
      <c r="J41" s="173"/>
      <c r="K41" s="173"/>
    </row>
    <row r="42" spans="1:11">
      <c r="A42" s="177"/>
      <c r="B42" s="180"/>
      <c r="C42" s="173"/>
      <c r="D42" s="188"/>
      <c r="E42" s="188"/>
      <c r="F42" s="188"/>
      <c r="G42" s="188"/>
      <c r="H42" s="188"/>
      <c r="I42" s="188"/>
      <c r="J42" s="188"/>
      <c r="K42" s="173"/>
    </row>
    <row r="43" spans="1:11">
      <c r="A43" s="177"/>
      <c r="B43" s="180"/>
      <c r="C43" s="173"/>
      <c r="D43" s="188"/>
      <c r="E43" s="188"/>
      <c r="F43" s="188"/>
      <c r="G43" s="188"/>
      <c r="H43" s="188"/>
      <c r="I43" s="188"/>
      <c r="J43" s="188"/>
      <c r="K43" s="173"/>
    </row>
    <row r="44" spans="1:11">
      <c r="A44" s="177"/>
      <c r="B44" s="180"/>
      <c r="C44" s="173"/>
      <c r="D44" s="188"/>
      <c r="E44" s="188"/>
      <c r="F44" s="188"/>
      <c r="G44" s="188"/>
      <c r="H44" s="188"/>
      <c r="I44" s="188"/>
      <c r="J44" s="188"/>
      <c r="K44" s="173"/>
    </row>
    <row r="45" spans="1:11">
      <c r="A45" s="177"/>
      <c r="B45" s="180"/>
      <c r="C45" s="173"/>
      <c r="D45" s="188"/>
      <c r="E45" s="188"/>
      <c r="F45" s="188"/>
      <c r="G45" s="188"/>
      <c r="H45" s="188"/>
      <c r="I45" s="188"/>
      <c r="J45" s="188"/>
      <c r="K45" s="173"/>
    </row>
    <row r="46" spans="1:11">
      <c r="A46" s="145"/>
      <c r="B46" s="31"/>
      <c r="C46" s="151"/>
      <c r="D46" s="189"/>
      <c r="E46" s="190"/>
      <c r="F46" s="190"/>
      <c r="G46" s="190"/>
      <c r="H46" s="190"/>
      <c r="I46" s="190"/>
      <c r="J46" s="190"/>
      <c r="K46" s="151"/>
    </row>
    <row r="47" spans="1:11">
      <c r="A47" s="145"/>
      <c r="B47" s="31"/>
      <c r="C47" s="151"/>
      <c r="D47" s="189"/>
      <c r="E47" s="190"/>
      <c r="F47" s="190"/>
      <c r="G47" s="190"/>
      <c r="H47" s="190"/>
      <c r="I47" s="190"/>
      <c r="J47" s="190"/>
      <c r="K47" s="151"/>
    </row>
    <row r="48" spans="1:11">
      <c r="A48" s="145"/>
      <c r="B48" s="31"/>
      <c r="C48" s="151"/>
      <c r="D48" s="189"/>
      <c r="E48" s="190"/>
      <c r="F48" s="190"/>
      <c r="G48" s="190"/>
      <c r="H48" s="190"/>
      <c r="I48" s="190"/>
      <c r="J48" s="190"/>
      <c r="K48" s="151"/>
    </row>
    <row r="49" spans="1:11">
      <c r="A49" s="145"/>
      <c r="B49" s="31"/>
      <c r="C49" s="151"/>
      <c r="D49" s="189"/>
      <c r="E49" s="190"/>
      <c r="F49" s="190"/>
      <c r="G49" s="190"/>
      <c r="H49" s="190"/>
      <c r="I49" s="190"/>
      <c r="J49" s="190"/>
      <c r="K49" s="151"/>
    </row>
    <row r="50" spans="1:11">
      <c r="A50" s="145"/>
      <c r="B50" s="31"/>
      <c r="C50" s="151"/>
      <c r="D50" s="189"/>
      <c r="E50" s="190"/>
      <c r="F50" s="190"/>
      <c r="G50" s="190"/>
      <c r="H50" s="190"/>
      <c r="I50" s="190"/>
      <c r="J50" s="190"/>
      <c r="K50" s="151"/>
    </row>
    <row r="51" spans="1:11">
      <c r="A51" s="145"/>
      <c r="B51" s="31"/>
      <c r="C51" s="151"/>
      <c r="D51" s="189"/>
      <c r="E51" s="190"/>
      <c r="F51" s="190"/>
      <c r="G51" s="190"/>
      <c r="H51" s="190"/>
      <c r="I51" s="190"/>
      <c r="J51" s="190"/>
      <c r="K51" s="151"/>
    </row>
    <row r="52" spans="1:11">
      <c r="A52" s="36"/>
      <c r="B52" s="31"/>
      <c r="C52" s="151"/>
      <c r="D52" s="151"/>
      <c r="E52" s="151"/>
      <c r="F52" s="151"/>
      <c r="G52" s="151"/>
      <c r="H52" s="151"/>
      <c r="I52" s="191"/>
      <c r="J52" s="151"/>
      <c r="K52" s="192" t="s">
        <v>181</v>
      </c>
    </row>
    <row r="53" spans="1:11">
      <c r="A53" s="36"/>
      <c r="B53" s="151"/>
      <c r="C53" s="151"/>
      <c r="D53" s="151"/>
      <c r="E53" s="151"/>
      <c r="F53" s="151"/>
      <c r="G53" s="151"/>
      <c r="H53" s="151"/>
      <c r="I53" s="151"/>
      <c r="J53" s="151"/>
      <c r="K53" s="151"/>
    </row>
    <row r="54" spans="1:11">
      <c r="A54" s="36"/>
      <c r="B54" s="31" t="s">
        <v>9</v>
      </c>
      <c r="C54" s="31"/>
      <c r="D54" s="155" t="s">
        <v>91</v>
      </c>
      <c r="E54" s="31"/>
      <c r="F54" s="31"/>
      <c r="G54" s="31"/>
      <c r="H54" s="31"/>
      <c r="I54" s="143"/>
      <c r="J54" s="31"/>
      <c r="K54" s="192" t="str">
        <f>K3</f>
        <v>For  the 12 months ended 12/31/2022</v>
      </c>
    </row>
    <row r="55" spans="1:11">
      <c r="A55" s="36"/>
      <c r="B55" s="193"/>
      <c r="C55" s="29"/>
      <c r="D55" s="32" t="s">
        <v>160</v>
      </c>
      <c r="E55" s="29"/>
      <c r="F55" s="29"/>
      <c r="G55" s="29"/>
      <c r="H55" s="29"/>
      <c r="I55" s="29"/>
      <c r="J55" s="29"/>
      <c r="K55" s="29"/>
    </row>
    <row r="56" spans="1:11">
      <c r="A56" s="36"/>
      <c r="B56" s="31"/>
      <c r="C56" s="29"/>
      <c r="D56" s="32" t="str">
        <f>+D5</f>
        <v>Gridliance High Plains LLC</v>
      </c>
      <c r="E56" s="29"/>
      <c r="F56" s="29"/>
      <c r="G56" s="29" t="s">
        <v>10</v>
      </c>
      <c r="H56" s="29"/>
      <c r="I56" s="29"/>
      <c r="J56" s="29"/>
      <c r="K56" s="29"/>
    </row>
    <row r="57" spans="1:11">
      <c r="A57" s="1111"/>
      <c r="B57" s="1111"/>
      <c r="C57" s="1111"/>
      <c r="D57" s="1111"/>
      <c r="E57" s="1111"/>
      <c r="F57" s="1111"/>
      <c r="G57" s="1111"/>
      <c r="H57" s="1111"/>
      <c r="I57" s="1111"/>
      <c r="J57" s="1111"/>
      <c r="K57" s="1111"/>
    </row>
    <row r="58" spans="1:11">
      <c r="A58" s="36"/>
      <c r="B58" s="155" t="s">
        <v>11</v>
      </c>
      <c r="C58" s="155" t="s">
        <v>12</v>
      </c>
      <c r="D58" s="155" t="s">
        <v>13</v>
      </c>
      <c r="E58" s="29" t="s">
        <v>10</v>
      </c>
      <c r="F58" s="29"/>
      <c r="G58" s="154" t="s">
        <v>14</v>
      </c>
      <c r="H58" s="29"/>
      <c r="I58" s="154" t="s">
        <v>15</v>
      </c>
      <c r="J58" s="29"/>
      <c r="K58" s="155"/>
    </row>
    <row r="59" spans="1:11">
      <c r="A59" s="36"/>
      <c r="B59" s="31"/>
      <c r="C59" s="194"/>
      <c r="D59" s="29"/>
      <c r="E59" s="29"/>
      <c r="F59" s="29"/>
      <c r="G59" s="145"/>
      <c r="H59" s="29"/>
      <c r="I59" s="195" t="s">
        <v>25</v>
      </c>
      <c r="J59" s="29"/>
      <c r="K59" s="155"/>
    </row>
    <row r="60" spans="1:11">
      <c r="A60" s="145" t="s">
        <v>16</v>
      </c>
      <c r="B60" s="31"/>
      <c r="C60" s="196" t="s">
        <v>301</v>
      </c>
      <c r="D60" s="195" t="s">
        <v>27</v>
      </c>
      <c r="E60" s="197"/>
      <c r="F60" s="195" t="s">
        <v>28</v>
      </c>
      <c r="G60" s="36"/>
      <c r="H60" s="197"/>
      <c r="I60" s="145" t="s">
        <v>29</v>
      </c>
      <c r="J60" s="29"/>
      <c r="K60" s="155"/>
    </row>
    <row r="61" spans="1:11" ht="13.8" thickBot="1">
      <c r="A61" s="33" t="s">
        <v>18</v>
      </c>
      <c r="B61" s="198" t="s">
        <v>571</v>
      </c>
      <c r="C61" s="29"/>
      <c r="D61" s="29"/>
      <c r="E61" s="29"/>
      <c r="F61" s="29"/>
      <c r="G61" s="29"/>
      <c r="H61" s="29"/>
      <c r="I61" s="29"/>
      <c r="J61" s="29"/>
      <c r="K61" s="29"/>
    </row>
    <row r="62" spans="1:11">
      <c r="A62" s="145"/>
      <c r="B62" s="31" t="s">
        <v>691</v>
      </c>
      <c r="C62" s="29"/>
      <c r="D62" s="29"/>
      <c r="E62" s="29"/>
      <c r="F62" s="29"/>
      <c r="G62" s="29"/>
      <c r="H62" s="29"/>
      <c r="I62" s="29"/>
      <c r="J62" s="29"/>
      <c r="K62" s="29"/>
    </row>
    <row r="63" spans="1:11">
      <c r="A63" s="145">
        <v>1</v>
      </c>
      <c r="B63" s="31" t="s">
        <v>420</v>
      </c>
      <c r="C63" s="44" t="s">
        <v>425</v>
      </c>
      <c r="D63" s="199">
        <v>0</v>
      </c>
      <c r="E63" s="29"/>
      <c r="F63" s="29" t="s">
        <v>30</v>
      </c>
      <c r="G63" s="954">
        <v>0</v>
      </c>
      <c r="H63" s="29"/>
      <c r="I63" s="18">
        <f>+G63*D63</f>
        <v>0</v>
      </c>
      <c r="J63" s="29"/>
      <c r="K63" s="29"/>
    </row>
    <row r="64" spans="1:11">
      <c r="A64" s="145">
        <f>+A63+1</f>
        <v>2</v>
      </c>
      <c r="B64" s="31" t="s">
        <v>31</v>
      </c>
      <c r="C64" s="44" t="s">
        <v>423</v>
      </c>
      <c r="D64" s="214">
        <f>'4- Rate Base'!C24</f>
        <v>101270286.86388241</v>
      </c>
      <c r="E64" s="29"/>
      <c r="F64" s="29" t="s">
        <v>23</v>
      </c>
      <c r="G64" s="27">
        <f>I191</f>
        <v>1</v>
      </c>
      <c r="H64" s="44"/>
      <c r="I64" s="18">
        <f>+G64*D64</f>
        <v>101270286.86388241</v>
      </c>
      <c r="J64" s="29"/>
      <c r="K64" s="29"/>
    </row>
    <row r="65" spans="1:11">
      <c r="A65" s="145">
        <f t="shared" ref="A65:A104" si="0">+A64+1</f>
        <v>3</v>
      </c>
      <c r="B65" s="31" t="s">
        <v>421</v>
      </c>
      <c r="C65" s="44" t="s">
        <v>426</v>
      </c>
      <c r="D65" s="199">
        <v>0</v>
      </c>
      <c r="E65" s="29"/>
      <c r="F65" s="29" t="s">
        <v>30</v>
      </c>
      <c r="G65" s="161">
        <v>0</v>
      </c>
      <c r="H65" s="44"/>
      <c r="I65" s="18">
        <f>+G65*D65</f>
        <v>0</v>
      </c>
      <c r="J65" s="29"/>
      <c r="K65" s="29"/>
    </row>
    <row r="66" spans="1:11">
      <c r="A66" s="145">
        <f t="shared" si="0"/>
        <v>4</v>
      </c>
      <c r="B66" s="31" t="s">
        <v>125</v>
      </c>
      <c r="C66" s="44" t="s">
        <v>424</v>
      </c>
      <c r="D66" s="214">
        <f>'4- Rate Base'!D24</f>
        <v>0</v>
      </c>
      <c r="E66" s="29"/>
      <c r="F66" s="29" t="s">
        <v>32</v>
      </c>
      <c r="G66" s="27">
        <f>I199</f>
        <v>1</v>
      </c>
      <c r="H66" s="44"/>
      <c r="I66" s="18">
        <f>+G66*D66</f>
        <v>0</v>
      </c>
      <c r="J66" s="29"/>
      <c r="K66" s="29"/>
    </row>
    <row r="67" spans="1:11" ht="13.8" thickBot="1">
      <c r="A67" s="145">
        <f t="shared" si="0"/>
        <v>5</v>
      </c>
      <c r="B67" s="31" t="s">
        <v>422</v>
      </c>
      <c r="C67" s="29" t="s">
        <v>427</v>
      </c>
      <c r="D67" s="200">
        <v>0</v>
      </c>
      <c r="E67" s="29"/>
      <c r="F67" s="29" t="s">
        <v>183</v>
      </c>
      <c r="G67" s="27">
        <f>K203</f>
        <v>1</v>
      </c>
      <c r="H67" s="44"/>
      <c r="I67" s="201">
        <f>+G67*D67</f>
        <v>0</v>
      </c>
      <c r="J67" s="29"/>
      <c r="K67" s="29"/>
    </row>
    <row r="68" spans="1:11" ht="24" customHeight="1">
      <c r="A68" s="145">
        <f t="shared" si="0"/>
        <v>6</v>
      </c>
      <c r="B68" s="28" t="s">
        <v>330</v>
      </c>
      <c r="C68" s="29" t="s">
        <v>329</v>
      </c>
      <c r="D68" s="18">
        <f>SUM(D63:D67)</f>
        <v>101270286.86388241</v>
      </c>
      <c r="E68" s="29"/>
      <c r="F68" s="29" t="s">
        <v>33</v>
      </c>
      <c r="G68" s="202">
        <f>IF(I68&gt;0,I68/D68,0)</f>
        <v>1</v>
      </c>
      <c r="H68" s="44"/>
      <c r="I68" s="18">
        <f>SUM(I63:I67)</f>
        <v>101270286.86388241</v>
      </c>
      <c r="J68" s="29"/>
      <c r="K68" s="203"/>
    </row>
    <row r="69" spans="1:11">
      <c r="A69" s="145"/>
      <c r="B69" s="31"/>
      <c r="C69" s="29"/>
      <c r="D69" s="18"/>
      <c r="E69" s="29"/>
      <c r="F69" s="29"/>
      <c r="G69" s="203"/>
      <c r="H69" s="29"/>
      <c r="I69" s="18"/>
      <c r="J69" s="29"/>
      <c r="K69" s="203"/>
    </row>
    <row r="70" spans="1:11">
      <c r="A70" s="145">
        <f>+A68+1</f>
        <v>7</v>
      </c>
      <c r="B70" s="31" t="s">
        <v>692</v>
      </c>
      <c r="C70" s="29"/>
      <c r="D70" s="18"/>
      <c r="E70" s="29"/>
      <c r="F70" s="29"/>
      <c r="G70" s="29"/>
      <c r="H70" s="29"/>
      <c r="I70" s="18"/>
      <c r="J70" s="29"/>
      <c r="K70" s="29"/>
    </row>
    <row r="71" spans="1:11">
      <c r="A71" s="145">
        <f t="shared" si="0"/>
        <v>8</v>
      </c>
      <c r="B71" s="31" t="s">
        <v>420</v>
      </c>
      <c r="C71" s="29" t="s">
        <v>428</v>
      </c>
      <c r="D71" s="199">
        <v>0</v>
      </c>
      <c r="E71" s="29"/>
      <c r="F71" s="29" t="s">
        <v>30</v>
      </c>
      <c r="G71" s="18">
        <v>0</v>
      </c>
      <c r="H71" s="29"/>
      <c r="I71" s="18">
        <f>+G71*D71</f>
        <v>0</v>
      </c>
      <c r="J71" s="29"/>
      <c r="K71" s="29"/>
    </row>
    <row r="72" spans="1:11">
      <c r="A72" s="145">
        <f t="shared" si="0"/>
        <v>9</v>
      </c>
      <c r="B72" s="31" t="s">
        <v>31</v>
      </c>
      <c r="C72" s="29" t="s">
        <v>430</v>
      </c>
      <c r="D72" s="214">
        <f>'4- Rate Base'!I24</f>
        <v>18282481.840118468</v>
      </c>
      <c r="E72" s="29"/>
      <c r="F72" s="29" t="s">
        <v>23</v>
      </c>
      <c r="G72" s="27">
        <f>+G64</f>
        <v>1</v>
      </c>
      <c r="H72" s="44"/>
      <c r="I72" s="18">
        <f>+G72*D72</f>
        <v>18282481.840118468</v>
      </c>
      <c r="J72" s="29"/>
      <c r="K72" s="29"/>
    </row>
    <row r="73" spans="1:11">
      <c r="A73" s="145">
        <f t="shared" si="0"/>
        <v>10</v>
      </c>
      <c r="B73" s="31" t="s">
        <v>421</v>
      </c>
      <c r="C73" s="29" t="s">
        <v>429</v>
      </c>
      <c r="D73" s="199">
        <v>0</v>
      </c>
      <c r="E73" s="29"/>
      <c r="F73" s="29" t="s">
        <v>30</v>
      </c>
      <c r="G73" s="27">
        <f>+G65</f>
        <v>0</v>
      </c>
      <c r="H73" s="44"/>
      <c r="I73" s="214">
        <f>+G73*D73</f>
        <v>0</v>
      </c>
      <c r="J73" s="29"/>
      <c r="K73" s="29"/>
    </row>
    <row r="74" spans="1:11">
      <c r="A74" s="145">
        <f t="shared" si="0"/>
        <v>11</v>
      </c>
      <c r="B74" s="31" t="s">
        <v>125</v>
      </c>
      <c r="C74" s="29" t="s">
        <v>431</v>
      </c>
      <c r="D74" s="214">
        <f>'4- Rate Base'!J24</f>
        <v>0</v>
      </c>
      <c r="E74" s="29"/>
      <c r="F74" s="29" t="s">
        <v>32</v>
      </c>
      <c r="G74" s="27">
        <f>+G66</f>
        <v>1</v>
      </c>
      <c r="H74" s="44"/>
      <c r="I74" s="18">
        <f>+G74*D74</f>
        <v>0</v>
      </c>
      <c r="J74" s="29"/>
      <c r="K74" s="29"/>
    </row>
    <row r="75" spans="1:11" ht="13.8" thickBot="1">
      <c r="A75" s="145">
        <f t="shared" si="0"/>
        <v>12</v>
      </c>
      <c r="B75" s="31" t="s">
        <v>422</v>
      </c>
      <c r="C75" s="29" t="s">
        <v>427</v>
      </c>
      <c r="D75" s="200">
        <v>0</v>
      </c>
      <c r="E75" s="29"/>
      <c r="F75" s="29" t="s">
        <v>183</v>
      </c>
      <c r="G75" s="27">
        <f>+G67</f>
        <v>1</v>
      </c>
      <c r="H75" s="44"/>
      <c r="I75" s="201">
        <f>+G75*D75</f>
        <v>0</v>
      </c>
      <c r="J75" s="29"/>
      <c r="K75" s="29"/>
    </row>
    <row r="76" spans="1:11">
      <c r="A76" s="145">
        <f t="shared" si="0"/>
        <v>13</v>
      </c>
      <c r="B76" s="31" t="s">
        <v>332</v>
      </c>
      <c r="C76" s="29" t="s">
        <v>331</v>
      </c>
      <c r="D76" s="18">
        <f>SUM(D71:D75)</f>
        <v>18282481.840118468</v>
      </c>
      <c r="E76" s="29"/>
      <c r="F76" s="29"/>
      <c r="G76" s="27"/>
      <c r="H76" s="44"/>
      <c r="I76" s="18">
        <f>SUM(I71:I75)</f>
        <v>18282481.840118468</v>
      </c>
      <c r="J76" s="29"/>
      <c r="K76" s="29"/>
    </row>
    <row r="77" spans="1:11">
      <c r="A77" s="145"/>
      <c r="B77" s="36"/>
      <c r="C77" s="29" t="s">
        <v>10</v>
      </c>
      <c r="D77" s="18"/>
      <c r="E77" s="29"/>
      <c r="F77" s="29"/>
      <c r="G77" s="202"/>
      <c r="H77" s="29"/>
      <c r="I77" s="18"/>
      <c r="J77" s="29"/>
      <c r="K77" s="203"/>
    </row>
    <row r="78" spans="1:11">
      <c r="A78" s="145">
        <f>+A76+1</f>
        <v>14</v>
      </c>
      <c r="B78" s="31" t="s">
        <v>34</v>
      </c>
      <c r="C78" s="29"/>
      <c r="D78" s="18"/>
      <c r="E78" s="29"/>
      <c r="F78" s="29"/>
      <c r="G78" s="27"/>
      <c r="H78" s="29"/>
      <c r="I78" s="18"/>
      <c r="J78" s="29"/>
      <c r="K78" s="29"/>
    </row>
    <row r="79" spans="1:11">
      <c r="A79" s="145">
        <f t="shared" si="0"/>
        <v>15</v>
      </c>
      <c r="B79" s="31" t="s">
        <v>420</v>
      </c>
      <c r="C79" s="29" t="str">
        <f>"(line "&amp;A63&amp;" - line "&amp;A71&amp;")"</f>
        <v>(line 1 - line 8)</v>
      </c>
      <c r="D79" s="18">
        <f>D63-D71</f>
        <v>0</v>
      </c>
      <c r="E79" s="44"/>
      <c r="F79" s="44"/>
      <c r="G79" s="202"/>
      <c r="H79" s="44"/>
      <c r="I79" s="18">
        <f>I63-I71</f>
        <v>0</v>
      </c>
      <c r="J79" s="29"/>
      <c r="K79" s="203"/>
    </row>
    <row r="80" spans="1:11">
      <c r="A80" s="145">
        <f t="shared" si="0"/>
        <v>16</v>
      </c>
      <c r="B80" s="31" t="s">
        <v>31</v>
      </c>
      <c r="C80" s="29" t="s">
        <v>334</v>
      </c>
      <c r="D80" s="18">
        <f>D64-D72</f>
        <v>82987805.02376394</v>
      </c>
      <c r="E80" s="44"/>
      <c r="F80" s="44"/>
      <c r="G80" s="27"/>
      <c r="H80" s="44"/>
      <c r="I80" s="18">
        <f>I64-I72</f>
        <v>82987805.02376394</v>
      </c>
      <c r="J80" s="29"/>
      <c r="K80" s="203"/>
    </row>
    <row r="81" spans="1:11">
      <c r="A81" s="145">
        <f t="shared" si="0"/>
        <v>17</v>
      </c>
      <c r="B81" s="31" t="s">
        <v>421</v>
      </c>
      <c r="C81" s="29" t="str">
        <f>"(line "&amp;A65&amp;" - line "&amp;A73&amp;")"</f>
        <v>(line 3 - line 10)</v>
      </c>
      <c r="D81" s="18">
        <f>D65-D73</f>
        <v>0</v>
      </c>
      <c r="E81" s="44"/>
      <c r="F81" s="44"/>
      <c r="G81" s="202"/>
      <c r="H81" s="44"/>
      <c r="I81" s="214">
        <f>I65-I73</f>
        <v>0</v>
      </c>
      <c r="J81" s="29"/>
      <c r="K81" s="203"/>
    </row>
    <row r="82" spans="1:11">
      <c r="A82" s="145">
        <f t="shared" si="0"/>
        <v>18</v>
      </c>
      <c r="B82" s="31" t="s">
        <v>125</v>
      </c>
      <c r="C82" s="29" t="s">
        <v>335</v>
      </c>
      <c r="D82" s="18">
        <f>D66-D74</f>
        <v>0</v>
      </c>
      <c r="E82" s="44"/>
      <c r="F82" s="44"/>
      <c r="G82" s="202"/>
      <c r="H82" s="44"/>
      <c r="I82" s="18">
        <f>I66-I74</f>
        <v>0</v>
      </c>
      <c r="J82" s="29"/>
      <c r="K82" s="203"/>
    </row>
    <row r="83" spans="1:11" ht="13.8" thickBot="1">
      <c r="A83" s="145">
        <f t="shared" si="0"/>
        <v>19</v>
      </c>
      <c r="B83" s="31" t="s">
        <v>422</v>
      </c>
      <c r="C83" s="29" t="str">
        <f>"(line "&amp;A67&amp;" - line "&amp;A75&amp;")"</f>
        <v>(line 5 - line 12)</v>
      </c>
      <c r="D83" s="201">
        <f>D67-D75</f>
        <v>0</v>
      </c>
      <c r="E83" s="44"/>
      <c r="F83" s="44"/>
      <c r="G83" s="202"/>
      <c r="H83" s="44"/>
      <c r="I83" s="201">
        <f>I67-I75</f>
        <v>0</v>
      </c>
      <c r="J83" s="29"/>
      <c r="K83" s="203"/>
    </row>
    <row r="84" spans="1:11">
      <c r="A84" s="145">
        <f t="shared" si="0"/>
        <v>20</v>
      </c>
      <c r="B84" s="31" t="s">
        <v>338</v>
      </c>
      <c r="C84" s="29" t="s">
        <v>333</v>
      </c>
      <c r="D84" s="18">
        <f>SUM(D79:D83)</f>
        <v>82987805.02376394</v>
      </c>
      <c r="E84" s="44"/>
      <c r="F84" s="44" t="s">
        <v>35</v>
      </c>
      <c r="G84" s="202">
        <f>IF(I84&gt;0,I84/D84,0)</f>
        <v>1</v>
      </c>
      <c r="H84" s="44"/>
      <c r="I84" s="18">
        <f>SUM(I79:I83)</f>
        <v>82987805.02376394</v>
      </c>
      <c r="J84" s="29"/>
      <c r="K84" s="29"/>
    </row>
    <row r="85" spans="1:11">
      <c r="A85" s="145"/>
      <c r="B85" s="36"/>
      <c r="C85" s="29"/>
      <c r="D85" s="18"/>
      <c r="E85" s="29"/>
      <c r="F85" s="36"/>
      <c r="G85" s="34"/>
      <c r="H85" s="37"/>
      <c r="I85" s="214"/>
      <c r="J85" s="29"/>
      <c r="K85" s="203"/>
    </row>
    <row r="86" spans="1:11">
      <c r="A86" s="145">
        <f>+A84+1</f>
        <v>21</v>
      </c>
      <c r="B86" s="28" t="s">
        <v>693</v>
      </c>
      <c r="C86" s="29"/>
      <c r="D86" s="18"/>
      <c r="E86" s="29"/>
      <c r="F86" s="29"/>
      <c r="G86" s="37"/>
      <c r="H86" s="37"/>
      <c r="I86" s="214"/>
      <c r="J86" s="29"/>
      <c r="K86" s="29"/>
    </row>
    <row r="87" spans="1:11">
      <c r="A87" s="145">
        <f t="shared" si="0"/>
        <v>22</v>
      </c>
      <c r="B87" s="31" t="s">
        <v>126</v>
      </c>
      <c r="C87" s="29" t="s">
        <v>703</v>
      </c>
      <c r="D87" s="214">
        <f>+'4- Rate Base'!E44</f>
        <v>0</v>
      </c>
      <c r="E87" s="37"/>
      <c r="F87" s="37" t="s">
        <v>30</v>
      </c>
      <c r="G87" s="229">
        <v>0</v>
      </c>
      <c r="H87" s="215"/>
      <c r="I87" s="214">
        <f>+G87*D87</f>
        <v>0</v>
      </c>
      <c r="J87" s="29"/>
      <c r="K87" s="203"/>
    </row>
    <row r="88" spans="1:11">
      <c r="A88" s="145">
        <f t="shared" si="0"/>
        <v>23</v>
      </c>
      <c r="B88" s="31" t="s">
        <v>127</v>
      </c>
      <c r="C88" s="29" t="s">
        <v>704</v>
      </c>
      <c r="D88" s="759">
        <f>+'4- Rate Base'!F44</f>
        <v>-1239642.779502745</v>
      </c>
      <c r="E88" s="29"/>
      <c r="F88" s="37" t="s">
        <v>97</v>
      </c>
      <c r="G88" s="553">
        <v>1</v>
      </c>
      <c r="H88" s="215"/>
      <c r="I88" s="214">
        <f>D88*G88</f>
        <v>-1239642.779502745</v>
      </c>
      <c r="J88" s="29"/>
      <c r="K88" s="203"/>
    </row>
    <row r="89" spans="1:11">
      <c r="A89" s="145">
        <f t="shared" si="0"/>
        <v>24</v>
      </c>
      <c r="B89" s="31" t="s">
        <v>128</v>
      </c>
      <c r="C89" s="29" t="s">
        <v>705</v>
      </c>
      <c r="D89" s="759">
        <f>+'4- Rate Base'!G44</f>
        <v>0</v>
      </c>
      <c r="E89" s="29"/>
      <c r="F89" s="37" t="s">
        <v>97</v>
      </c>
      <c r="G89" s="553">
        <v>1</v>
      </c>
      <c r="H89" s="44"/>
      <c r="I89" s="18">
        <f>D89*G89</f>
        <v>0</v>
      </c>
      <c r="J89" s="29"/>
      <c r="K89" s="203"/>
    </row>
    <row r="90" spans="1:11">
      <c r="A90" s="145">
        <f t="shared" si="0"/>
        <v>25</v>
      </c>
      <c r="B90" s="31" t="s">
        <v>150</v>
      </c>
      <c r="C90" s="29" t="s">
        <v>706</v>
      </c>
      <c r="D90" s="759">
        <f>+'4- Rate Base'!H44</f>
        <v>0</v>
      </c>
      <c r="E90" s="29"/>
      <c r="F90" s="37" t="s">
        <v>97</v>
      </c>
      <c r="G90" s="553">
        <v>1</v>
      </c>
      <c r="H90" s="44"/>
      <c r="I90" s="18">
        <f>D90*G90</f>
        <v>0</v>
      </c>
      <c r="J90" s="29"/>
      <c r="K90" s="203"/>
    </row>
    <row r="91" spans="1:11">
      <c r="A91" s="145">
        <f t="shared" si="0"/>
        <v>26</v>
      </c>
      <c r="B91" s="36" t="s">
        <v>129</v>
      </c>
      <c r="C91" s="36" t="s">
        <v>707</v>
      </c>
      <c r="D91" s="759">
        <f>+'4- Rate Base'!I44</f>
        <v>0</v>
      </c>
      <c r="E91" s="29"/>
      <c r="F91" s="29" t="s">
        <v>36</v>
      </c>
      <c r="G91" s="206">
        <f>G84</f>
        <v>1</v>
      </c>
      <c r="H91" s="44"/>
      <c r="I91" s="42">
        <f>D91*G91</f>
        <v>0</v>
      </c>
      <c r="J91" s="29"/>
      <c r="K91" s="203"/>
    </row>
    <row r="92" spans="1:11" s="325" customFormat="1">
      <c r="A92" s="552" t="s">
        <v>587</v>
      </c>
      <c r="B92" s="34" t="s">
        <v>690</v>
      </c>
      <c r="C92" s="34" t="s">
        <v>588</v>
      </c>
      <c r="D92" s="759">
        <f>+'4- Rate Base'!I59</f>
        <v>0</v>
      </c>
      <c r="E92" s="37"/>
      <c r="F92" s="37" t="s">
        <v>97</v>
      </c>
      <c r="G92" s="553">
        <f>G93</f>
        <v>1</v>
      </c>
      <c r="H92" s="215"/>
      <c r="I92" s="53">
        <f>+G92*D92</f>
        <v>0</v>
      </c>
      <c r="J92" s="37"/>
      <c r="K92" s="554"/>
    </row>
    <row r="93" spans="1:11">
      <c r="A93" s="145">
        <f>+A91+1</f>
        <v>27</v>
      </c>
      <c r="B93" s="174" t="s">
        <v>107</v>
      </c>
      <c r="C93" s="211" t="s">
        <v>302</v>
      </c>
      <c r="D93" s="759">
        <f>'4- Rate Base'!E24</f>
        <v>0</v>
      </c>
      <c r="E93" s="207"/>
      <c r="F93" s="208" t="str">
        <f>+F94</f>
        <v>DA</v>
      </c>
      <c r="G93" s="209">
        <v>1</v>
      </c>
      <c r="H93" s="207"/>
      <c r="I93" s="42">
        <f>+G93*D93</f>
        <v>0</v>
      </c>
      <c r="K93" s="203"/>
    </row>
    <row r="94" spans="1:11">
      <c r="A94" s="145">
        <f t="shared" si="0"/>
        <v>28</v>
      </c>
      <c r="B94" s="210" t="s">
        <v>165</v>
      </c>
      <c r="C94" s="211" t="s">
        <v>467</v>
      </c>
      <c r="D94" s="759">
        <f>+'4- Rate Base'!C44</f>
        <v>0</v>
      </c>
      <c r="E94" s="208"/>
      <c r="F94" s="208" t="str">
        <f>+F95</f>
        <v>DA</v>
      </c>
      <c r="G94" s="209">
        <v>1</v>
      </c>
      <c r="H94" s="208"/>
      <c r="I94" s="42">
        <f>+G94*D94</f>
        <v>0</v>
      </c>
      <c r="K94" s="203"/>
    </row>
    <row r="95" spans="1:11" ht="13.8" thickBot="1">
      <c r="A95" s="145">
        <f t="shared" si="0"/>
        <v>29</v>
      </c>
      <c r="B95" s="210" t="s">
        <v>166</v>
      </c>
      <c r="C95" s="211" t="s">
        <v>432</v>
      </c>
      <c r="D95" s="226">
        <f>+'4- Rate Base'!D44</f>
        <v>0</v>
      </c>
      <c r="E95" s="207"/>
      <c r="F95" s="207" t="s">
        <v>97</v>
      </c>
      <c r="G95" s="212">
        <v>1</v>
      </c>
      <c r="H95" s="207"/>
      <c r="I95" s="201">
        <f>+G95*D95</f>
        <v>0</v>
      </c>
      <c r="K95" s="203"/>
    </row>
    <row r="96" spans="1:11">
      <c r="A96" s="145">
        <f t="shared" si="0"/>
        <v>30</v>
      </c>
      <c r="B96" s="31" t="s">
        <v>337</v>
      </c>
      <c r="C96" s="29" t="s">
        <v>336</v>
      </c>
      <c r="D96" s="18">
        <f>SUM(D87:D95)</f>
        <v>-1239642.779502745</v>
      </c>
      <c r="E96" s="29"/>
      <c r="F96" s="29"/>
      <c r="G96" s="44"/>
      <c r="H96" s="44"/>
      <c r="I96" s="18">
        <f>SUM(I87:I95)</f>
        <v>-1239642.779502745</v>
      </c>
      <c r="J96" s="29"/>
      <c r="K96" s="29"/>
    </row>
    <row r="97" spans="1:11">
      <c r="A97" s="145"/>
      <c r="B97" s="36"/>
      <c r="C97" s="29"/>
      <c r="D97" s="18"/>
      <c r="E97" s="29"/>
      <c r="F97" s="29"/>
      <c r="G97" s="203"/>
      <c r="H97" s="29"/>
      <c r="I97" s="18"/>
      <c r="J97" s="29"/>
      <c r="K97" s="203"/>
    </row>
    <row r="98" spans="1:11">
      <c r="A98" s="145">
        <f>+A96+1</f>
        <v>31</v>
      </c>
      <c r="B98" s="28" t="s">
        <v>708</v>
      </c>
      <c r="C98" s="213" t="s">
        <v>433</v>
      </c>
      <c r="D98" s="214">
        <f>+'4- Rate Base'!F24</f>
        <v>0</v>
      </c>
      <c r="E98" s="29"/>
      <c r="F98" s="29" t="s">
        <v>23</v>
      </c>
      <c r="G98" s="27">
        <f>+G72</f>
        <v>1</v>
      </c>
      <c r="H98" s="44"/>
      <c r="I98" s="18">
        <f>+G98*D98</f>
        <v>0</v>
      </c>
      <c r="J98" s="29"/>
      <c r="K98" s="29"/>
    </row>
    <row r="99" spans="1:11">
      <c r="A99" s="145"/>
      <c r="B99" s="31"/>
      <c r="C99" s="29"/>
      <c r="D99" s="18"/>
      <c r="E99" s="29"/>
      <c r="F99" s="29"/>
      <c r="G99" s="27"/>
      <c r="H99" s="44"/>
      <c r="I99" s="18"/>
      <c r="J99" s="29"/>
      <c r="K99" s="29"/>
    </row>
    <row r="100" spans="1:11">
      <c r="A100" s="145">
        <f>+A98+1</f>
        <v>32</v>
      </c>
      <c r="B100" s="31" t="s">
        <v>342</v>
      </c>
      <c r="C100" s="29" t="s">
        <v>180</v>
      </c>
      <c r="D100" s="18"/>
      <c r="E100" s="29"/>
      <c r="F100" s="29"/>
      <c r="G100" s="27"/>
      <c r="H100" s="44"/>
      <c r="I100" s="18"/>
      <c r="J100" s="29"/>
      <c r="K100" s="29"/>
    </row>
    <row r="101" spans="1:11">
      <c r="A101" s="145">
        <f t="shared" si="0"/>
        <v>33</v>
      </c>
      <c r="B101" s="31" t="s">
        <v>185</v>
      </c>
      <c r="C101" s="36" t="s">
        <v>976</v>
      </c>
      <c r="D101" s="214">
        <f>(D134-D131)/8</f>
        <v>1010948.0584498756</v>
      </c>
      <c r="E101" s="37"/>
      <c r="F101" s="37"/>
      <c r="G101" s="161"/>
      <c r="H101" s="215"/>
      <c r="I101" s="214">
        <f>(I134-I131)/8</f>
        <v>1010948.0584498756</v>
      </c>
      <c r="J101" s="151"/>
      <c r="K101" s="203"/>
    </row>
    <row r="102" spans="1:11">
      <c r="A102" s="145">
        <f t="shared" si="0"/>
        <v>34</v>
      </c>
      <c r="B102" s="31" t="s">
        <v>254</v>
      </c>
      <c r="C102" s="213" t="s">
        <v>470</v>
      </c>
      <c r="D102" s="214">
        <f>+'4- Rate Base'!G24</f>
        <v>355263.88186340401</v>
      </c>
      <c r="E102" s="29"/>
      <c r="F102" s="29" t="s">
        <v>23</v>
      </c>
      <c r="G102" s="27">
        <f>+G119</f>
        <v>1</v>
      </c>
      <c r="H102" s="44"/>
      <c r="I102" s="18">
        <f>+G102*D102</f>
        <v>355263.88186340401</v>
      </c>
      <c r="J102" s="29" t="s">
        <v>10</v>
      </c>
      <c r="K102" s="203"/>
    </row>
    <row r="103" spans="1:11" ht="13.8" thickBot="1">
      <c r="A103" s="145">
        <f t="shared" si="0"/>
        <v>35</v>
      </c>
      <c r="B103" s="31" t="s">
        <v>130</v>
      </c>
      <c r="C103" s="44" t="s">
        <v>434</v>
      </c>
      <c r="D103" s="226">
        <f>+'4- Rate Base'!H24</f>
        <v>200669.34910649346</v>
      </c>
      <c r="E103" s="29"/>
      <c r="F103" s="29" t="s">
        <v>37</v>
      </c>
      <c r="G103" s="27">
        <f>+G68</f>
        <v>1</v>
      </c>
      <c r="H103" s="44"/>
      <c r="I103" s="201">
        <f>+G103*D103</f>
        <v>200669.34910649346</v>
      </c>
      <c r="J103" s="29"/>
      <c r="K103" s="203"/>
    </row>
    <row r="104" spans="1:11">
      <c r="A104" s="145">
        <f t="shared" si="0"/>
        <v>36</v>
      </c>
      <c r="B104" s="31" t="s">
        <v>341</v>
      </c>
      <c r="C104" s="151" t="s">
        <v>679</v>
      </c>
      <c r="D104" s="18">
        <f>SUM(D101:D103)</f>
        <v>1566881.289419773</v>
      </c>
      <c r="E104" s="151"/>
      <c r="F104" s="151"/>
      <c r="G104" s="216"/>
      <c r="H104" s="216"/>
      <c r="I104" s="18">
        <f>I101+I102+I103</f>
        <v>1566881.289419773</v>
      </c>
      <c r="J104" s="151"/>
      <c r="K104" s="151"/>
    </row>
    <row r="105" spans="1:11" ht="13.8" thickBot="1">
      <c r="A105" s="145"/>
      <c r="B105" s="36"/>
      <c r="C105" s="29"/>
      <c r="D105" s="201"/>
      <c r="E105" s="29"/>
      <c r="F105" s="29"/>
      <c r="G105" s="29"/>
      <c r="H105" s="29"/>
      <c r="I105" s="201"/>
      <c r="J105" s="29"/>
      <c r="K105" s="29"/>
    </row>
    <row r="106" spans="1:11" ht="13.8" thickBot="1">
      <c r="A106" s="145">
        <f>+A104+1</f>
        <v>37</v>
      </c>
      <c r="B106" s="31" t="s">
        <v>344</v>
      </c>
      <c r="C106" s="29" t="s">
        <v>343</v>
      </c>
      <c r="D106" s="217">
        <f>+D104+D98+D96+D84</f>
        <v>83315043.533680961</v>
      </c>
      <c r="E106" s="44"/>
      <c r="F106" s="44"/>
      <c r="G106" s="218"/>
      <c r="H106" s="44"/>
      <c r="I106" s="217">
        <f>+I104+I98+I96+I84</f>
        <v>83315043.533680961</v>
      </c>
      <c r="J106" s="29"/>
      <c r="K106" s="203"/>
    </row>
    <row r="107" spans="1:11" ht="13.8" thickTop="1">
      <c r="A107" s="145"/>
      <c r="B107" s="31"/>
      <c r="C107" s="29"/>
      <c r="D107" s="219"/>
      <c r="E107" s="44"/>
      <c r="F107" s="44"/>
      <c r="G107" s="218"/>
      <c r="H107" s="44"/>
      <c r="I107" s="219"/>
      <c r="J107" s="29"/>
      <c r="K107" s="203"/>
    </row>
    <row r="108" spans="1:11">
      <c r="A108" s="145"/>
      <c r="B108" s="31"/>
      <c r="C108" s="29"/>
      <c r="D108" s="219"/>
      <c r="E108" s="44"/>
      <c r="F108" s="44"/>
      <c r="G108" s="218"/>
      <c r="H108" s="44"/>
      <c r="I108" s="219"/>
      <c r="J108" s="29"/>
      <c r="K108" s="203"/>
    </row>
    <row r="109" spans="1:11">
      <c r="A109" s="145"/>
      <c r="B109" s="31"/>
      <c r="C109" s="29"/>
      <c r="D109" s="29"/>
      <c r="E109" s="29"/>
      <c r="F109" s="29"/>
      <c r="G109" s="29"/>
      <c r="H109" s="29"/>
      <c r="I109" s="29"/>
      <c r="J109" s="29"/>
      <c r="K109" s="220" t="s">
        <v>186</v>
      </c>
    </row>
    <row r="110" spans="1:11">
      <c r="A110" s="145"/>
      <c r="B110" s="31"/>
      <c r="C110" s="29"/>
      <c r="D110" s="29"/>
      <c r="E110" s="29"/>
      <c r="F110" s="29"/>
      <c r="G110" s="29"/>
      <c r="H110" s="29"/>
      <c r="I110" s="29"/>
      <c r="J110" s="29"/>
      <c r="K110" s="220"/>
    </row>
    <row r="111" spans="1:11">
      <c r="A111" s="145"/>
      <c r="B111" s="31" t="s">
        <v>9</v>
      </c>
      <c r="C111" s="29"/>
      <c r="D111" s="32" t="s">
        <v>91</v>
      </c>
      <c r="E111" s="29"/>
      <c r="F111" s="29"/>
      <c r="G111" s="29"/>
      <c r="H111" s="29"/>
      <c r="I111" s="143"/>
      <c r="J111" s="29"/>
      <c r="K111" s="220" t="str">
        <f>K3</f>
        <v>For  the 12 months ended 12/31/2022</v>
      </c>
    </row>
    <row r="112" spans="1:11">
      <c r="A112" s="145"/>
      <c r="B112" s="31"/>
      <c r="C112" s="29"/>
      <c r="D112" s="32" t="s">
        <v>160</v>
      </c>
      <c r="E112" s="29"/>
      <c r="F112" s="29"/>
      <c r="G112" s="29"/>
      <c r="H112" s="29"/>
      <c r="I112" s="29"/>
      <c r="J112" s="29"/>
      <c r="K112" s="29"/>
    </row>
    <row r="113" spans="1:11">
      <c r="A113" s="145"/>
      <c r="B113" s="36"/>
      <c r="C113" s="29"/>
      <c r="D113" s="32" t="str">
        <f>+D56</f>
        <v>Gridliance High Plains LLC</v>
      </c>
      <c r="E113" s="29"/>
      <c r="F113" s="29"/>
      <c r="G113" s="29"/>
      <c r="H113" s="29"/>
      <c r="I113" s="29"/>
      <c r="J113" s="29"/>
      <c r="K113" s="29"/>
    </row>
    <row r="114" spans="1:11">
      <c r="A114" s="1112"/>
      <c r="B114" s="1112"/>
      <c r="C114" s="1112"/>
      <c r="D114" s="1112"/>
      <c r="E114" s="1112"/>
      <c r="F114" s="1112"/>
      <c r="G114" s="1112"/>
      <c r="H114" s="1112"/>
      <c r="I114" s="1112"/>
      <c r="J114" s="1112"/>
      <c r="K114" s="1112"/>
    </row>
    <row r="115" spans="1:11">
      <c r="A115" s="145"/>
      <c r="B115" s="155" t="s">
        <v>11</v>
      </c>
      <c r="C115" s="155" t="s">
        <v>12</v>
      </c>
      <c r="D115" s="155" t="s">
        <v>13</v>
      </c>
      <c r="E115" s="29" t="s">
        <v>10</v>
      </c>
      <c r="F115" s="29"/>
      <c r="G115" s="154" t="s">
        <v>14</v>
      </c>
      <c r="H115" s="29"/>
      <c r="I115" s="154" t="s">
        <v>15</v>
      </c>
      <c r="J115" s="29"/>
      <c r="K115" s="29"/>
    </row>
    <row r="116" spans="1:11">
      <c r="A116" s="145" t="s">
        <v>16</v>
      </c>
      <c r="B116" s="31"/>
      <c r="C116" s="194"/>
      <c r="D116" s="29"/>
      <c r="E116" s="29"/>
      <c r="F116" s="29"/>
      <c r="G116" s="145"/>
      <c r="H116" s="29"/>
      <c r="I116" s="195" t="s">
        <v>25</v>
      </c>
      <c r="J116" s="29"/>
      <c r="K116" s="195"/>
    </row>
    <row r="117" spans="1:11" ht="13.8" thickBot="1">
      <c r="A117" s="33" t="s">
        <v>18</v>
      </c>
      <c r="B117" s="31"/>
      <c r="C117" s="196" t="s">
        <v>301</v>
      </c>
      <c r="D117" s="195" t="s">
        <v>27</v>
      </c>
      <c r="E117" s="197"/>
      <c r="F117" s="195" t="s">
        <v>28</v>
      </c>
      <c r="G117" s="36"/>
      <c r="H117" s="197"/>
      <c r="I117" s="145" t="s">
        <v>29</v>
      </c>
      <c r="J117" s="29"/>
      <c r="K117" s="195"/>
    </row>
    <row r="118" spans="1:11">
      <c r="A118" s="145"/>
      <c r="B118" s="31" t="s">
        <v>7</v>
      </c>
      <c r="C118" s="29"/>
      <c r="D118" s="29"/>
      <c r="E118" s="29"/>
      <c r="F118" s="29"/>
      <c r="G118" s="29"/>
      <c r="H118" s="29"/>
      <c r="I118" s="29"/>
      <c r="J118" s="29"/>
      <c r="K118" s="29"/>
    </row>
    <row r="119" spans="1:11">
      <c r="A119" s="145">
        <v>1</v>
      </c>
      <c r="B119" s="31" t="s">
        <v>38</v>
      </c>
      <c r="C119" s="29" t="s">
        <v>437</v>
      </c>
      <c r="D119" s="214">
        <f>'5-P3 Support'!C24</f>
        <v>3071067.6933672684</v>
      </c>
      <c r="E119" s="29"/>
      <c r="F119" s="29" t="s">
        <v>23</v>
      </c>
      <c r="G119" s="27">
        <f>+I191</f>
        <v>1</v>
      </c>
      <c r="H119" s="44"/>
      <c r="I119" s="18">
        <f t="shared" ref="I119:I129" si="1">+G119*D119</f>
        <v>3071067.6933672684</v>
      </c>
      <c r="J119" s="151"/>
      <c r="K119" s="29"/>
    </row>
    <row r="120" spans="1:11">
      <c r="A120" s="168">
        <f>+A119+1</f>
        <v>2</v>
      </c>
      <c r="B120" s="221" t="s">
        <v>156</v>
      </c>
      <c r="C120" s="29" t="s">
        <v>438</v>
      </c>
      <c r="D120" s="214">
        <f>'5-P3 Support'!D24</f>
        <v>0</v>
      </c>
      <c r="E120" s="211"/>
      <c r="F120" s="211" t="str">
        <f>+F119</f>
        <v>TP</v>
      </c>
      <c r="G120" s="161">
        <f>+G119</f>
        <v>1</v>
      </c>
      <c r="H120" s="211"/>
      <c r="I120" s="214">
        <f>+G120*D120</f>
        <v>0</v>
      </c>
      <c r="K120" s="29"/>
    </row>
    <row r="121" spans="1:11">
      <c r="A121" s="168">
        <f t="shared" ref="A121:A167" si="2">+A120+1</f>
        <v>3</v>
      </c>
      <c r="B121" s="40" t="s">
        <v>39</v>
      </c>
      <c r="C121" s="29" t="s">
        <v>439</v>
      </c>
      <c r="D121" s="214">
        <f>'5-P3 Support'!E24</f>
        <v>0</v>
      </c>
      <c r="E121" s="29"/>
      <c r="F121" s="29" t="str">
        <f>+F120</f>
        <v>TP</v>
      </c>
      <c r="G121" s="27">
        <f>+G120</f>
        <v>1</v>
      </c>
      <c r="H121" s="44"/>
      <c r="I121" s="18">
        <f t="shared" si="1"/>
        <v>0</v>
      </c>
      <c r="J121" s="151"/>
      <c r="K121" s="29"/>
    </row>
    <row r="122" spans="1:11">
      <c r="A122" s="168">
        <f t="shared" si="2"/>
        <v>4</v>
      </c>
      <c r="B122" s="31" t="s">
        <v>40</v>
      </c>
      <c r="C122" s="29" t="s">
        <v>440</v>
      </c>
      <c r="D122" s="214">
        <f>'5-P3 Support'!F24</f>
        <v>5016516.7742317365</v>
      </c>
      <c r="E122" s="29"/>
      <c r="F122" s="29" t="s">
        <v>32</v>
      </c>
      <c r="G122" s="27">
        <f>+G74</f>
        <v>1</v>
      </c>
      <c r="H122" s="44"/>
      <c r="I122" s="18">
        <f t="shared" si="1"/>
        <v>5016516.7742317365</v>
      </c>
      <c r="J122" s="29"/>
      <c r="K122" s="29" t="s">
        <v>10</v>
      </c>
    </row>
    <row r="123" spans="1:11">
      <c r="A123" s="168">
        <f t="shared" si="2"/>
        <v>5</v>
      </c>
      <c r="B123" s="31" t="s">
        <v>187</v>
      </c>
      <c r="C123" s="29" t="s">
        <v>398</v>
      </c>
      <c r="D123" s="214">
        <f>'5-P3 Support'!G24</f>
        <v>0</v>
      </c>
      <c r="E123" s="29"/>
      <c r="F123" s="29" t="s">
        <v>32</v>
      </c>
      <c r="G123" s="27">
        <f>+G122</f>
        <v>1</v>
      </c>
      <c r="H123" s="44"/>
      <c r="I123" s="18">
        <f t="shared" si="1"/>
        <v>0</v>
      </c>
      <c r="J123" s="29"/>
      <c r="K123" s="29"/>
    </row>
    <row r="124" spans="1:11">
      <c r="A124" s="168">
        <f t="shared" si="2"/>
        <v>6</v>
      </c>
      <c r="B124" s="40" t="s">
        <v>323</v>
      </c>
      <c r="C124" s="37" t="s">
        <v>435</v>
      </c>
      <c r="D124" s="214">
        <f>'5-P3 Support'!H24</f>
        <v>0</v>
      </c>
      <c r="E124" s="29"/>
      <c r="F124" s="29" t="s">
        <v>32</v>
      </c>
      <c r="G124" s="27">
        <f>+G123</f>
        <v>1</v>
      </c>
      <c r="H124" s="44"/>
      <c r="I124" s="18">
        <f t="shared" si="1"/>
        <v>0</v>
      </c>
      <c r="J124" s="29"/>
      <c r="K124" s="29"/>
    </row>
    <row r="125" spans="1:11" s="14" customFormat="1">
      <c r="A125" s="168" t="s">
        <v>309</v>
      </c>
      <c r="B125" s="40" t="s">
        <v>310</v>
      </c>
      <c r="C125" s="37" t="s">
        <v>590</v>
      </c>
      <c r="D125" s="229">
        <f>+'7 - PBOP'!I16</f>
        <v>0</v>
      </c>
      <c r="E125" s="126"/>
      <c r="F125" s="29" t="s">
        <v>32</v>
      </c>
      <c r="G125" s="27">
        <f>+G124</f>
        <v>1</v>
      </c>
      <c r="H125" s="44"/>
      <c r="I125" s="18">
        <f>+G125*D125</f>
        <v>0</v>
      </c>
      <c r="J125" s="126"/>
      <c r="K125" s="126"/>
    </row>
    <row r="126" spans="1:11">
      <c r="A126" s="168">
        <f>+A124+1</f>
        <v>7</v>
      </c>
      <c r="B126" s="40" t="s">
        <v>322</v>
      </c>
      <c r="C126" s="37" t="s">
        <v>567</v>
      </c>
      <c r="D126" s="214">
        <f>'5-P3 Support'!I24</f>
        <v>0</v>
      </c>
      <c r="E126" s="29"/>
      <c r="F126" s="222" t="s">
        <v>23</v>
      </c>
      <c r="G126" s="161">
        <f>+G119</f>
        <v>1</v>
      </c>
      <c r="H126" s="44"/>
      <c r="I126" s="18">
        <f t="shared" si="1"/>
        <v>0</v>
      </c>
      <c r="J126" s="29"/>
      <c r="K126" s="29"/>
    </row>
    <row r="127" spans="1:11" s="14" customFormat="1">
      <c r="A127" s="168" t="s">
        <v>311</v>
      </c>
      <c r="B127" s="40" t="s">
        <v>312</v>
      </c>
      <c r="C127" s="37" t="s">
        <v>591</v>
      </c>
      <c r="D127" s="229">
        <f>+'7 - PBOP'!I13</f>
        <v>0</v>
      </c>
      <c r="E127" s="126"/>
      <c r="F127" s="29" t="s">
        <v>32</v>
      </c>
      <c r="G127" s="27">
        <f>+G125</f>
        <v>1</v>
      </c>
      <c r="H127" s="44"/>
      <c r="I127" s="18">
        <f>+G127*D127</f>
        <v>0</v>
      </c>
      <c r="J127" s="126"/>
      <c r="K127" s="126"/>
    </row>
    <row r="128" spans="1:11">
      <c r="A128" s="168">
        <f>+A126+1</f>
        <v>8</v>
      </c>
      <c r="B128" s="31" t="s">
        <v>422</v>
      </c>
      <c r="C128" s="29" t="s">
        <v>182</v>
      </c>
      <c r="D128" s="805">
        <v>0</v>
      </c>
      <c r="E128" s="29"/>
      <c r="F128" s="29" t="s">
        <v>183</v>
      </c>
      <c r="G128" s="27">
        <f>+G75</f>
        <v>1</v>
      </c>
      <c r="H128" s="44"/>
      <c r="I128" s="18">
        <f t="shared" si="1"/>
        <v>0</v>
      </c>
      <c r="J128" s="29"/>
      <c r="K128" s="29"/>
    </row>
    <row r="129" spans="1:11">
      <c r="A129" s="168">
        <f t="shared" si="2"/>
        <v>9</v>
      </c>
      <c r="B129" s="31" t="s">
        <v>41</v>
      </c>
      <c r="C129" s="29" t="s">
        <v>568</v>
      </c>
      <c r="D129" s="759">
        <f>'5-P3 Support'!J24</f>
        <v>0</v>
      </c>
      <c r="E129" s="29"/>
      <c r="F129" s="29" t="str">
        <f>+F131</f>
        <v>DA</v>
      </c>
      <c r="G129" s="223">
        <v>1</v>
      </c>
      <c r="H129" s="44"/>
      <c r="I129" s="42">
        <f t="shared" si="1"/>
        <v>0</v>
      </c>
      <c r="J129" s="29"/>
      <c r="K129" s="29"/>
    </row>
    <row r="130" spans="1:11">
      <c r="A130" s="168">
        <f t="shared" si="2"/>
        <v>10</v>
      </c>
      <c r="B130" s="221" t="s">
        <v>157</v>
      </c>
      <c r="C130" s="211"/>
      <c r="D130" s="53"/>
      <c r="E130" s="211"/>
      <c r="F130" s="211"/>
      <c r="G130" s="224"/>
      <c r="H130" s="211"/>
      <c r="I130" s="53"/>
      <c r="K130" s="29"/>
    </row>
    <row r="131" spans="1:11">
      <c r="A131" s="168">
        <f t="shared" si="2"/>
        <v>11</v>
      </c>
      <c r="B131" s="221" t="s">
        <v>159</v>
      </c>
      <c r="C131" s="211" t="s">
        <v>569</v>
      </c>
      <c r="D131" s="759">
        <f>'5-P3 Support'!K24</f>
        <v>0</v>
      </c>
      <c r="E131" s="208"/>
      <c r="F131" s="208" t="s">
        <v>97</v>
      </c>
      <c r="G131" s="225">
        <v>1</v>
      </c>
      <c r="H131" s="208"/>
      <c r="I131" s="53">
        <f>+G131*D131</f>
        <v>0</v>
      </c>
      <c r="K131" s="29"/>
    </row>
    <row r="132" spans="1:11">
      <c r="A132" s="168">
        <f t="shared" si="2"/>
        <v>12</v>
      </c>
      <c r="B132" s="221" t="s">
        <v>592</v>
      </c>
      <c r="C132" s="29" t="s">
        <v>570</v>
      </c>
      <c r="D132" s="759">
        <f>'5-P3 Support'!L24</f>
        <v>0</v>
      </c>
      <c r="E132" s="208"/>
      <c r="F132" s="208" t="s">
        <v>23</v>
      </c>
      <c r="G132" s="225">
        <f>+G119</f>
        <v>1</v>
      </c>
      <c r="H132" s="208"/>
      <c r="I132" s="53">
        <f>+G132*D132</f>
        <v>0</v>
      </c>
      <c r="K132" s="29"/>
    </row>
    <row r="133" spans="1:11" ht="13.8" thickBot="1">
      <c r="A133" s="168">
        <f t="shared" si="2"/>
        <v>13</v>
      </c>
      <c r="B133" s="221" t="s">
        <v>158</v>
      </c>
      <c r="C133" s="211" t="s">
        <v>709</v>
      </c>
      <c r="D133" s="226">
        <f>SUM(D131:D132)</f>
        <v>0</v>
      </c>
      <c r="E133" s="208"/>
      <c r="F133" s="208"/>
      <c r="G133" s="225"/>
      <c r="H133" s="208"/>
      <c r="I133" s="226">
        <f>SUM(I131:I132)</f>
        <v>0</v>
      </c>
      <c r="K133" s="29"/>
    </row>
    <row r="134" spans="1:11">
      <c r="A134" s="168">
        <f t="shared" si="2"/>
        <v>14</v>
      </c>
      <c r="B134" s="227" t="s">
        <v>345</v>
      </c>
      <c r="C134" s="127" t="s">
        <v>436</v>
      </c>
      <c r="D134" s="18">
        <f>+D119-D121-D120+D122-D123-D124-D125+D126+D127+D128+D129+D133</f>
        <v>8087584.4675990045</v>
      </c>
      <c r="E134" s="18"/>
      <c r="F134" s="18"/>
      <c r="G134" s="18"/>
      <c r="H134" s="18"/>
      <c r="I134" s="18">
        <f>+I119-I121-I120+I122-I123-I124-I125+I126+I127+I128+I129+I133</f>
        <v>8087584.4675990045</v>
      </c>
      <c r="J134" s="29"/>
      <c r="K134" s="29"/>
    </row>
    <row r="135" spans="1:11">
      <c r="A135" s="168"/>
      <c r="B135" s="36"/>
      <c r="C135" s="29"/>
      <c r="D135" s="18"/>
      <c r="E135" s="18"/>
      <c r="F135" s="18"/>
      <c r="G135" s="18"/>
      <c r="H135" s="18"/>
      <c r="I135" s="18"/>
      <c r="J135" s="29"/>
      <c r="K135" s="29"/>
    </row>
    <row r="136" spans="1:11">
      <c r="A136" s="168">
        <f>+A134+1</f>
        <v>15</v>
      </c>
      <c r="B136" s="31" t="s">
        <v>572</v>
      </c>
      <c r="C136" s="29"/>
      <c r="D136" s="18"/>
      <c r="E136" s="18"/>
      <c r="F136" s="18"/>
      <c r="G136" s="18"/>
      <c r="H136" s="18"/>
      <c r="I136" s="18"/>
      <c r="J136" s="29"/>
      <c r="K136" s="29"/>
    </row>
    <row r="137" spans="1:11">
      <c r="A137" s="168">
        <f t="shared" si="2"/>
        <v>16</v>
      </c>
      <c r="B137" s="31" t="s">
        <v>38</v>
      </c>
      <c r="C137" s="213" t="s">
        <v>710</v>
      </c>
      <c r="D137" s="214">
        <f>'5-P3 Support'!M24</f>
        <v>2208300.0448232931</v>
      </c>
      <c r="E137" s="18"/>
      <c r="F137" s="18" t="s">
        <v>23</v>
      </c>
      <c r="G137" s="18">
        <f>+G98</f>
        <v>1</v>
      </c>
      <c r="H137" s="18"/>
      <c r="I137" s="18">
        <f>+G137*D137</f>
        <v>2208300.0448232931</v>
      </c>
      <c r="J137" s="29"/>
      <c r="K137" s="203"/>
    </row>
    <row r="138" spans="1:11">
      <c r="A138" s="168">
        <f t="shared" si="2"/>
        <v>17</v>
      </c>
      <c r="B138" s="228" t="s">
        <v>125</v>
      </c>
      <c r="C138" s="213" t="s">
        <v>712</v>
      </c>
      <c r="D138" s="214">
        <f>'5-P3 Support'!C45</f>
        <v>0</v>
      </c>
      <c r="E138" s="18"/>
      <c r="F138" s="18" t="s">
        <v>32</v>
      </c>
      <c r="G138" s="18">
        <f>+G122</f>
        <v>1</v>
      </c>
      <c r="H138" s="18"/>
      <c r="I138" s="18">
        <f>+G138*D138</f>
        <v>0</v>
      </c>
      <c r="J138" s="29"/>
      <c r="K138" s="203"/>
    </row>
    <row r="139" spans="1:11">
      <c r="A139" s="168">
        <f t="shared" si="2"/>
        <v>18</v>
      </c>
      <c r="B139" s="31" t="s">
        <v>422</v>
      </c>
      <c r="C139" s="213" t="s">
        <v>711</v>
      </c>
      <c r="D139" s="205">
        <v>0</v>
      </c>
      <c r="E139" s="42"/>
      <c r="F139" s="42" t="s">
        <v>183</v>
      </c>
      <c r="G139" s="42">
        <f>+G128</f>
        <v>1</v>
      </c>
      <c r="H139" s="42"/>
      <c r="I139" s="42">
        <f>+G139*D139</f>
        <v>0</v>
      </c>
      <c r="J139" s="29"/>
      <c r="K139" s="203"/>
    </row>
    <row r="140" spans="1:11" ht="13.8" thickBot="1">
      <c r="A140" s="168">
        <f t="shared" si="2"/>
        <v>19</v>
      </c>
      <c r="B140" s="221" t="s">
        <v>131</v>
      </c>
      <c r="C140" s="37" t="s">
        <v>441</v>
      </c>
      <c r="D140" s="226">
        <f>'5-P3 Support'!D45</f>
        <v>0</v>
      </c>
      <c r="E140" s="18"/>
      <c r="F140" s="18" t="s">
        <v>97</v>
      </c>
      <c r="G140" s="223">
        <v>1</v>
      </c>
      <c r="H140" s="18"/>
      <c r="I140" s="201">
        <f>+G140*D140</f>
        <v>0</v>
      </c>
      <c r="J140" s="29"/>
      <c r="K140" s="203"/>
    </row>
    <row r="141" spans="1:11">
      <c r="A141" s="168">
        <f t="shared" si="2"/>
        <v>20</v>
      </c>
      <c r="B141" s="31" t="s">
        <v>325</v>
      </c>
      <c r="C141" s="29" t="s">
        <v>324</v>
      </c>
      <c r="D141" s="18">
        <f>SUM(D137:D140)</f>
        <v>2208300.0448232931</v>
      </c>
      <c r="E141" s="18"/>
      <c r="F141" s="18"/>
      <c r="G141" s="18"/>
      <c r="H141" s="18"/>
      <c r="I141" s="18">
        <f>SUM(I137:I140)</f>
        <v>2208300.0448232931</v>
      </c>
      <c r="J141" s="29"/>
      <c r="K141" s="29"/>
    </row>
    <row r="142" spans="1:11">
      <c r="A142" s="168"/>
      <c r="B142" s="31"/>
      <c r="C142" s="29"/>
      <c r="D142" s="18"/>
      <c r="E142" s="18"/>
      <c r="F142" s="18"/>
      <c r="G142" s="18"/>
      <c r="H142" s="18"/>
      <c r="I142" s="18"/>
      <c r="J142" s="29"/>
      <c r="K142" s="29"/>
    </row>
    <row r="143" spans="1:11">
      <c r="A143" s="168">
        <f>+A141+1</f>
        <v>21</v>
      </c>
      <c r="B143" s="31" t="s">
        <v>326</v>
      </c>
      <c r="C143" s="34" t="s">
        <v>249</v>
      </c>
      <c r="D143" s="18"/>
      <c r="E143" s="18"/>
      <c r="F143" s="18"/>
      <c r="G143" s="18"/>
      <c r="H143" s="18"/>
      <c r="I143" s="18"/>
      <c r="J143" s="29"/>
      <c r="K143" s="29"/>
    </row>
    <row r="144" spans="1:11">
      <c r="A144" s="168">
        <f t="shared" si="2"/>
        <v>22</v>
      </c>
      <c r="B144" s="31" t="s">
        <v>42</v>
      </c>
      <c r="C144" s="36"/>
      <c r="D144" s="18"/>
      <c r="E144" s="18"/>
      <c r="F144" s="18"/>
      <c r="G144" s="18"/>
      <c r="H144" s="18"/>
      <c r="I144" s="18"/>
      <c r="J144" s="29"/>
      <c r="K144" s="203"/>
    </row>
    <row r="145" spans="1:11">
      <c r="A145" s="168">
        <f t="shared" si="2"/>
        <v>23</v>
      </c>
      <c r="B145" s="31" t="s">
        <v>43</v>
      </c>
      <c r="C145" s="29" t="s">
        <v>442</v>
      </c>
      <c r="D145" s="214">
        <f>'5-P3 Support'!E45</f>
        <v>0</v>
      </c>
      <c r="E145" s="18"/>
      <c r="F145" s="18" t="s">
        <v>32</v>
      </c>
      <c r="G145" s="18">
        <f>+G138</f>
        <v>1</v>
      </c>
      <c r="H145" s="18"/>
      <c r="I145" s="18">
        <f>+G145*D145</f>
        <v>0</v>
      </c>
      <c r="J145" s="29"/>
      <c r="K145" s="203"/>
    </row>
    <row r="146" spans="1:11">
      <c r="A146" s="168">
        <f t="shared" si="2"/>
        <v>24</v>
      </c>
      <c r="B146" s="31" t="s">
        <v>44</v>
      </c>
      <c r="C146" s="29" t="s">
        <v>443</v>
      </c>
      <c r="D146" s="214">
        <f>'5-P3 Support'!F45</f>
        <v>0</v>
      </c>
      <c r="E146" s="18"/>
      <c r="F146" s="18" t="s">
        <v>32</v>
      </c>
      <c r="G146" s="18">
        <f>+G145</f>
        <v>1</v>
      </c>
      <c r="H146" s="18"/>
      <c r="I146" s="18">
        <f>+G146*D146</f>
        <v>0</v>
      </c>
      <c r="J146" s="29"/>
      <c r="K146" s="203"/>
    </row>
    <row r="147" spans="1:11">
      <c r="A147" s="168">
        <f t="shared" si="2"/>
        <v>25</v>
      </c>
      <c r="B147" s="31" t="s">
        <v>45</v>
      </c>
      <c r="C147" s="29" t="s">
        <v>10</v>
      </c>
      <c r="D147" s="18"/>
      <c r="E147" s="18"/>
      <c r="F147" s="18"/>
      <c r="G147" s="18"/>
      <c r="H147" s="18"/>
      <c r="I147" s="18"/>
      <c r="J147" s="29"/>
      <c r="K147" s="203"/>
    </row>
    <row r="148" spans="1:11">
      <c r="A148" s="168">
        <f t="shared" si="2"/>
        <v>26</v>
      </c>
      <c r="B148" s="31" t="s">
        <v>46</v>
      </c>
      <c r="C148" s="29" t="s">
        <v>444</v>
      </c>
      <c r="D148" s="214">
        <f>'5-P3 Support'!G45</f>
        <v>1064154.001370634</v>
      </c>
      <c r="E148" s="18"/>
      <c r="F148" s="18" t="s">
        <v>37</v>
      </c>
      <c r="G148" s="18">
        <f>+G68</f>
        <v>1</v>
      </c>
      <c r="H148" s="18"/>
      <c r="I148" s="18">
        <f>+G148*D148</f>
        <v>1064154.001370634</v>
      </c>
      <c r="J148" s="29"/>
      <c r="K148" s="203"/>
    </row>
    <row r="149" spans="1:11">
      <c r="A149" s="168">
        <f t="shared" si="2"/>
        <v>27</v>
      </c>
      <c r="B149" s="31" t="s">
        <v>47</v>
      </c>
      <c r="C149" s="29" t="s">
        <v>445</v>
      </c>
      <c r="D149" s="214">
        <f>'5-P3 Support'!H45</f>
        <v>0</v>
      </c>
      <c r="E149" s="18"/>
      <c r="F149" s="214" t="s">
        <v>30</v>
      </c>
      <c r="G149" s="229">
        <v>0</v>
      </c>
      <c r="H149" s="214"/>
      <c r="I149" s="214">
        <f>+G149*D149</f>
        <v>0</v>
      </c>
      <c r="J149" s="29"/>
      <c r="K149" s="203"/>
    </row>
    <row r="150" spans="1:11">
      <c r="A150" s="168">
        <f t="shared" si="2"/>
        <v>28</v>
      </c>
      <c r="B150" s="31" t="s">
        <v>48</v>
      </c>
      <c r="C150" s="29" t="s">
        <v>446</v>
      </c>
      <c r="D150" s="214">
        <f>'5-P3 Support'!I45</f>
        <v>0</v>
      </c>
      <c r="E150" s="18"/>
      <c r="F150" s="18" t="s">
        <v>37</v>
      </c>
      <c r="G150" s="18">
        <f>+G148</f>
        <v>1</v>
      </c>
      <c r="H150" s="18"/>
      <c r="I150" s="18">
        <f>+G150*D150</f>
        <v>0</v>
      </c>
      <c r="J150" s="29"/>
      <c r="K150" s="203"/>
    </row>
    <row r="151" spans="1:11" ht="13.8" thickBot="1">
      <c r="A151" s="168">
        <f t="shared" si="2"/>
        <v>29</v>
      </c>
      <c r="B151" s="31" t="s">
        <v>49</v>
      </c>
      <c r="C151" s="29" t="s">
        <v>871</v>
      </c>
      <c r="D151" s="226">
        <f>'5-P3 Support'!J45</f>
        <v>0</v>
      </c>
      <c r="E151" s="18"/>
      <c r="F151" s="18" t="s">
        <v>37</v>
      </c>
      <c r="G151" s="18">
        <f>+G148</f>
        <v>1</v>
      </c>
      <c r="H151" s="18"/>
      <c r="I151" s="201">
        <f>+G151*D151</f>
        <v>0</v>
      </c>
      <c r="J151" s="29"/>
      <c r="K151" s="203"/>
    </row>
    <row r="152" spans="1:11">
      <c r="A152" s="168">
        <f t="shared" si="2"/>
        <v>30</v>
      </c>
      <c r="B152" s="31" t="s">
        <v>328</v>
      </c>
      <c r="C152" s="29" t="s">
        <v>327</v>
      </c>
      <c r="D152" s="18">
        <f>SUM(D145:D151)</f>
        <v>1064154.001370634</v>
      </c>
      <c r="E152" s="18"/>
      <c r="F152" s="18"/>
      <c r="G152" s="18"/>
      <c r="H152" s="18"/>
      <c r="I152" s="18">
        <f>SUM(I145:I151)</f>
        <v>1064154.001370634</v>
      </c>
      <c r="J152" s="29"/>
      <c r="K152" s="29"/>
    </row>
    <row r="153" spans="1:11">
      <c r="A153" s="168"/>
      <c r="B153" s="31"/>
      <c r="C153" s="29"/>
      <c r="D153" s="29"/>
      <c r="E153" s="29"/>
      <c r="F153" s="29"/>
      <c r="G153" s="164"/>
      <c r="H153" s="29"/>
      <c r="I153" s="29"/>
      <c r="J153" s="29"/>
      <c r="K153" s="29"/>
    </row>
    <row r="154" spans="1:11">
      <c r="A154" s="168">
        <f>+A152+1</f>
        <v>31</v>
      </c>
      <c r="B154" s="31" t="s">
        <v>50</v>
      </c>
      <c r="C154" s="37" t="str">
        <f>"(Note "&amp;A$257&amp;")"</f>
        <v>(Note G)</v>
      </c>
      <c r="D154" s="29"/>
      <c r="E154" s="29"/>
      <c r="F154" s="36"/>
      <c r="G154" s="38"/>
      <c r="H154" s="29"/>
      <c r="I154" s="36"/>
      <c r="J154" s="29"/>
      <c r="K154" s="36"/>
    </row>
    <row r="155" spans="1:11">
      <c r="A155" s="168">
        <f t="shared" si="2"/>
        <v>32</v>
      </c>
      <c r="B155" s="39" t="s">
        <v>936</v>
      </c>
      <c r="C155" s="29" t="s">
        <v>1122</v>
      </c>
      <c r="D155" s="244">
        <f>IF(D258&gt;0,1-(((1-D259)*(1-D258))/(1-D259*D258*D260)),0)</f>
        <v>0.25543747864454802</v>
      </c>
      <c r="E155" s="29"/>
      <c r="F155" s="36"/>
      <c r="G155" s="38"/>
      <c r="H155" s="29"/>
      <c r="I155" s="36"/>
      <c r="J155" s="29"/>
      <c r="K155" s="36"/>
    </row>
    <row r="156" spans="1:11">
      <c r="A156" s="168">
        <f t="shared" si="2"/>
        <v>33</v>
      </c>
      <c r="B156" s="36" t="s">
        <v>51</v>
      </c>
      <c r="C156" s="29" t="s">
        <v>1123</v>
      </c>
      <c r="D156" s="244">
        <f>IF(I210&gt;0,(D155/(1-D155))*(1-I210/I213),0)</f>
        <v>0.29663005855211477</v>
      </c>
      <c r="E156" s="29"/>
      <c r="F156" s="36"/>
      <c r="G156" s="38"/>
      <c r="H156" s="29"/>
      <c r="I156" s="36"/>
      <c r="J156" s="29"/>
      <c r="K156" s="36"/>
    </row>
    <row r="157" spans="1:11">
      <c r="A157" s="168">
        <f t="shared" si="2"/>
        <v>34</v>
      </c>
      <c r="B157" s="40" t="s">
        <v>368</v>
      </c>
      <c r="C157" s="37" t="s">
        <v>369</v>
      </c>
      <c r="D157" s="29"/>
      <c r="E157" s="29"/>
      <c r="F157" s="36"/>
      <c r="G157" s="38"/>
      <c r="H157" s="29"/>
      <c r="I157" s="36"/>
      <c r="J157" s="29"/>
      <c r="K157" s="36"/>
    </row>
    <row r="158" spans="1:11">
      <c r="A158" s="168">
        <f t="shared" si="2"/>
        <v>35</v>
      </c>
      <c r="B158" s="40"/>
      <c r="D158" s="29"/>
      <c r="E158" s="29"/>
      <c r="F158" s="36"/>
      <c r="G158" s="38"/>
      <c r="H158" s="29"/>
      <c r="I158" s="36"/>
      <c r="J158" s="29"/>
      <c r="K158" s="36"/>
    </row>
    <row r="159" spans="1:11">
      <c r="A159" s="168">
        <f>+A158+1</f>
        <v>36</v>
      </c>
      <c r="B159" s="41" t="str">
        <f>"      1 / (1 - T)  =  (from line "&amp;A155&amp;")"</f>
        <v xml:space="preserve">      1 / (1 - T)  =  (from line 32)</v>
      </c>
      <c r="C159" s="37"/>
      <c r="D159" s="244">
        <f>IF(D155=0,0,1/(1-D155))</f>
        <v>1.3430705566263694</v>
      </c>
      <c r="E159" s="29"/>
      <c r="F159" s="36"/>
      <c r="G159" s="38"/>
      <c r="H159" s="29"/>
      <c r="I159" s="18"/>
      <c r="J159" s="29"/>
      <c r="K159" s="36"/>
    </row>
    <row r="160" spans="1:11">
      <c r="A160" s="168">
        <f t="shared" si="2"/>
        <v>37</v>
      </c>
      <c r="B160" s="40" t="s">
        <v>363</v>
      </c>
      <c r="C160" s="37" t="s">
        <v>447</v>
      </c>
      <c r="D160" s="214">
        <f>-'5-P3 Support'!K45</f>
        <v>0</v>
      </c>
      <c r="E160" s="29"/>
      <c r="F160" s="36"/>
      <c r="G160" s="38"/>
      <c r="H160" s="29"/>
      <c r="I160" s="18"/>
      <c r="J160" s="29"/>
      <c r="K160" s="36"/>
    </row>
    <row r="161" spans="1:11">
      <c r="A161" s="168">
        <f t="shared" si="2"/>
        <v>38</v>
      </c>
      <c r="B161" s="40" t="s">
        <v>984</v>
      </c>
      <c r="C161" s="37" t="s">
        <v>985</v>
      </c>
      <c r="D161" s="214">
        <f>-'5-P3 Support'!L45</f>
        <v>0</v>
      </c>
      <c r="E161" s="29"/>
      <c r="F161" s="36"/>
      <c r="G161" s="42"/>
      <c r="H161" s="29"/>
      <c r="I161" s="18"/>
      <c r="J161" s="29"/>
      <c r="K161" s="36"/>
    </row>
    <row r="162" spans="1:11">
      <c r="A162" s="168">
        <f t="shared" si="2"/>
        <v>39</v>
      </c>
      <c r="B162" s="40" t="s">
        <v>469</v>
      </c>
      <c r="C162" s="37" t="s">
        <v>478</v>
      </c>
      <c r="D162" s="214">
        <f>+'5-P3 Support'!M45</f>
        <v>-450071.28625118005</v>
      </c>
      <c r="E162" s="29"/>
      <c r="F162" s="36"/>
      <c r="G162" s="38"/>
      <c r="H162" s="29"/>
      <c r="I162" s="18"/>
      <c r="J162" s="29"/>
      <c r="K162" s="36"/>
    </row>
    <row r="163" spans="1:11">
      <c r="A163" s="168">
        <f t="shared" si="2"/>
        <v>40</v>
      </c>
      <c r="B163" s="41" t="s">
        <v>364</v>
      </c>
      <c r="C163" s="43" t="s">
        <v>1125</v>
      </c>
      <c r="D163" s="444">
        <f>D156*D170</f>
        <v>1766425.5906758183</v>
      </c>
      <c r="E163" s="44"/>
      <c r="F163" s="44" t="s">
        <v>30</v>
      </c>
      <c r="G163" s="45"/>
      <c r="H163" s="44"/>
      <c r="I163" s="444">
        <f>D163</f>
        <v>1766425.5906758183</v>
      </c>
      <c r="J163" s="29"/>
      <c r="K163" s="163" t="s">
        <v>10</v>
      </c>
    </row>
    <row r="164" spans="1:11">
      <c r="A164" s="168">
        <f t="shared" si="2"/>
        <v>41</v>
      </c>
      <c r="B164" s="34" t="s">
        <v>365</v>
      </c>
      <c r="C164" s="43" t="s">
        <v>361</v>
      </c>
      <c r="D164" s="444">
        <f>+D$159*D160</f>
        <v>0</v>
      </c>
      <c r="E164" s="44"/>
      <c r="F164" s="46" t="s">
        <v>36</v>
      </c>
      <c r="G164" s="27">
        <f>G84</f>
        <v>1</v>
      </c>
      <c r="H164" s="44"/>
      <c r="I164" s="444">
        <f>+G164*D164</f>
        <v>0</v>
      </c>
      <c r="J164" s="29"/>
      <c r="K164" s="163"/>
    </row>
    <row r="165" spans="1:11">
      <c r="A165" s="168">
        <f t="shared" si="2"/>
        <v>42</v>
      </c>
      <c r="B165" s="34" t="s">
        <v>986</v>
      </c>
      <c r="C165" s="43" t="s">
        <v>359</v>
      </c>
      <c r="D165" s="444">
        <f>+D$159*D161</f>
        <v>0</v>
      </c>
      <c r="E165" s="44"/>
      <c r="F165" s="46" t="s">
        <v>36</v>
      </c>
      <c r="G165" s="27">
        <f>G164</f>
        <v>1</v>
      </c>
      <c r="H165" s="44"/>
      <c r="I165" s="444">
        <f>+G165*D165</f>
        <v>0</v>
      </c>
      <c r="J165" s="29"/>
      <c r="K165" s="163"/>
    </row>
    <row r="166" spans="1:11" ht="13.8" thickBot="1">
      <c r="A166" s="168">
        <f t="shared" si="2"/>
        <v>43</v>
      </c>
      <c r="B166" s="34" t="s">
        <v>188</v>
      </c>
      <c r="C166" s="43" t="s">
        <v>360</v>
      </c>
      <c r="D166" s="445">
        <f>+D$159*D162</f>
        <v>-604477.49294691847</v>
      </c>
      <c r="E166" s="44"/>
      <c r="F166" s="46" t="s">
        <v>36</v>
      </c>
      <c r="G166" s="27">
        <f>G165</f>
        <v>1</v>
      </c>
      <c r="H166" s="44"/>
      <c r="I166" s="445">
        <f>+G166*D166</f>
        <v>-604477.49294691847</v>
      </c>
      <c r="J166" s="29"/>
      <c r="K166" s="163"/>
    </row>
    <row r="167" spans="1:11">
      <c r="A167" s="168">
        <f t="shared" si="2"/>
        <v>44</v>
      </c>
      <c r="B167" s="48" t="s">
        <v>366</v>
      </c>
      <c r="C167" s="34" t="s">
        <v>362</v>
      </c>
      <c r="D167" s="229">
        <f>SUM(D163:D166)</f>
        <v>1161948.0977288997</v>
      </c>
      <c r="E167" s="44"/>
      <c r="F167" s="44" t="s">
        <v>10</v>
      </c>
      <c r="G167" s="45" t="s">
        <v>10</v>
      </c>
      <c r="H167" s="44"/>
      <c r="I167" s="229">
        <f>SUM(I163:I166)</f>
        <v>1161948.0977288997</v>
      </c>
      <c r="J167" s="29"/>
      <c r="K167" s="29"/>
    </row>
    <row r="168" spans="1:11">
      <c r="A168" s="168"/>
      <c r="B168" s="36"/>
      <c r="C168" s="230"/>
      <c r="D168" s="18"/>
      <c r="E168" s="29"/>
      <c r="F168" s="29"/>
      <c r="G168" s="164"/>
      <c r="H168" s="29"/>
      <c r="I168" s="18"/>
      <c r="J168" s="29"/>
      <c r="K168" s="29"/>
    </row>
    <row r="169" spans="1:11">
      <c r="A169" s="168">
        <f>+A167+1</f>
        <v>45</v>
      </c>
      <c r="B169" s="31" t="s">
        <v>53</v>
      </c>
      <c r="J169" s="29"/>
      <c r="K169" s="36"/>
    </row>
    <row r="170" spans="1:11">
      <c r="A170" s="168">
        <f>A169+1</f>
        <v>46</v>
      </c>
      <c r="B170" s="232" t="s">
        <v>487</v>
      </c>
      <c r="C170" s="39" t="s">
        <v>367</v>
      </c>
      <c r="D170" s="18">
        <f>+$I213*D106</f>
        <v>5954978.3973274436</v>
      </c>
      <c r="E170" s="44"/>
      <c r="F170" s="44" t="s">
        <v>30</v>
      </c>
      <c r="G170" s="231"/>
      <c r="H170" s="44"/>
      <c r="I170" s="18">
        <f>+$I213*I106</f>
        <v>5954978.3973274436</v>
      </c>
      <c r="K170" s="203"/>
    </row>
    <row r="171" spans="1:11">
      <c r="A171" s="168"/>
      <c r="B171" s="31"/>
      <c r="C171" s="36"/>
      <c r="D171" s="42"/>
      <c r="E171" s="44"/>
      <c r="F171" s="44"/>
      <c r="G171" s="231"/>
      <c r="H171" s="44"/>
      <c r="I171" s="42"/>
      <c r="J171" s="29"/>
      <c r="K171" s="203"/>
    </row>
    <row r="172" spans="1:11" ht="13.8" thickBot="1">
      <c r="A172" s="168">
        <f>A170+1</f>
        <v>47</v>
      </c>
      <c r="B172" s="31" t="s">
        <v>371</v>
      </c>
      <c r="C172" s="29" t="s">
        <v>370</v>
      </c>
      <c r="D172" s="233">
        <f>+D170+D167+D152+D141+D134</f>
        <v>18476965.008849274</v>
      </c>
      <c r="E172" s="44"/>
      <c r="F172" s="44"/>
      <c r="G172" s="219"/>
      <c r="H172" s="44"/>
      <c r="I172" s="233">
        <f>+I170+I167+I152+I141+I134</f>
        <v>18476965.008849274</v>
      </c>
      <c r="J172" s="151"/>
      <c r="K172" s="151"/>
    </row>
    <row r="173" spans="1:11" ht="13.8" thickTop="1">
      <c r="A173" s="168"/>
      <c r="B173" s="31"/>
      <c r="C173" s="29"/>
      <c r="D173" s="219"/>
      <c r="E173" s="44"/>
      <c r="F173" s="44"/>
      <c r="G173" s="219"/>
      <c r="H173" s="44"/>
      <c r="I173" s="42"/>
      <c r="J173" s="151"/>
      <c r="K173" s="151"/>
    </row>
    <row r="174" spans="1:11">
      <c r="A174" s="168"/>
      <c r="B174" s="234"/>
      <c r="C174" s="44"/>
      <c r="D174" s="235"/>
      <c r="E174" s="235"/>
      <c r="F174" s="235"/>
      <c r="G174" s="235"/>
      <c r="H174" s="235"/>
      <c r="I174" s="235"/>
      <c r="J174" s="151"/>
      <c r="K174" s="151"/>
    </row>
    <row r="175" spans="1:11">
      <c r="A175" s="145"/>
      <c r="B175" s="36"/>
      <c r="C175" s="36"/>
      <c r="D175" s="36"/>
      <c r="E175" s="36"/>
      <c r="F175" s="36"/>
      <c r="G175" s="36"/>
      <c r="H175" s="36"/>
      <c r="I175" s="36"/>
      <c r="J175" s="29"/>
      <c r="K175" s="220" t="s">
        <v>189</v>
      </c>
    </row>
    <row r="176" spans="1:11">
      <c r="A176" s="145"/>
      <c r="B176" s="36"/>
      <c r="C176" s="36"/>
      <c r="D176" s="36"/>
      <c r="E176" s="36"/>
      <c r="F176" s="36"/>
      <c r="G176" s="36"/>
      <c r="H176" s="36"/>
      <c r="I176" s="36"/>
      <c r="J176" s="29"/>
      <c r="K176" s="29"/>
    </row>
    <row r="177" spans="1:11">
      <c r="A177" s="145"/>
      <c r="B177" s="31" t="s">
        <v>9</v>
      </c>
      <c r="C177" s="36"/>
      <c r="D177" s="292" t="s">
        <v>91</v>
      </c>
      <c r="E177" s="36"/>
      <c r="F177" s="36"/>
      <c r="G177" s="36"/>
      <c r="H177" s="36"/>
      <c r="I177" s="143"/>
      <c r="J177" s="29"/>
      <c r="K177" s="236" t="str">
        <f>K3</f>
        <v>For  the 12 months ended 12/31/2022</v>
      </c>
    </row>
    <row r="178" spans="1:11">
      <c r="A178" s="145"/>
      <c r="B178" s="31"/>
      <c r="C178" s="36"/>
      <c r="D178" s="292" t="s">
        <v>160</v>
      </c>
      <c r="E178" s="36"/>
      <c r="F178" s="36"/>
      <c r="G178" s="36"/>
      <c r="H178" s="36"/>
      <c r="I178" s="36"/>
      <c r="J178" s="29"/>
      <c r="K178" s="29"/>
    </row>
    <row r="179" spans="1:11">
      <c r="A179" s="145"/>
      <c r="B179" s="36"/>
      <c r="C179" s="36"/>
      <c r="D179" s="292" t="str">
        <f>+D113</f>
        <v>Gridliance High Plains LLC</v>
      </c>
      <c r="E179" s="36"/>
      <c r="F179" s="36"/>
      <c r="G179" s="36"/>
      <c r="H179" s="36"/>
      <c r="I179" s="36"/>
      <c r="J179" s="29"/>
      <c r="K179" s="29"/>
    </row>
    <row r="180" spans="1:11">
      <c r="A180" s="1112"/>
      <c r="B180" s="1112"/>
      <c r="C180" s="1112"/>
      <c r="D180" s="1112"/>
      <c r="E180" s="1112"/>
      <c r="F180" s="1112"/>
      <c r="G180" s="1112"/>
      <c r="H180" s="1112"/>
      <c r="I180" s="1112"/>
      <c r="J180" s="1112"/>
      <c r="K180" s="1112"/>
    </row>
    <row r="181" spans="1:11" s="14" customFormat="1">
      <c r="A181" s="237"/>
      <c r="B181" s="155" t="s">
        <v>11</v>
      </c>
      <c r="C181" s="155" t="s">
        <v>12</v>
      </c>
      <c r="D181" s="155" t="s">
        <v>13</v>
      </c>
      <c r="E181" s="29" t="s">
        <v>10</v>
      </c>
      <c r="F181" s="29"/>
      <c r="G181" s="154" t="s">
        <v>14</v>
      </c>
      <c r="H181" s="29"/>
      <c r="I181" s="154" t="s">
        <v>15</v>
      </c>
      <c r="J181" s="126"/>
      <c r="K181" s="126"/>
    </row>
    <row r="182" spans="1:11">
      <c r="A182" s="145"/>
      <c r="B182" s="36"/>
      <c r="C182" s="31"/>
      <c r="D182" s="31"/>
      <c r="E182" s="31"/>
      <c r="F182" s="31"/>
      <c r="G182" s="31"/>
      <c r="H182" s="31"/>
      <c r="I182" s="31"/>
      <c r="J182" s="31"/>
      <c r="K182" s="31"/>
    </row>
    <row r="183" spans="1:11">
      <c r="A183" s="145"/>
      <c r="B183" s="36"/>
      <c r="C183" s="198" t="s">
        <v>54</v>
      </c>
      <c r="D183" s="36"/>
      <c r="E183" s="151"/>
      <c r="F183" s="151"/>
      <c r="G183" s="151"/>
      <c r="H183" s="151"/>
      <c r="I183" s="151"/>
      <c r="J183" s="29"/>
      <c r="K183" s="29"/>
    </row>
    <row r="184" spans="1:11">
      <c r="A184" s="145" t="s">
        <v>16</v>
      </c>
      <c r="B184" s="198"/>
      <c r="C184" s="151"/>
      <c r="D184" s="151"/>
      <c r="E184" s="151"/>
      <c r="F184" s="151"/>
      <c r="G184" s="151"/>
      <c r="H184" s="151"/>
      <c r="I184" s="151"/>
      <c r="J184" s="29"/>
      <c r="K184" s="29"/>
    </row>
    <row r="185" spans="1:11" ht="13.8" thickBot="1">
      <c r="A185" s="33" t="s">
        <v>18</v>
      </c>
      <c r="B185" s="146" t="s">
        <v>55</v>
      </c>
      <c r="C185" s="159"/>
      <c r="D185" s="159"/>
      <c r="E185" s="159"/>
      <c r="F185" s="159"/>
      <c r="G185" s="159"/>
      <c r="H185" s="34"/>
      <c r="I185" s="34"/>
      <c r="J185" s="37"/>
      <c r="K185" s="29"/>
    </row>
    <row r="186" spans="1:11">
      <c r="A186" s="145">
        <v>1</v>
      </c>
      <c r="B186" s="147" t="s">
        <v>349</v>
      </c>
      <c r="C186" s="159" t="s">
        <v>504</v>
      </c>
      <c r="D186" s="37"/>
      <c r="E186" s="37"/>
      <c r="F186" s="37"/>
      <c r="G186" s="37"/>
      <c r="H186" s="37"/>
      <c r="I186" s="214">
        <f>D64</f>
        <v>101270286.86388241</v>
      </c>
      <c r="J186" s="37"/>
      <c r="K186" s="29"/>
    </row>
    <row r="187" spans="1:11">
      <c r="A187" s="145">
        <f>+A186+1</f>
        <v>2</v>
      </c>
      <c r="B187" s="147" t="s">
        <v>350</v>
      </c>
      <c r="C187" s="34" t="s">
        <v>347</v>
      </c>
      <c r="D187" s="34"/>
      <c r="E187" s="34"/>
      <c r="F187" s="34"/>
      <c r="G187" s="34"/>
      <c r="H187" s="34"/>
      <c r="I187" s="199">
        <v>0</v>
      </c>
      <c r="J187" s="37"/>
      <c r="K187" s="29"/>
    </row>
    <row r="188" spans="1:11" ht="13.8" thickBot="1">
      <c r="A188" s="145">
        <f>+A187+1</f>
        <v>3</v>
      </c>
      <c r="B188" s="238" t="s">
        <v>351</v>
      </c>
      <c r="C188" s="239" t="s">
        <v>348</v>
      </c>
      <c r="D188" s="143"/>
      <c r="E188" s="37"/>
      <c r="F188" s="37"/>
      <c r="G188" s="240"/>
      <c r="H188" s="37"/>
      <c r="I188" s="200">
        <v>0</v>
      </c>
      <c r="J188" s="37"/>
      <c r="K188" s="29"/>
    </row>
    <row r="189" spans="1:11">
      <c r="A189" s="145">
        <f t="shared" ref="A189:A220" si="3">+A188+1</f>
        <v>4</v>
      </c>
      <c r="B189" s="147" t="s">
        <v>353</v>
      </c>
      <c r="C189" s="159" t="s">
        <v>352</v>
      </c>
      <c r="D189" s="37"/>
      <c r="E189" s="37"/>
      <c r="F189" s="37"/>
      <c r="G189" s="240"/>
      <c r="H189" s="37"/>
      <c r="I189" s="214">
        <f>I186-I187-I188</f>
        <v>101270286.86388241</v>
      </c>
      <c r="J189" s="37"/>
      <c r="K189" s="29"/>
    </row>
    <row r="190" spans="1:11">
      <c r="A190" s="145"/>
      <c r="B190" s="34"/>
      <c r="C190" s="159"/>
      <c r="D190" s="37"/>
      <c r="E190" s="37"/>
      <c r="F190" s="37"/>
      <c r="G190" s="240"/>
      <c r="H190" s="37"/>
      <c r="I190" s="214"/>
      <c r="J190" s="37"/>
      <c r="K190" s="29"/>
    </row>
    <row r="191" spans="1:11">
      <c r="A191" s="145">
        <f>+A189+1</f>
        <v>5</v>
      </c>
      <c r="B191" s="147" t="s">
        <v>355</v>
      </c>
      <c r="C191" s="241" t="s">
        <v>354</v>
      </c>
      <c r="D191" s="242"/>
      <c r="E191" s="242"/>
      <c r="F191" s="242"/>
      <c r="G191" s="243"/>
      <c r="H191" s="37" t="s">
        <v>56</v>
      </c>
      <c r="I191" s="244">
        <f>IF(I186&gt;0,I189/I186,0)</f>
        <v>1</v>
      </c>
      <c r="J191" s="37"/>
      <c r="K191" s="29"/>
    </row>
    <row r="192" spans="1:11">
      <c r="A192" s="145"/>
      <c r="B192" s="36"/>
      <c r="C192" s="36"/>
      <c r="D192" s="36"/>
      <c r="E192" s="36"/>
      <c r="F192" s="36"/>
      <c r="G192" s="36"/>
      <c r="H192" s="36"/>
      <c r="I192" s="36"/>
      <c r="J192" s="36"/>
      <c r="K192" s="36"/>
    </row>
    <row r="193" spans="1:11">
      <c r="A193" s="145">
        <f>+A191+1</f>
        <v>6</v>
      </c>
      <c r="B193" s="31" t="s">
        <v>190</v>
      </c>
      <c r="C193" s="29"/>
      <c r="D193" s="29"/>
      <c r="E193" s="29"/>
      <c r="F193" s="29"/>
      <c r="G193" s="29"/>
      <c r="H193" s="29"/>
      <c r="I193" s="29"/>
      <c r="J193" s="29"/>
      <c r="K193" s="29"/>
    </row>
    <row r="194" spans="1:11" ht="13.8" thickBot="1">
      <c r="A194" s="145"/>
      <c r="B194" s="31"/>
      <c r="C194" s="245" t="s">
        <v>57</v>
      </c>
      <c r="D194" s="30" t="s">
        <v>58</v>
      </c>
      <c r="E194" s="30" t="s">
        <v>23</v>
      </c>
      <c r="F194" s="29"/>
      <c r="G194" s="30" t="s">
        <v>59</v>
      </c>
      <c r="H194" s="29"/>
      <c r="I194" s="29"/>
      <c r="J194" s="29"/>
      <c r="K194" s="29"/>
    </row>
    <row r="195" spans="1:11">
      <c r="A195" s="145">
        <f>+A193+1</f>
        <v>7</v>
      </c>
      <c r="B195" s="31" t="s">
        <v>420</v>
      </c>
      <c r="C195" s="29" t="s">
        <v>60</v>
      </c>
      <c r="D195" s="199">
        <v>0</v>
      </c>
      <c r="E195" s="246">
        <v>0</v>
      </c>
      <c r="F195" s="247"/>
      <c r="G195" s="18">
        <f>D195*E195</f>
        <v>0</v>
      </c>
      <c r="H195" s="44"/>
      <c r="I195" s="44"/>
      <c r="J195" s="29"/>
      <c r="K195" s="29"/>
    </row>
    <row r="196" spans="1:11">
      <c r="A196" s="145">
        <f t="shared" si="3"/>
        <v>8</v>
      </c>
      <c r="B196" s="31" t="s">
        <v>31</v>
      </c>
      <c r="C196" s="29" t="s">
        <v>448</v>
      </c>
      <c r="D196" s="805">
        <v>1</v>
      </c>
      <c r="E196" s="246">
        <f>+I191</f>
        <v>1</v>
      </c>
      <c r="F196" s="247"/>
      <c r="G196" s="18">
        <f>D196*E196</f>
        <v>1</v>
      </c>
      <c r="H196" s="44"/>
      <c r="I196" s="44"/>
      <c r="J196" s="29"/>
      <c r="K196" s="29"/>
    </row>
    <row r="197" spans="1:11">
      <c r="A197" s="145">
        <f t="shared" si="3"/>
        <v>9</v>
      </c>
      <c r="B197" s="31" t="s">
        <v>421</v>
      </c>
      <c r="C197" s="29" t="s">
        <v>151</v>
      </c>
      <c r="D197" s="199">
        <v>0</v>
      </c>
      <c r="E197" s="246">
        <v>0</v>
      </c>
      <c r="F197" s="247"/>
      <c r="G197" s="18">
        <f>D197*E197</f>
        <v>0</v>
      </c>
      <c r="H197" s="44"/>
      <c r="I197" s="248" t="s">
        <v>61</v>
      </c>
      <c r="J197" s="29"/>
      <c r="K197" s="29"/>
    </row>
    <row r="198" spans="1:11" ht="13.8" thickBot="1">
      <c r="A198" s="145">
        <f t="shared" si="3"/>
        <v>10</v>
      </c>
      <c r="B198" s="31" t="s">
        <v>62</v>
      </c>
      <c r="C198" s="29" t="s">
        <v>449</v>
      </c>
      <c r="D198" s="200">
        <v>0</v>
      </c>
      <c r="E198" s="246">
        <v>0</v>
      </c>
      <c r="F198" s="247"/>
      <c r="G198" s="201">
        <f>D198*E198</f>
        <v>0</v>
      </c>
      <c r="H198" s="44"/>
      <c r="I198" s="249" t="s">
        <v>63</v>
      </c>
      <c r="J198" s="29"/>
      <c r="K198" s="29"/>
    </row>
    <row r="199" spans="1:11">
      <c r="A199" s="145">
        <f t="shared" si="3"/>
        <v>11</v>
      </c>
      <c r="B199" s="40" t="s">
        <v>713</v>
      </c>
      <c r="C199" s="29" t="s">
        <v>357</v>
      </c>
      <c r="D199" s="18">
        <f>SUM(D195:D198)</f>
        <v>1</v>
      </c>
      <c r="E199" s="29"/>
      <c r="F199" s="29"/>
      <c r="G199" s="18">
        <f>SUM(G195:G198)</f>
        <v>1</v>
      </c>
      <c r="H199" s="250" t="s">
        <v>64</v>
      </c>
      <c r="I199" s="206">
        <f>IF(G199&gt;0,G199/D199,0)</f>
        <v>1</v>
      </c>
      <c r="J199" s="32" t="s">
        <v>64</v>
      </c>
      <c r="K199" s="29" t="s">
        <v>65</v>
      </c>
    </row>
    <row r="200" spans="1:11">
      <c r="A200" s="145"/>
      <c r="B200" s="31" t="s">
        <v>10</v>
      </c>
      <c r="C200" s="29" t="s">
        <v>10</v>
      </c>
      <c r="D200" s="36"/>
      <c r="E200" s="29"/>
      <c r="F200" s="29"/>
      <c r="G200" s="36"/>
      <c r="H200" s="36"/>
      <c r="I200" s="36"/>
      <c r="J200" s="36"/>
      <c r="K200" s="29"/>
    </row>
    <row r="201" spans="1:11">
      <c r="A201" s="145">
        <f>+A199+1</f>
        <v>12</v>
      </c>
      <c r="B201" s="40" t="s">
        <v>594</v>
      </c>
      <c r="C201" s="29"/>
      <c r="D201" s="194" t="s">
        <v>58</v>
      </c>
      <c r="E201" s="29"/>
      <c r="F201" s="29"/>
      <c r="G201" s="32" t="s">
        <v>191</v>
      </c>
      <c r="H201" s="38"/>
      <c r="I201" s="203" t="s">
        <v>61</v>
      </c>
      <c r="J201" s="29"/>
      <c r="K201" s="29"/>
    </row>
    <row r="202" spans="1:11">
      <c r="A202" s="145">
        <f t="shared" si="3"/>
        <v>13</v>
      </c>
      <c r="B202" s="31" t="s">
        <v>450</v>
      </c>
      <c r="C202" s="29" t="s">
        <v>192</v>
      </c>
      <c r="D202" s="199">
        <f>+D80</f>
        <v>82987805.02376394</v>
      </c>
      <c r="E202" s="29"/>
      <c r="F202" s="36"/>
      <c r="G202" s="145" t="s">
        <v>680</v>
      </c>
      <c r="H202" s="251"/>
      <c r="I202" s="145" t="s">
        <v>681</v>
      </c>
      <c r="J202" s="29"/>
      <c r="K202" s="155" t="s">
        <v>183</v>
      </c>
    </row>
    <row r="203" spans="1:11">
      <c r="A203" s="145">
        <f t="shared" si="3"/>
        <v>14</v>
      </c>
      <c r="B203" s="31" t="s">
        <v>451</v>
      </c>
      <c r="C203" s="29" t="s">
        <v>872</v>
      </c>
      <c r="D203" s="199">
        <v>0</v>
      </c>
      <c r="E203" s="29"/>
      <c r="F203" s="36"/>
      <c r="G203" s="206">
        <f>IF(D205&gt;0,D202/D205,0)</f>
        <v>1</v>
      </c>
      <c r="H203" s="252" t="s">
        <v>170</v>
      </c>
      <c r="I203" s="206">
        <f>I199</f>
        <v>1</v>
      </c>
      <c r="J203" s="252" t="s">
        <v>64</v>
      </c>
      <c r="K203" s="206">
        <f>I203*G203</f>
        <v>1</v>
      </c>
    </row>
    <row r="204" spans="1:11" ht="13.8" thickBot="1">
      <c r="A204" s="145">
        <f t="shared" si="3"/>
        <v>15</v>
      </c>
      <c r="B204" s="253" t="s">
        <v>62</v>
      </c>
      <c r="C204" s="245" t="s">
        <v>977</v>
      </c>
      <c r="D204" s="200">
        <v>0</v>
      </c>
      <c r="E204" s="29"/>
      <c r="F204" s="29"/>
      <c r="G204" s="29" t="s">
        <v>10</v>
      </c>
      <c r="H204" s="29"/>
      <c r="I204" s="29"/>
      <c r="J204" s="29"/>
      <c r="K204" s="29"/>
    </row>
    <row r="205" spans="1:11">
      <c r="A205" s="145">
        <f t="shared" si="3"/>
        <v>16</v>
      </c>
      <c r="B205" s="31" t="s">
        <v>453</v>
      </c>
      <c r="C205" s="29" t="s">
        <v>356</v>
      </c>
      <c r="D205" s="18">
        <f>D202+D203+D204</f>
        <v>82987805.02376394</v>
      </c>
      <c r="E205" s="29"/>
      <c r="F205" s="29"/>
      <c r="G205" s="29"/>
      <c r="H205" s="29"/>
      <c r="I205" s="29"/>
      <c r="J205" s="29"/>
      <c r="K205" s="29"/>
    </row>
    <row r="206" spans="1:11">
      <c r="A206" s="145"/>
      <c r="B206" s="31"/>
      <c r="C206" s="29"/>
      <c r="D206" s="36"/>
      <c r="E206" s="29"/>
      <c r="F206" s="29"/>
      <c r="G206" s="29"/>
      <c r="H206" s="29"/>
      <c r="I206" s="29"/>
      <c r="J206" s="29"/>
      <c r="K206" s="29"/>
    </row>
    <row r="207" spans="1:11" ht="13.8" thickBot="1">
      <c r="A207" s="145">
        <f>+A205+1</f>
        <v>17</v>
      </c>
      <c r="B207" s="28" t="s">
        <v>66</v>
      </c>
      <c r="C207" s="29" t="s">
        <v>400</v>
      </c>
      <c r="D207" s="29"/>
      <c r="E207" s="29"/>
      <c r="F207" s="29"/>
      <c r="G207" s="29"/>
      <c r="H207" s="29"/>
      <c r="I207" s="30" t="s">
        <v>58</v>
      </c>
      <c r="J207" s="29"/>
      <c r="K207" s="29"/>
    </row>
    <row r="208" spans="1:11">
      <c r="A208" s="145">
        <f>+A207+1</f>
        <v>18</v>
      </c>
      <c r="B208" s="31"/>
      <c r="C208" s="29"/>
      <c r="D208" s="29"/>
      <c r="E208" s="29"/>
      <c r="F208" s="29"/>
      <c r="G208" s="32" t="s">
        <v>67</v>
      </c>
      <c r="H208" s="29"/>
      <c r="I208" s="29"/>
      <c r="J208" s="29"/>
      <c r="K208" s="29"/>
    </row>
    <row r="209" spans="1:11" ht="13.8" thickBot="1">
      <c r="A209" s="145">
        <f t="shared" si="3"/>
        <v>19</v>
      </c>
      <c r="B209" s="31"/>
      <c r="C209" s="29"/>
      <c r="D209" s="33" t="s">
        <v>58</v>
      </c>
      <c r="E209" s="33" t="s">
        <v>68</v>
      </c>
      <c r="F209" s="29"/>
      <c r="G209" s="254" t="str">
        <f>"(Notes "&amp;A265&amp;", "&amp;A271&amp;", &amp; "&amp;A272&amp;")"</f>
        <v>(Notes K, Q, &amp; R)</v>
      </c>
      <c r="H209" s="29"/>
      <c r="I209" s="33" t="s">
        <v>69</v>
      </c>
      <c r="J209" s="29"/>
      <c r="K209" s="29"/>
    </row>
    <row r="210" spans="1:11">
      <c r="A210" s="145">
        <f t="shared" si="3"/>
        <v>20</v>
      </c>
      <c r="B210" s="28" t="s">
        <v>358</v>
      </c>
      <c r="C210" s="34" t="s">
        <v>576</v>
      </c>
      <c r="D210" s="255">
        <v>52100000</v>
      </c>
      <c r="E210" s="983">
        <f>+MAX(D210/D$213,40%)</f>
        <v>0.4</v>
      </c>
      <c r="F210" s="27"/>
      <c r="G210" s="1086">
        <f>'5-P3 Support'!I85</f>
        <v>2.4188570057581574E-2</v>
      </c>
      <c r="H210" s="295"/>
      <c r="I210" s="161">
        <f>IF(E210=0,0,E210*G210)</f>
        <v>9.6754280230326312E-3</v>
      </c>
      <c r="J210" s="256" t="s">
        <v>70</v>
      </c>
      <c r="K210" s="36"/>
    </row>
    <row r="211" spans="1:11">
      <c r="A211" s="145">
        <f t="shared" si="3"/>
        <v>21</v>
      </c>
      <c r="B211" s="28" t="s">
        <v>193</v>
      </c>
      <c r="C211" s="34" t="s">
        <v>576</v>
      </c>
      <c r="D211" s="255">
        <v>0</v>
      </c>
      <c r="E211" s="983">
        <v>0</v>
      </c>
      <c r="F211" s="27"/>
      <c r="G211" s="955">
        <v>0</v>
      </c>
      <c r="H211" s="295"/>
      <c r="I211" s="161">
        <f>E211*G211</f>
        <v>0</v>
      </c>
      <c r="J211" s="29"/>
      <c r="K211" s="36"/>
    </row>
    <row r="212" spans="1:11" ht="13.8" thickBot="1">
      <c r="A212" s="145">
        <f t="shared" si="3"/>
        <v>22</v>
      </c>
      <c r="B212" s="28" t="s">
        <v>466</v>
      </c>
      <c r="C212" s="34" t="s">
        <v>577</v>
      </c>
      <c r="D212" s="508">
        <v>154360896</v>
      </c>
      <c r="E212" s="984">
        <f>+MIN(D212/D$213,60%)</f>
        <v>0.6</v>
      </c>
      <c r="F212" s="35"/>
      <c r="G212" s="956">
        <v>0.10299999999999999</v>
      </c>
      <c r="H212" s="295"/>
      <c r="I212" s="723">
        <f>E212*G212</f>
        <v>6.1799999999999994E-2</v>
      </c>
      <c r="J212" s="29"/>
      <c r="K212" s="36"/>
    </row>
    <row r="213" spans="1:11">
      <c r="A213" s="145">
        <f t="shared" si="3"/>
        <v>23</v>
      </c>
      <c r="B213" s="31" t="s">
        <v>346</v>
      </c>
      <c r="C213" s="36" t="s">
        <v>495</v>
      </c>
      <c r="D213" s="257">
        <f>SUM(D210:D212)</f>
        <v>206460896</v>
      </c>
      <c r="E213" s="29" t="s">
        <v>10</v>
      </c>
      <c r="F213" s="29"/>
      <c r="G213" s="295"/>
      <c r="H213" s="295"/>
      <c r="I213" s="161">
        <f>SUM(I210:I212)</f>
        <v>7.1475428023032625E-2</v>
      </c>
      <c r="J213" s="256" t="s">
        <v>71</v>
      </c>
      <c r="K213" s="36"/>
    </row>
    <row r="214" spans="1:11">
      <c r="A214" s="145"/>
      <c r="B214" s="36"/>
      <c r="C214" s="36"/>
      <c r="D214" s="36"/>
      <c r="E214" s="29"/>
      <c r="F214" s="29"/>
      <c r="G214" s="29"/>
      <c r="H214" s="29"/>
      <c r="I214" s="295"/>
      <c r="J214" s="36"/>
      <c r="K214" s="36"/>
    </row>
    <row r="215" spans="1:11">
      <c r="A215" s="145">
        <f>+A213+1</f>
        <v>24</v>
      </c>
      <c r="B215" s="28" t="s">
        <v>194</v>
      </c>
      <c r="C215" s="150"/>
      <c r="D215" s="150"/>
      <c r="E215" s="150"/>
      <c r="F215" s="150"/>
      <c r="G215" s="150"/>
      <c r="H215" s="150"/>
      <c r="I215" s="150"/>
      <c r="J215" s="150"/>
      <c r="K215" s="150"/>
    </row>
    <row r="216" spans="1:11" ht="13.8" thickBot="1">
      <c r="A216" s="145"/>
      <c r="B216" s="28"/>
      <c r="C216" s="28"/>
      <c r="D216" s="28"/>
      <c r="E216" s="28"/>
      <c r="F216" s="28"/>
      <c r="G216" s="28"/>
      <c r="H216" s="28"/>
      <c r="I216" s="33"/>
      <c r="J216" s="258"/>
      <c r="K216" s="36"/>
    </row>
    <row r="217" spans="1:11">
      <c r="A217" s="145">
        <f>+A215+1</f>
        <v>25</v>
      </c>
      <c r="B217" s="28" t="s">
        <v>682</v>
      </c>
      <c r="C217" s="150" t="s">
        <v>477</v>
      </c>
      <c r="D217" s="150"/>
      <c r="E217" s="150"/>
      <c r="F217" s="150"/>
      <c r="G217" s="259" t="s">
        <v>10</v>
      </c>
      <c r="H217" s="260"/>
      <c r="I217" s="261"/>
      <c r="J217" s="261"/>
      <c r="K217" s="36"/>
    </row>
    <row r="218" spans="1:11">
      <c r="A218" s="145">
        <f t="shared" si="3"/>
        <v>26</v>
      </c>
      <c r="B218" s="36" t="s">
        <v>374</v>
      </c>
      <c r="C218" s="150" t="s">
        <v>454</v>
      </c>
      <c r="D218" s="150"/>
      <c r="E218" s="36"/>
      <c r="F218" s="150"/>
      <c r="G218" s="36"/>
      <c r="H218" s="260"/>
      <c r="I218" s="262">
        <v>0</v>
      </c>
      <c r="J218" s="263"/>
      <c r="K218" s="36"/>
    </row>
    <row r="219" spans="1:11" ht="13.8" thickBot="1">
      <c r="A219" s="145">
        <f t="shared" si="3"/>
        <v>27</v>
      </c>
      <c r="B219" s="264" t="s">
        <v>1</v>
      </c>
      <c r="C219" s="37" t="s">
        <v>873</v>
      </c>
      <c r="D219" s="265"/>
      <c r="E219" s="266"/>
      <c r="F219" s="266"/>
      <c r="G219" s="266"/>
      <c r="H219" s="150"/>
      <c r="I219" s="456">
        <f>+'5-P3 Support'!C68</f>
        <v>0</v>
      </c>
      <c r="J219" s="267"/>
      <c r="K219" s="36"/>
    </row>
    <row r="220" spans="1:11">
      <c r="A220" s="145">
        <f t="shared" si="3"/>
        <v>28</v>
      </c>
      <c r="B220" s="36" t="s">
        <v>195</v>
      </c>
      <c r="C220" s="159"/>
      <c r="D220" s="36"/>
      <c r="E220" s="150"/>
      <c r="F220" s="150"/>
      <c r="G220" s="150"/>
      <c r="H220" s="150"/>
      <c r="I220" s="268">
        <f>I218-I219</f>
        <v>0</v>
      </c>
      <c r="J220" s="263"/>
      <c r="K220" s="36"/>
    </row>
    <row r="221" spans="1:11">
      <c r="A221" s="145"/>
      <c r="B221" s="36"/>
      <c r="C221" s="159"/>
      <c r="D221" s="36"/>
      <c r="E221" s="150"/>
      <c r="F221" s="150"/>
      <c r="G221" s="150"/>
      <c r="H221" s="150"/>
      <c r="I221" s="269"/>
      <c r="J221" s="261"/>
      <c r="K221" s="36"/>
    </row>
    <row r="222" spans="1:11">
      <c r="A222" s="145">
        <f>+A220+1</f>
        <v>29</v>
      </c>
      <c r="B222" s="28" t="s">
        <v>315</v>
      </c>
      <c r="C222" s="159" t="s">
        <v>874</v>
      </c>
      <c r="D222" s="36"/>
      <c r="E222" s="150"/>
      <c r="F222" s="150"/>
      <c r="G222" s="270"/>
      <c r="H222" s="150"/>
      <c r="I222" s="271">
        <f>+'5-P3 Support'!D68</f>
        <v>16999.999999999996</v>
      </c>
      <c r="J222" s="261"/>
      <c r="K222" s="272"/>
    </row>
    <row r="223" spans="1:11">
      <c r="A223" s="145"/>
      <c r="B223" s="36"/>
      <c r="C223" s="147"/>
      <c r="D223" s="150"/>
      <c r="E223" s="150"/>
      <c r="F223" s="150"/>
      <c r="G223" s="150"/>
      <c r="H223" s="150"/>
      <c r="I223" s="269"/>
      <c r="J223" s="261"/>
      <c r="K223" s="272"/>
    </row>
    <row r="224" spans="1:11">
      <c r="A224" s="145">
        <f>+A222+1</f>
        <v>30</v>
      </c>
      <c r="B224" s="28" t="s">
        <v>316</v>
      </c>
      <c r="C224" s="147" t="s">
        <v>714</v>
      </c>
      <c r="D224" s="150"/>
      <c r="E224" s="150"/>
      <c r="F224" s="150"/>
      <c r="G224" s="150"/>
      <c r="H224" s="150"/>
      <c r="I224" s="36"/>
      <c r="J224" s="36"/>
      <c r="K224" s="273"/>
    </row>
    <row r="225" spans="1:11">
      <c r="A225" s="145">
        <f>+A224+1</f>
        <v>31</v>
      </c>
      <c r="B225" s="274" t="s">
        <v>373</v>
      </c>
      <c r="C225" s="37" t="s">
        <v>875</v>
      </c>
      <c r="D225" s="29"/>
      <c r="E225" s="29"/>
      <c r="F225" s="29"/>
      <c r="G225" s="29"/>
      <c r="H225" s="29"/>
      <c r="I225" s="275">
        <f>+'5-P3 Support'!E68</f>
        <v>190000.00000000009</v>
      </c>
      <c r="J225" s="276"/>
      <c r="K225" s="273"/>
    </row>
    <row r="226" spans="1:11" ht="27" thickBot="1">
      <c r="A226" s="145">
        <f>+A225+1</f>
        <v>32</v>
      </c>
      <c r="B226" s="277" t="s">
        <v>372</v>
      </c>
      <c r="C226" s="37" t="s">
        <v>876</v>
      </c>
      <c r="D226" s="266"/>
      <c r="E226" s="266"/>
      <c r="F226" s="266"/>
      <c r="G226" s="150"/>
      <c r="H226" s="150"/>
      <c r="I226" s="457">
        <f>+'5-P3 Support'!F68</f>
        <v>0</v>
      </c>
      <c r="J226" s="36"/>
      <c r="K226" s="278"/>
    </row>
    <row r="227" spans="1:11">
      <c r="A227" s="145">
        <f>+A226+1</f>
        <v>33</v>
      </c>
      <c r="B227" s="46" t="s">
        <v>195</v>
      </c>
      <c r="C227" s="145"/>
      <c r="D227" s="29"/>
      <c r="E227" s="29"/>
      <c r="F227" s="29"/>
      <c r="G227" s="29"/>
      <c r="H227" s="150"/>
      <c r="I227" s="279">
        <f>+I225-I226</f>
        <v>190000.00000000009</v>
      </c>
      <c r="J227" s="276"/>
      <c r="K227" s="280"/>
    </row>
    <row r="228" spans="1:11" s="772" customFormat="1">
      <c r="A228" s="145"/>
      <c r="B228" s="46"/>
      <c r="C228" s="145"/>
      <c r="D228" s="29"/>
      <c r="E228" s="29"/>
      <c r="F228" s="29"/>
      <c r="G228" s="29"/>
      <c r="H228" s="150"/>
      <c r="I228" s="279"/>
      <c r="J228" s="276"/>
      <c r="K228" s="280"/>
    </row>
    <row r="229" spans="1:11" s="772" customFormat="1">
      <c r="A229" s="145"/>
      <c r="D229" s="29"/>
      <c r="E229" s="29"/>
      <c r="F229" s="29"/>
      <c r="G229" s="29"/>
      <c r="H229" s="150"/>
      <c r="I229" s="279"/>
      <c r="J229" s="276"/>
      <c r="K229" s="280"/>
    </row>
    <row r="230" spans="1:11" s="772" customFormat="1">
      <c r="A230" s="145"/>
      <c r="B230" s="46"/>
      <c r="D230" s="145"/>
      <c r="E230" s="29"/>
      <c r="F230" s="29"/>
      <c r="G230" s="29"/>
      <c r="H230" s="150"/>
      <c r="I230" s="279"/>
      <c r="J230" s="276"/>
      <c r="K230" s="280"/>
    </row>
    <row r="231" spans="1:11" s="772" customFormat="1">
      <c r="A231" s="145"/>
      <c r="B231" s="46"/>
      <c r="C231" s="826"/>
      <c r="D231" s="29"/>
      <c r="E231" s="29"/>
      <c r="F231" s="29"/>
      <c r="H231" s="150"/>
      <c r="I231" s="279"/>
      <c r="J231" s="276"/>
      <c r="K231" s="280"/>
    </row>
    <row r="232" spans="1:11" s="772" customFormat="1">
      <c r="A232" s="145">
        <v>34</v>
      </c>
      <c r="B232" s="46" t="s">
        <v>715</v>
      </c>
      <c r="C232" s="843"/>
      <c r="D232" s="843"/>
      <c r="E232" s="29"/>
      <c r="F232" s="29"/>
      <c r="H232" s="150"/>
      <c r="I232" s="279"/>
      <c r="J232" s="276"/>
      <c r="K232" s="280"/>
    </row>
    <row r="233" spans="1:11" s="772" customFormat="1">
      <c r="A233" s="145">
        <v>35</v>
      </c>
      <c r="B233" s="46" t="s">
        <v>715</v>
      </c>
      <c r="C233" s="1017"/>
      <c r="D233" s="18"/>
      <c r="E233" s="18"/>
      <c r="F233" s="18"/>
      <c r="G233" s="18"/>
      <c r="H233" s="150"/>
      <c r="I233" s="279"/>
      <c r="J233" s="276"/>
      <c r="K233" s="280"/>
    </row>
    <row r="234" spans="1:11" s="772" customFormat="1">
      <c r="A234" s="145">
        <v>36</v>
      </c>
      <c r="B234" s="46" t="s">
        <v>715</v>
      </c>
      <c r="C234" s="1017"/>
      <c r="D234" s="827"/>
      <c r="E234" s="18"/>
      <c r="F234" s="18"/>
      <c r="G234" s="214"/>
      <c r="H234" s="150"/>
      <c r="I234" s="279"/>
      <c r="J234" s="276"/>
      <c r="K234" s="280"/>
    </row>
    <row r="235" spans="1:11" s="772" customFormat="1">
      <c r="A235" s="145"/>
      <c r="B235" s="46"/>
      <c r="C235" s="145"/>
      <c r="D235" s="29"/>
      <c r="E235" s="29"/>
      <c r="F235" s="29"/>
      <c r="G235" s="29"/>
      <c r="H235" s="150"/>
      <c r="I235" s="279"/>
      <c r="J235" s="276"/>
      <c r="K235" s="280"/>
    </row>
    <row r="236" spans="1:11" s="772" customFormat="1">
      <c r="A236" s="145"/>
      <c r="B236" s="46"/>
      <c r="C236" s="145"/>
      <c r="D236" s="29"/>
      <c r="E236" s="29"/>
      <c r="F236" s="29"/>
      <c r="G236" s="29"/>
      <c r="H236" s="150"/>
      <c r="I236" s="279"/>
      <c r="J236" s="276"/>
      <c r="K236" s="280"/>
    </row>
    <row r="237" spans="1:11" s="772" customFormat="1">
      <c r="A237" s="145"/>
      <c r="B237" s="46"/>
      <c r="C237" s="145"/>
      <c r="D237" s="29"/>
      <c r="E237" s="29"/>
      <c r="F237" s="29"/>
      <c r="G237" s="29"/>
      <c r="H237" s="150"/>
      <c r="I237" s="279"/>
      <c r="J237" s="276"/>
      <c r="K237" s="280"/>
    </row>
    <row r="238" spans="1:11" s="772" customFormat="1">
      <c r="A238" s="145"/>
      <c r="B238" s="46"/>
      <c r="C238" s="145"/>
      <c r="D238" s="29"/>
      <c r="E238" s="29"/>
      <c r="F238" s="29"/>
      <c r="G238" s="29"/>
      <c r="H238" s="150"/>
      <c r="I238" s="279"/>
      <c r="J238" s="276"/>
      <c r="K238" s="280"/>
    </row>
    <row r="239" spans="1:11">
      <c r="A239" s="145"/>
      <c r="B239" s="281"/>
      <c r="C239" s="145"/>
      <c r="D239" s="29"/>
      <c r="E239" s="29"/>
      <c r="F239" s="29"/>
      <c r="G239" s="29"/>
      <c r="H239" s="150"/>
      <c r="I239" s="282"/>
      <c r="J239" s="276"/>
      <c r="K239" s="280"/>
    </row>
    <row r="240" spans="1:11">
      <c r="A240" s="145"/>
      <c r="B240" s="31"/>
      <c r="C240" s="151"/>
      <c r="D240" s="29"/>
      <c r="E240" s="29"/>
      <c r="F240" s="29"/>
      <c r="G240" s="29"/>
      <c r="H240" s="151"/>
      <c r="I240" s="29"/>
      <c r="J240" s="151"/>
      <c r="K240" s="220" t="s">
        <v>196</v>
      </c>
    </row>
    <row r="241" spans="1:11">
      <c r="A241" s="145"/>
      <c r="B241" s="31"/>
      <c r="C241" s="151"/>
      <c r="D241" s="29"/>
      <c r="E241" s="29"/>
      <c r="F241" s="29"/>
      <c r="G241" s="29"/>
      <c r="H241" s="151"/>
      <c r="I241" s="29"/>
      <c r="J241" s="151"/>
      <c r="K241" s="29"/>
    </row>
    <row r="242" spans="1:11">
      <c r="A242" s="145"/>
      <c r="B242" s="281" t="s">
        <v>9</v>
      </c>
      <c r="C242" s="145"/>
      <c r="D242" s="32" t="s">
        <v>91</v>
      </c>
      <c r="E242" s="29"/>
      <c r="F242" s="29"/>
      <c r="G242" s="29"/>
      <c r="H242" s="150"/>
      <c r="I242" s="143"/>
      <c r="J242" s="261"/>
      <c r="K242" s="283" t="str">
        <f>K3</f>
        <v>For  the 12 months ended 12/31/2022</v>
      </c>
    </row>
    <row r="243" spans="1:11">
      <c r="A243" s="145"/>
      <c r="B243" s="281"/>
      <c r="C243" s="145"/>
      <c r="D243" s="32" t="s">
        <v>160</v>
      </c>
      <c r="E243" s="29"/>
      <c r="F243" s="29"/>
      <c r="G243" s="29"/>
      <c r="H243" s="150"/>
      <c r="I243" s="284"/>
      <c r="J243" s="261"/>
      <c r="K243" s="280"/>
    </row>
    <row r="244" spans="1:11">
      <c r="A244" s="145"/>
      <c r="B244" s="281"/>
      <c r="C244" s="145"/>
      <c r="D244" s="32" t="str">
        <f>+D179</f>
        <v>Gridliance High Plains LLC</v>
      </c>
      <c r="E244" s="29"/>
      <c r="F244" s="29"/>
      <c r="G244" s="29"/>
      <c r="H244" s="150"/>
      <c r="I244" s="284"/>
      <c r="J244" s="261"/>
      <c r="K244" s="280"/>
    </row>
    <row r="245" spans="1:11">
      <c r="A245" s="1112"/>
      <c r="B245" s="1112"/>
      <c r="C245" s="1112"/>
      <c r="D245" s="1112"/>
      <c r="E245" s="1112"/>
      <c r="F245" s="1112"/>
      <c r="G245" s="1112"/>
      <c r="H245" s="1112"/>
      <c r="I245" s="1112"/>
      <c r="J245" s="1112"/>
      <c r="K245" s="1112"/>
    </row>
    <row r="246" spans="1:11">
      <c r="A246" s="145"/>
      <c r="B246" s="281"/>
      <c r="C246" s="145"/>
      <c r="D246" s="29"/>
      <c r="E246" s="29"/>
      <c r="F246" s="29"/>
      <c r="G246" s="29"/>
      <c r="H246" s="150"/>
      <c r="I246" s="284"/>
      <c r="J246" s="261"/>
      <c r="K246" s="280"/>
    </row>
    <row r="247" spans="1:11">
      <c r="A247" s="145"/>
      <c r="B247" s="28" t="s">
        <v>72</v>
      </c>
      <c r="C247" s="145"/>
      <c r="D247" s="29"/>
      <c r="E247" s="29"/>
      <c r="F247" s="29"/>
      <c r="G247" s="29"/>
      <c r="H247" s="150"/>
      <c r="I247" s="29"/>
      <c r="J247" s="150"/>
      <c r="K247" s="29"/>
    </row>
    <row r="248" spans="1:11">
      <c r="A248" s="145"/>
      <c r="B248" s="285" t="s">
        <v>197</v>
      </c>
      <c r="C248" s="145"/>
      <c r="D248" s="29"/>
      <c r="E248" s="29"/>
      <c r="F248" s="29"/>
      <c r="G248" s="29"/>
      <c r="H248" s="150"/>
      <c r="I248" s="29"/>
      <c r="J248" s="150"/>
      <c r="K248" s="29"/>
    </row>
    <row r="249" spans="1:11">
      <c r="A249" s="145" t="s">
        <v>73</v>
      </c>
      <c r="B249" s="28"/>
      <c r="C249" s="150"/>
      <c r="D249" s="29"/>
      <c r="E249" s="29"/>
      <c r="F249" s="29"/>
      <c r="G249" s="29"/>
      <c r="H249" s="150"/>
      <c r="I249" s="29"/>
      <c r="J249" s="150"/>
      <c r="K249" s="29"/>
    </row>
    <row r="250" spans="1:11" ht="13.8" thickBot="1">
      <c r="A250" s="33" t="s">
        <v>74</v>
      </c>
      <c r="B250" s="1113"/>
      <c r="C250" s="1113"/>
      <c r="D250" s="286"/>
      <c r="E250" s="286"/>
      <c r="F250" s="286"/>
      <c r="G250" s="286"/>
      <c r="H250" s="287"/>
      <c r="I250" s="286"/>
      <c r="J250" s="287"/>
      <c r="K250" s="286"/>
    </row>
    <row r="251" spans="1:11">
      <c r="A251" s="376" t="s">
        <v>275</v>
      </c>
      <c r="B251" s="1102" t="s">
        <v>715</v>
      </c>
      <c r="C251" s="1102"/>
      <c r="D251" s="1102"/>
      <c r="E251" s="1102"/>
      <c r="F251" s="1102"/>
      <c r="G251" s="1102"/>
      <c r="H251" s="1102"/>
      <c r="I251" s="1102"/>
      <c r="J251" s="1102"/>
      <c r="K251" s="1102"/>
    </row>
    <row r="252" spans="1:11" ht="29.25" customHeight="1">
      <c r="A252" s="376" t="s">
        <v>276</v>
      </c>
      <c r="B252" s="1102" t="s">
        <v>672</v>
      </c>
      <c r="C252" s="1102"/>
      <c r="D252" s="1102"/>
      <c r="E252" s="1102"/>
      <c r="F252" s="1102"/>
      <c r="G252" s="1102"/>
      <c r="H252" s="1102"/>
      <c r="I252" s="1102"/>
      <c r="J252" s="1102"/>
      <c r="K252" s="1102"/>
    </row>
    <row r="253" spans="1:11">
      <c r="A253" s="376" t="s">
        <v>77</v>
      </c>
      <c r="B253" s="1102" t="s">
        <v>82</v>
      </c>
      <c r="C253" s="1102"/>
      <c r="D253" s="1102"/>
      <c r="E253" s="1102"/>
      <c r="F253" s="1102"/>
      <c r="G253" s="1102"/>
      <c r="H253" s="1102"/>
      <c r="I253" s="1102"/>
      <c r="J253" s="1102"/>
      <c r="K253" s="1102"/>
    </row>
    <row r="254" spans="1:11" ht="29.25" customHeight="1">
      <c r="A254" s="376" t="s">
        <v>78</v>
      </c>
      <c r="B254" s="1102" t="s">
        <v>455</v>
      </c>
      <c r="C254" s="1102"/>
      <c r="D254" s="1102"/>
      <c r="E254" s="1102"/>
      <c r="F254" s="1102"/>
      <c r="G254" s="1102"/>
      <c r="H254" s="1102"/>
      <c r="I254" s="1102"/>
      <c r="J254" s="1102"/>
      <c r="K254" s="1102"/>
    </row>
    <row r="255" spans="1:11" ht="29.25" customHeight="1">
      <c r="A255" s="376" t="s">
        <v>79</v>
      </c>
      <c r="B255" s="1102" t="s">
        <v>877</v>
      </c>
      <c r="C255" s="1102"/>
      <c r="D255" s="1102"/>
      <c r="E255" s="1102"/>
      <c r="F255" s="1102"/>
      <c r="G255" s="1102"/>
      <c r="H255" s="1102"/>
      <c r="I255" s="1102"/>
      <c r="J255" s="1102"/>
      <c r="K255" s="1102"/>
    </row>
    <row r="256" spans="1:11" ht="30" customHeight="1">
      <c r="A256" s="376" t="s">
        <v>80</v>
      </c>
      <c r="B256" s="1102" t="s">
        <v>198</v>
      </c>
      <c r="C256" s="1102"/>
      <c r="D256" s="1102"/>
      <c r="E256" s="1102"/>
      <c r="F256" s="1102"/>
      <c r="G256" s="1102"/>
      <c r="H256" s="1102"/>
      <c r="I256" s="1102"/>
      <c r="J256" s="1102"/>
      <c r="K256" s="1102"/>
    </row>
    <row r="257" spans="1:11" ht="45.75" customHeight="1">
      <c r="A257" s="1102" t="s">
        <v>81</v>
      </c>
      <c r="B257" s="1102" t="s">
        <v>987</v>
      </c>
      <c r="C257" s="1102"/>
      <c r="D257" s="1102"/>
      <c r="E257" s="1102"/>
      <c r="F257" s="1102"/>
      <c r="G257" s="1102"/>
      <c r="H257" s="1102"/>
      <c r="I257" s="1102"/>
      <c r="J257" s="1102"/>
      <c r="K257" s="1102"/>
    </row>
    <row r="258" spans="1:11">
      <c r="A258" s="1102"/>
      <c r="B258" s="421" t="s">
        <v>86</v>
      </c>
      <c r="C258" s="421" t="s">
        <v>87</v>
      </c>
      <c r="D258" s="1015">
        <v>0.21</v>
      </c>
      <c r="E258" s="425" t="s">
        <v>1124</v>
      </c>
      <c r="F258" s="421"/>
      <c r="G258" s="421"/>
      <c r="H258" s="421"/>
      <c r="I258" s="421"/>
      <c r="J258" s="421"/>
      <c r="K258" s="421"/>
    </row>
    <row r="259" spans="1:11">
      <c r="A259" s="1102"/>
      <c r="B259" s="421"/>
      <c r="C259" s="421" t="s">
        <v>88</v>
      </c>
      <c r="D259" s="1015">
        <v>5.8248469234744096E-2</v>
      </c>
      <c r="E259" s="421" t="s">
        <v>988</v>
      </c>
      <c r="F259" s="421"/>
      <c r="G259" s="421"/>
      <c r="H259" s="421"/>
      <c r="I259" s="421"/>
      <c r="J259" s="421"/>
      <c r="K259" s="421"/>
    </row>
    <row r="260" spans="1:11">
      <c r="A260" s="1102"/>
      <c r="B260" s="421"/>
      <c r="C260" s="421" t="s">
        <v>89</v>
      </c>
      <c r="D260" s="1015">
        <v>6.3552491560411942E-2</v>
      </c>
      <c r="E260" s="421" t="s">
        <v>199</v>
      </c>
      <c r="F260" s="421"/>
      <c r="G260" s="421"/>
      <c r="H260" s="421"/>
      <c r="I260" s="421"/>
      <c r="J260" s="421"/>
      <c r="K260" s="421"/>
    </row>
    <row r="261" spans="1:11">
      <c r="A261" s="1102"/>
      <c r="B261" s="421"/>
      <c r="C261" s="421"/>
      <c r="D261" s="825"/>
      <c r="E261" s="421"/>
      <c r="F261" s="421"/>
      <c r="G261" s="421"/>
      <c r="H261" s="421"/>
      <c r="I261" s="421"/>
      <c r="J261" s="421"/>
      <c r="K261" s="421"/>
    </row>
    <row r="262" spans="1:11" ht="19.5" customHeight="1">
      <c r="A262" s="376" t="s">
        <v>83</v>
      </c>
      <c r="B262" s="1102" t="s">
        <v>201</v>
      </c>
      <c r="C262" s="1102"/>
      <c r="D262" s="1102"/>
      <c r="E262" s="1102"/>
      <c r="F262" s="1102"/>
      <c r="G262" s="1102"/>
      <c r="H262" s="1102"/>
      <c r="I262" s="1102"/>
      <c r="J262" s="1102"/>
      <c r="K262" s="1102"/>
    </row>
    <row r="263" spans="1:11" ht="31.5" customHeight="1">
      <c r="A263" s="376" t="s">
        <v>84</v>
      </c>
      <c r="B263" s="1102" t="s">
        <v>202</v>
      </c>
      <c r="C263" s="1102"/>
      <c r="D263" s="1102"/>
      <c r="E263" s="1102"/>
      <c r="F263" s="1102"/>
      <c r="G263" s="1102"/>
      <c r="H263" s="1102"/>
      <c r="I263" s="1102"/>
      <c r="J263" s="1102"/>
      <c r="K263" s="1102"/>
    </row>
    <row r="264" spans="1:11">
      <c r="A264" s="376" t="s">
        <v>85</v>
      </c>
      <c r="B264" s="1102" t="s">
        <v>90</v>
      </c>
      <c r="C264" s="1102"/>
      <c r="D264" s="1102"/>
      <c r="E264" s="1102"/>
      <c r="F264" s="1102"/>
      <c r="G264" s="1102"/>
      <c r="H264" s="1102"/>
      <c r="I264" s="1102"/>
      <c r="J264" s="1102"/>
      <c r="K264" s="1102"/>
    </row>
    <row r="265" spans="1:11" ht="21" customHeight="1">
      <c r="A265" s="376" t="s">
        <v>162</v>
      </c>
      <c r="B265" s="1102" t="s">
        <v>287</v>
      </c>
      <c r="C265" s="1102"/>
      <c r="D265" s="1102"/>
      <c r="E265" s="1102"/>
      <c r="F265" s="1102"/>
      <c r="G265" s="1102"/>
      <c r="H265" s="1102"/>
      <c r="I265" s="1102"/>
      <c r="J265" s="1102"/>
      <c r="K265" s="1102"/>
    </row>
    <row r="266" spans="1:11">
      <c r="A266" s="376" t="s">
        <v>277</v>
      </c>
      <c r="B266" s="1102" t="s">
        <v>584</v>
      </c>
      <c r="C266" s="1102"/>
      <c r="D266" s="1102"/>
      <c r="E266" s="1102"/>
      <c r="F266" s="1102"/>
      <c r="G266" s="1102"/>
      <c r="H266" s="1102"/>
      <c r="I266" s="1102"/>
      <c r="J266" s="1102"/>
      <c r="K266" s="1102"/>
    </row>
    <row r="267" spans="1:11">
      <c r="A267" s="376" t="s">
        <v>200</v>
      </c>
      <c r="B267" s="1102" t="s">
        <v>207</v>
      </c>
      <c r="C267" s="1102"/>
      <c r="D267" s="1102"/>
      <c r="E267" s="1102"/>
      <c r="F267" s="1102"/>
      <c r="G267" s="1102"/>
      <c r="H267" s="1102"/>
      <c r="I267" s="1102"/>
      <c r="J267" s="1102"/>
      <c r="K267" s="1102"/>
    </row>
    <row r="268" spans="1:11">
      <c r="A268" s="376" t="s">
        <v>278</v>
      </c>
      <c r="B268" s="1102" t="s">
        <v>493</v>
      </c>
      <c r="C268" s="1102"/>
      <c r="D268" s="1102"/>
      <c r="E268" s="1102"/>
      <c r="F268" s="1102"/>
      <c r="G268" s="1102"/>
      <c r="H268" s="1102"/>
      <c r="I268" s="1102"/>
      <c r="J268" s="1102"/>
      <c r="K268" s="1102"/>
    </row>
    <row r="269" spans="1:11" ht="33.75" customHeight="1">
      <c r="A269" s="376" t="s">
        <v>203</v>
      </c>
      <c r="B269" s="1107" t="s">
        <v>863</v>
      </c>
      <c r="C269" s="1108"/>
      <c r="D269" s="1108"/>
      <c r="E269" s="1108"/>
      <c r="F269" s="1108"/>
      <c r="G269" s="1108"/>
      <c r="H269" s="1108"/>
      <c r="I269" s="1108"/>
      <c r="J269" s="1108"/>
      <c r="K269" s="1108"/>
    </row>
    <row r="270" spans="1:11">
      <c r="A270" s="422" t="s">
        <v>204</v>
      </c>
      <c r="B270" s="1109" t="s">
        <v>715</v>
      </c>
      <c r="C270" s="1110"/>
      <c r="D270" s="1110"/>
      <c r="E270" s="1110"/>
      <c r="F270" s="1110"/>
      <c r="G270" s="1110"/>
      <c r="H270" s="1110"/>
      <c r="I270" s="1110"/>
      <c r="J270" s="1110"/>
      <c r="K270" s="1110"/>
    </row>
    <row r="271" spans="1:11" ht="44.25" customHeight="1">
      <c r="A271" s="423" t="s">
        <v>205</v>
      </c>
      <c r="B271" s="1103" t="s">
        <v>1072</v>
      </c>
      <c r="C271" s="1103"/>
      <c r="D271" s="1103"/>
      <c r="E271" s="1103"/>
      <c r="F271" s="1103"/>
      <c r="G271" s="1103"/>
      <c r="H271" s="1103"/>
      <c r="I271" s="1103"/>
      <c r="J271" s="1103"/>
      <c r="K271" s="1103"/>
    </row>
    <row r="272" spans="1:11" s="325" customFormat="1" ht="30.75" customHeight="1">
      <c r="A272" s="423" t="s">
        <v>206</v>
      </c>
      <c r="B272" s="1105" t="s">
        <v>1098</v>
      </c>
      <c r="C272" s="1105"/>
      <c r="D272" s="1105"/>
      <c r="E272" s="1105"/>
      <c r="F272" s="1105"/>
      <c r="G272" s="1105"/>
      <c r="H272" s="1105"/>
      <c r="I272" s="1105"/>
      <c r="J272" s="1105"/>
      <c r="K272" s="1105"/>
    </row>
    <row r="273" spans="1:11" ht="18.75" customHeight="1">
      <c r="A273" s="423" t="s">
        <v>208</v>
      </c>
      <c r="B273" s="1104" t="s">
        <v>865</v>
      </c>
      <c r="C273" s="1104"/>
      <c r="D273" s="1104"/>
      <c r="E273" s="1104"/>
      <c r="F273" s="1104"/>
      <c r="G273" s="1104"/>
      <c r="H273" s="1104"/>
      <c r="I273" s="1104"/>
      <c r="J273" s="1104"/>
      <c r="K273" s="1104"/>
    </row>
    <row r="274" spans="1:11" s="14" customFormat="1" ht="28.5" customHeight="1">
      <c r="A274" s="423" t="s">
        <v>209</v>
      </c>
      <c r="B274" s="1106" t="s">
        <v>864</v>
      </c>
      <c r="C274" s="1106"/>
      <c r="D274" s="1106"/>
      <c r="E274" s="1106"/>
      <c r="F274" s="1106"/>
      <c r="G274" s="1106"/>
      <c r="H274" s="1106"/>
      <c r="I274" s="1106"/>
      <c r="J274" s="1106"/>
      <c r="K274" s="1106"/>
    </row>
    <row r="275" spans="1:11" s="14" customFormat="1">
      <c r="A275" s="423" t="s">
        <v>314</v>
      </c>
      <c r="B275" s="455" t="s">
        <v>503</v>
      </c>
      <c r="C275" s="424"/>
      <c r="D275" s="424"/>
      <c r="E275" s="424"/>
      <c r="F275" s="424"/>
      <c r="G275" s="424"/>
      <c r="H275" s="425"/>
      <c r="I275" s="426"/>
      <c r="J275" s="427"/>
      <c r="K275" s="428"/>
    </row>
    <row r="276" spans="1:11" s="14" customFormat="1">
      <c r="A276" s="429" t="s">
        <v>399</v>
      </c>
      <c r="B276" s="429" t="s">
        <v>492</v>
      </c>
      <c r="C276" s="429"/>
      <c r="D276" s="429"/>
      <c r="E276" s="429"/>
      <c r="F276" s="429"/>
      <c r="G276" s="429"/>
      <c r="H276" s="429"/>
      <c r="I276" s="429"/>
      <c r="J276" s="429"/>
      <c r="K276" s="429"/>
    </row>
    <row r="277" spans="1:11">
      <c r="A277" s="15" t="s">
        <v>479</v>
      </c>
      <c r="B277" s="15" t="s">
        <v>505</v>
      </c>
    </row>
    <row r="278" spans="1:11" ht="14.4">
      <c r="A278" s="627" t="s">
        <v>593</v>
      </c>
      <c r="B278" s="325" t="s">
        <v>595</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6:K256"/>
    <mergeCell ref="A245:K245"/>
    <mergeCell ref="B250:C250"/>
    <mergeCell ref="B251:K251"/>
    <mergeCell ref="B252:K252"/>
    <mergeCell ref="B253:K253"/>
    <mergeCell ref="B254:K254"/>
    <mergeCell ref="B255:K255"/>
    <mergeCell ref="B274:K274"/>
    <mergeCell ref="B266:K266"/>
    <mergeCell ref="B267:K267"/>
    <mergeCell ref="B268:K268"/>
    <mergeCell ref="B269:K269"/>
    <mergeCell ref="B270:K270"/>
    <mergeCell ref="A257:A261"/>
    <mergeCell ref="B271:K271"/>
    <mergeCell ref="B273:K273"/>
    <mergeCell ref="B257:K257"/>
    <mergeCell ref="B262:K262"/>
    <mergeCell ref="B263:K263"/>
    <mergeCell ref="B264:K264"/>
    <mergeCell ref="B265:K265"/>
    <mergeCell ref="B272:K272"/>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8" max="10" man="1"/>
  </rowBreak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9"/>
  <sheetViews>
    <sheetView view="pageBreakPreview" topLeftCell="A82" zoomScale="115" zoomScaleNormal="65" zoomScaleSheetLayoutView="115" workbookViewId="0">
      <selection activeCell="I87" sqref="I87"/>
    </sheetView>
  </sheetViews>
  <sheetFormatPr defaultColWidth="8.90625" defaultRowHeight="13.2"/>
  <cols>
    <col min="1" max="1" width="6" style="25" customWidth="1"/>
    <col min="2" max="2" width="1.453125" style="25" customWidth="1"/>
    <col min="3" max="3" width="36" style="25" customWidth="1"/>
    <col min="4" max="4" width="13.81640625" style="25" customWidth="1"/>
    <col min="5" max="5" width="17.54296875" style="25" customWidth="1"/>
    <col min="6" max="6" width="13.08984375" style="25" customWidth="1"/>
    <col min="7" max="7" width="14.453125" style="25" customWidth="1"/>
    <col min="8" max="8" width="16.36328125" style="25" customWidth="1"/>
    <col min="9" max="9" width="13.81640625" style="25" customWidth="1"/>
    <col min="10" max="10" width="14.453125" style="25" customWidth="1"/>
    <col min="11" max="11" width="13.54296875" style="25" customWidth="1"/>
    <col min="12" max="13" width="15.81640625" style="25" customWidth="1"/>
    <col min="14" max="15" width="14.453125" style="25" customWidth="1"/>
    <col min="16" max="16" width="12.81640625" style="25" customWidth="1"/>
    <col min="17" max="17" width="13.90625" style="25" customWidth="1"/>
    <col min="18" max="18" width="9.36328125" style="25" customWidth="1"/>
    <col min="19" max="19" width="13" style="25" customWidth="1"/>
    <col min="20" max="20" width="11.36328125" style="53" bestFit="1" customWidth="1"/>
    <col min="21" max="16384" width="8.90625" style="25"/>
  </cols>
  <sheetData>
    <row r="1" spans="1:21">
      <c r="Q1" s="57"/>
    </row>
    <row r="2" spans="1:21">
      <c r="Q2" s="57"/>
    </row>
    <row r="4" spans="1:21">
      <c r="Q4" s="57"/>
    </row>
    <row r="5" spans="1:21">
      <c r="D5" s="19"/>
      <c r="E5" s="19"/>
      <c r="F5" s="19"/>
      <c r="G5" s="20" t="s">
        <v>281</v>
      </c>
      <c r="H5" s="19"/>
      <c r="I5" s="19"/>
      <c r="J5" s="19"/>
      <c r="K5" s="24"/>
      <c r="L5" s="58"/>
      <c r="M5" s="59"/>
      <c r="N5" s="59"/>
      <c r="O5" s="59"/>
      <c r="P5" s="59"/>
      <c r="Q5" s="59"/>
      <c r="R5" s="26"/>
      <c r="S5" s="26" t="s">
        <v>947</v>
      </c>
      <c r="T5" s="749"/>
      <c r="U5" s="26"/>
    </row>
    <row r="6" spans="1:21">
      <c r="D6" s="19"/>
      <c r="E6" s="22" t="s">
        <v>10</v>
      </c>
      <c r="F6" s="22"/>
      <c r="G6" s="20" t="s">
        <v>280</v>
      </c>
      <c r="H6" s="22"/>
      <c r="I6" s="22"/>
      <c r="J6" s="22"/>
      <c r="K6" s="24"/>
      <c r="P6" s="26"/>
      <c r="Q6" s="24"/>
      <c r="R6" s="26"/>
      <c r="S6" s="61"/>
      <c r="T6" s="749"/>
      <c r="U6" s="26"/>
    </row>
    <row r="7" spans="1:21">
      <c r="C7" s="26"/>
      <c r="D7" s="26"/>
      <c r="E7" s="26"/>
      <c r="F7" s="26"/>
      <c r="G7" s="294" t="str">
        <f>+'Attachment H'!D5</f>
        <v>Gridliance High Plains LLC</v>
      </c>
      <c r="H7" s="26"/>
      <c r="I7" s="26"/>
      <c r="J7" s="26"/>
      <c r="K7" s="26"/>
      <c r="P7" s="26"/>
      <c r="Q7" s="26"/>
      <c r="R7" s="26"/>
      <c r="S7" s="60"/>
      <c r="T7" s="749"/>
      <c r="U7" s="26"/>
    </row>
    <row r="8" spans="1:21">
      <c r="A8" s="20"/>
      <c r="C8" s="26"/>
      <c r="D8" s="26"/>
      <c r="E8" s="26"/>
      <c r="F8" s="26"/>
      <c r="H8" s="26"/>
      <c r="I8" s="26"/>
      <c r="J8" s="26"/>
      <c r="K8" s="26"/>
      <c r="L8" s="26"/>
      <c r="M8" s="26"/>
      <c r="N8" s="26"/>
      <c r="O8" s="26"/>
      <c r="P8" s="26"/>
      <c r="Q8" s="26"/>
      <c r="R8" s="26"/>
      <c r="S8" s="60"/>
      <c r="T8" s="749"/>
      <c r="U8" s="26"/>
    </row>
    <row r="9" spans="1:21">
      <c r="A9" s="20"/>
      <c r="C9" s="26"/>
      <c r="D9" s="26"/>
      <c r="E9" s="26"/>
      <c r="F9" s="26"/>
      <c r="G9" s="62"/>
      <c r="H9" s="26"/>
      <c r="I9" s="26"/>
      <c r="J9" s="26"/>
      <c r="K9" s="26"/>
      <c r="L9" s="26"/>
      <c r="M9" s="26"/>
      <c r="N9" s="26"/>
      <c r="O9" s="26"/>
      <c r="P9" s="26"/>
      <c r="Q9" s="26"/>
      <c r="R9" s="26"/>
      <c r="S9" s="60"/>
      <c r="T9" s="749"/>
      <c r="U9" s="26"/>
    </row>
    <row r="10" spans="1:21">
      <c r="A10" s="20"/>
      <c r="C10" s="26" t="s">
        <v>509</v>
      </c>
      <c r="D10" s="26"/>
      <c r="E10" s="26"/>
      <c r="F10" s="26"/>
      <c r="G10" s="62"/>
      <c r="H10" s="26"/>
      <c r="I10" s="26"/>
      <c r="J10" s="26"/>
      <c r="K10" s="26"/>
      <c r="L10" s="26"/>
      <c r="M10" s="26"/>
      <c r="N10" s="26"/>
      <c r="O10" s="26"/>
      <c r="P10" s="26"/>
      <c r="Q10" s="26"/>
      <c r="R10" s="26"/>
      <c r="S10" s="60"/>
      <c r="T10" s="749"/>
      <c r="U10" s="26"/>
    </row>
    <row r="11" spans="1:21">
      <c r="A11" s="20"/>
      <c r="C11" s="26"/>
      <c r="D11" s="26"/>
      <c r="E11" s="26"/>
      <c r="F11" s="26"/>
      <c r="G11" s="62"/>
      <c r="L11" s="26"/>
      <c r="M11" s="26"/>
      <c r="N11" s="26"/>
      <c r="O11" s="26"/>
      <c r="P11" s="26"/>
      <c r="Q11" s="26"/>
      <c r="R11" s="26"/>
      <c r="S11" s="26"/>
      <c r="T11" s="546"/>
      <c r="U11" s="26"/>
    </row>
    <row r="12" spans="1:21">
      <c r="A12" s="20"/>
      <c r="C12" s="26"/>
      <c r="D12" s="26"/>
      <c r="E12" s="26"/>
      <c r="F12" s="26"/>
      <c r="G12" s="26"/>
      <c r="L12" s="63"/>
      <c r="M12" s="63"/>
      <c r="N12" s="63"/>
      <c r="O12" s="63"/>
      <c r="P12" s="26"/>
      <c r="Q12" s="26"/>
      <c r="R12" s="26"/>
      <c r="S12" s="26"/>
      <c r="T12" s="546"/>
      <c r="U12" s="26"/>
    </row>
    <row r="13" spans="1:21">
      <c r="C13" s="64" t="s">
        <v>11</v>
      </c>
      <c r="D13" s="64"/>
      <c r="E13" s="64" t="s">
        <v>12</v>
      </c>
      <c r="F13" s="64"/>
      <c r="I13" s="64" t="s">
        <v>13</v>
      </c>
      <c r="L13" s="65" t="s">
        <v>14</v>
      </c>
      <c r="M13" s="65"/>
      <c r="N13" s="65"/>
      <c r="O13" s="65"/>
      <c r="P13" s="22"/>
      <c r="Q13" s="65"/>
      <c r="R13" s="22"/>
      <c r="S13" s="65"/>
      <c r="U13" s="66"/>
    </row>
    <row r="14" spans="1:21">
      <c r="C14" s="66"/>
      <c r="D14" s="66"/>
      <c r="E14" s="67" t="s">
        <v>507</v>
      </c>
      <c r="F14" s="67"/>
      <c r="I14" s="22"/>
      <c r="P14" s="22"/>
      <c r="R14" s="22"/>
      <c r="S14" s="64"/>
      <c r="T14" s="121"/>
      <c r="U14" s="66"/>
    </row>
    <row r="15" spans="1:21">
      <c r="A15" s="20" t="s">
        <v>16</v>
      </c>
      <c r="C15" s="66"/>
      <c r="D15" s="66"/>
      <c r="E15" s="68" t="s">
        <v>26</v>
      </c>
      <c r="F15" s="68"/>
      <c r="I15" s="69" t="s">
        <v>25</v>
      </c>
      <c r="L15" s="69" t="s">
        <v>22</v>
      </c>
      <c r="M15" s="69"/>
      <c r="N15" s="69"/>
      <c r="O15" s="69"/>
      <c r="P15" s="22"/>
      <c r="R15" s="26"/>
      <c r="S15" s="70"/>
      <c r="T15" s="121"/>
      <c r="U15" s="66"/>
    </row>
    <row r="16" spans="1:21">
      <c r="A16" s="20" t="s">
        <v>18</v>
      </c>
      <c r="C16" s="71"/>
      <c r="D16" s="71"/>
      <c r="E16" s="22"/>
      <c r="F16" s="22"/>
      <c r="I16" s="22"/>
      <c r="L16" s="22"/>
      <c r="M16" s="22"/>
      <c r="N16" s="22"/>
      <c r="O16" s="22"/>
      <c r="P16" s="22"/>
      <c r="Q16" s="22"/>
      <c r="R16" s="26"/>
      <c r="S16" s="22"/>
      <c r="U16" s="66"/>
    </row>
    <row r="17" spans="1:21">
      <c r="A17" s="72"/>
      <c r="C17" s="66"/>
      <c r="D17" s="66"/>
      <c r="E17" s="22"/>
      <c r="F17" s="22"/>
      <c r="I17" s="22"/>
      <c r="L17" s="22"/>
      <c r="M17" s="22"/>
      <c r="N17" s="22"/>
      <c r="O17" s="22"/>
      <c r="P17" s="22"/>
      <c r="Q17" s="22"/>
      <c r="R17" s="26"/>
      <c r="S17" s="22"/>
      <c r="U17" s="66"/>
    </row>
    <row r="18" spans="1:21">
      <c r="A18" s="23">
        <v>1</v>
      </c>
      <c r="C18" s="66" t="s">
        <v>210</v>
      </c>
      <c r="D18" s="66"/>
      <c r="E18" s="73" t="s">
        <v>3</v>
      </c>
      <c r="F18" s="23"/>
      <c r="I18" s="53">
        <f>+'Attachment H'!I64+'Attachment H'!I93</f>
        <v>101270286.86388241</v>
      </c>
      <c r="P18" s="22"/>
      <c r="Q18" s="22"/>
      <c r="R18" s="26"/>
      <c r="S18" s="22"/>
      <c r="U18" s="66"/>
    </row>
    <row r="19" spans="1:21">
      <c r="A19" s="23">
        <v>2</v>
      </c>
      <c r="C19" s="66" t="s">
        <v>211</v>
      </c>
      <c r="D19" s="66"/>
      <c r="E19" s="73" t="s">
        <v>720</v>
      </c>
      <c r="F19" s="23"/>
      <c r="I19" s="53">
        <f>+'Attachment H'!I80+'Attachment H'!I93+'Attachment H'!I95</f>
        <v>82987805.02376394</v>
      </c>
      <c r="P19" s="22"/>
      <c r="Q19" s="22"/>
      <c r="R19" s="26"/>
      <c r="S19" s="22"/>
      <c r="U19" s="66"/>
    </row>
    <row r="20" spans="1:21">
      <c r="A20" s="23"/>
      <c r="E20" s="73"/>
      <c r="F20" s="23"/>
      <c r="P20" s="22"/>
      <c r="Q20" s="22"/>
      <c r="R20" s="26"/>
      <c r="S20" s="22"/>
      <c r="U20" s="66"/>
    </row>
    <row r="21" spans="1:21">
      <c r="A21" s="23"/>
      <c r="C21" s="66" t="s">
        <v>212</v>
      </c>
      <c r="D21" s="66"/>
      <c r="E21" s="73"/>
      <c r="F21" s="23"/>
      <c r="I21" s="22"/>
      <c r="L21" s="22"/>
      <c r="M21" s="22"/>
      <c r="N21" s="22"/>
      <c r="O21" s="22"/>
      <c r="P21" s="22"/>
      <c r="Q21" s="22"/>
      <c r="R21" s="22"/>
      <c r="S21" s="22"/>
      <c r="U21" s="66"/>
    </row>
    <row r="22" spans="1:21">
      <c r="A22" s="23">
        <v>3</v>
      </c>
      <c r="C22" s="66" t="s">
        <v>213</v>
      </c>
      <c r="D22" s="66"/>
      <c r="E22" s="73" t="s">
        <v>4</v>
      </c>
      <c r="F22" s="23"/>
      <c r="I22" s="74">
        <f>+'Attachment H'!I134</f>
        <v>8087584.4675990045</v>
      </c>
      <c r="P22" s="22"/>
      <c r="Q22" s="22"/>
      <c r="R22" s="22"/>
      <c r="S22" s="22"/>
      <c r="U22" s="66"/>
    </row>
    <row r="23" spans="1:21">
      <c r="A23" s="23">
        <v>4</v>
      </c>
      <c r="C23" s="66" t="s">
        <v>214</v>
      </c>
      <c r="D23" s="66"/>
      <c r="E23" s="73" t="s">
        <v>215</v>
      </c>
      <c r="F23" s="23"/>
      <c r="I23" s="750">
        <f>IF(I18=0,0,I22/I18)</f>
        <v>7.9861376105999804E-2</v>
      </c>
      <c r="L23" s="751">
        <f>I23</f>
        <v>7.9861376105999804E-2</v>
      </c>
      <c r="M23" s="76"/>
      <c r="N23" s="76"/>
      <c r="O23" s="76"/>
      <c r="P23" s="22"/>
      <c r="Q23" s="77"/>
      <c r="R23" s="78"/>
      <c r="S23" s="79"/>
      <c r="U23" s="66"/>
    </row>
    <row r="24" spans="1:21">
      <c r="A24" s="23"/>
      <c r="C24" s="66"/>
      <c r="D24" s="66"/>
      <c r="E24" s="73"/>
      <c r="F24" s="23"/>
      <c r="I24" s="80"/>
      <c r="L24" s="76"/>
      <c r="M24" s="76"/>
      <c r="N24" s="76"/>
      <c r="O24" s="76"/>
      <c r="P24" s="22"/>
      <c r="Q24" s="77"/>
      <c r="R24" s="78"/>
      <c r="S24" s="79"/>
      <c r="U24" s="66"/>
    </row>
    <row r="25" spans="1:21">
      <c r="A25" s="65"/>
      <c r="C25" s="66" t="s">
        <v>716</v>
      </c>
      <c r="D25" s="66"/>
      <c r="E25" s="293"/>
      <c r="F25" s="56"/>
      <c r="I25" s="22"/>
      <c r="L25" s="22"/>
      <c r="M25" s="22"/>
      <c r="N25" s="22"/>
      <c r="O25" s="22"/>
      <c r="P25" s="22"/>
      <c r="Q25" s="77"/>
      <c r="R25" s="78"/>
      <c r="S25" s="79"/>
      <c r="U25" s="66"/>
    </row>
    <row r="26" spans="1:21">
      <c r="A26" s="65" t="s">
        <v>216</v>
      </c>
      <c r="C26" s="66" t="s">
        <v>718</v>
      </c>
      <c r="D26" s="66"/>
      <c r="E26" s="73" t="s">
        <v>5</v>
      </c>
      <c r="F26" s="23"/>
      <c r="I26" s="74">
        <f>+'Attachment H'!I138+'Attachment H'!I139</f>
        <v>0</v>
      </c>
      <c r="P26" s="22"/>
      <c r="Q26" s="77"/>
      <c r="R26" s="78"/>
      <c r="S26" s="79"/>
      <c r="U26" s="66"/>
    </row>
    <row r="27" spans="1:21">
      <c r="A27" s="65" t="s">
        <v>217</v>
      </c>
      <c r="C27" s="66" t="s">
        <v>717</v>
      </c>
      <c r="D27" s="66"/>
      <c r="E27" s="73" t="s">
        <v>218</v>
      </c>
      <c r="F27" s="23"/>
      <c r="I27" s="54">
        <f>IF(I26=0,0,I26/I18)</f>
        <v>0</v>
      </c>
      <c r="J27" s="54"/>
      <c r="K27" s="54"/>
      <c r="L27" s="81">
        <f>I27</f>
        <v>0</v>
      </c>
      <c r="M27" s="76"/>
      <c r="N27" s="76"/>
      <c r="O27" s="76"/>
      <c r="P27" s="22"/>
      <c r="Q27" s="77"/>
      <c r="R27" s="78"/>
      <c r="S27" s="79"/>
      <c r="U27" s="66"/>
    </row>
    <row r="28" spans="1:21">
      <c r="A28" s="23"/>
      <c r="C28" s="66"/>
      <c r="D28" s="66"/>
      <c r="E28" s="73"/>
      <c r="F28" s="23"/>
      <c r="I28" s="54"/>
      <c r="J28" s="54"/>
      <c r="K28" s="54"/>
      <c r="L28" s="81"/>
      <c r="M28" s="76"/>
      <c r="N28" s="76"/>
      <c r="O28" s="76"/>
      <c r="P28" s="22"/>
      <c r="Q28" s="77"/>
      <c r="R28" s="78"/>
      <c r="S28" s="79"/>
      <c r="U28" s="66"/>
    </row>
    <row r="29" spans="1:21">
      <c r="A29" s="65"/>
      <c r="C29" s="66" t="s">
        <v>219</v>
      </c>
      <c r="D29" s="66"/>
      <c r="E29" s="293"/>
      <c r="F29" s="56"/>
      <c r="I29" s="54"/>
      <c r="J29" s="54"/>
      <c r="K29" s="54"/>
      <c r="L29" s="54"/>
      <c r="M29" s="22"/>
      <c r="N29" s="22"/>
      <c r="O29" s="22"/>
      <c r="P29" s="22"/>
      <c r="Q29" s="22"/>
      <c r="R29" s="22"/>
      <c r="S29" s="22"/>
      <c r="U29" s="66"/>
    </row>
    <row r="30" spans="1:21">
      <c r="A30" s="65" t="s">
        <v>220</v>
      </c>
      <c r="C30" s="66" t="s">
        <v>221</v>
      </c>
      <c r="D30" s="66"/>
      <c r="E30" s="73" t="s">
        <v>683</v>
      </c>
      <c r="F30" s="23"/>
      <c r="I30" s="54">
        <f>+'Attachment H'!I152</f>
        <v>1064154.001370634</v>
      </c>
      <c r="J30" s="54"/>
      <c r="K30" s="54"/>
      <c r="L30" s="54"/>
      <c r="P30" s="22"/>
      <c r="Q30" s="70"/>
      <c r="R30" s="22"/>
      <c r="S30" s="23"/>
      <c r="T30" s="121"/>
      <c r="U30" s="66"/>
    </row>
    <row r="31" spans="1:21">
      <c r="A31" s="65" t="s">
        <v>222</v>
      </c>
      <c r="C31" s="66" t="s">
        <v>223</v>
      </c>
      <c r="D31" s="66"/>
      <c r="E31" s="73" t="s">
        <v>224</v>
      </c>
      <c r="F31" s="23"/>
      <c r="I31" s="54">
        <f>IF(I30=0,0,I30/I18)</f>
        <v>1.0508057539137472E-2</v>
      </c>
      <c r="J31" s="54"/>
      <c r="K31" s="54"/>
      <c r="L31" s="81">
        <f>I31</f>
        <v>1.0508057539137472E-2</v>
      </c>
      <c r="M31" s="76"/>
      <c r="N31" s="76"/>
      <c r="O31" s="76"/>
      <c r="P31" s="22"/>
      <c r="Q31" s="77"/>
      <c r="R31" s="22"/>
      <c r="S31" s="79"/>
      <c r="T31" s="121"/>
      <c r="U31" s="66"/>
    </row>
    <row r="32" spans="1:21">
      <c r="A32" s="65"/>
      <c r="C32" s="66"/>
      <c r="D32" s="66"/>
      <c r="E32" s="73"/>
      <c r="F32" s="23"/>
      <c r="I32" s="22"/>
      <c r="L32" s="22"/>
      <c r="M32" s="22"/>
      <c r="N32" s="22"/>
      <c r="O32" s="22"/>
      <c r="P32" s="22"/>
      <c r="U32" s="66"/>
    </row>
    <row r="33" spans="1:21">
      <c r="A33" s="65" t="s">
        <v>225</v>
      </c>
      <c r="C33" s="66" t="s">
        <v>272</v>
      </c>
      <c r="D33" s="66"/>
      <c r="E33" s="73" t="s">
        <v>6</v>
      </c>
      <c r="F33" s="23"/>
      <c r="I33" s="53">
        <f>-'Attachment H'!I19</f>
        <v>-207000.00000000009</v>
      </c>
      <c r="L33" s="22"/>
      <c r="M33" s="22"/>
      <c r="N33" s="22"/>
      <c r="O33" s="22"/>
      <c r="P33" s="22"/>
      <c r="U33" s="66"/>
    </row>
    <row r="34" spans="1:21">
      <c r="A34" s="65" t="s">
        <v>228</v>
      </c>
      <c r="C34" s="66" t="s">
        <v>673</v>
      </c>
      <c r="D34" s="66"/>
      <c r="E34" s="73" t="s">
        <v>266</v>
      </c>
      <c r="F34" s="23"/>
      <c r="I34" s="82">
        <f>IF(I33=0,0,I33/I18)</f>
        <v>-2.0440348932577747E-3</v>
      </c>
      <c r="L34" s="54">
        <f>+I34</f>
        <v>-2.0440348932577747E-3</v>
      </c>
      <c r="M34" s="22"/>
      <c r="N34" s="22"/>
      <c r="O34" s="22"/>
      <c r="P34" s="22"/>
      <c r="U34" s="66"/>
    </row>
    <row r="35" spans="1:21">
      <c r="A35" s="65"/>
      <c r="C35" s="66"/>
      <c r="D35" s="66"/>
      <c r="E35" s="73"/>
      <c r="F35" s="23"/>
      <c r="I35" s="22"/>
      <c r="L35" s="22"/>
      <c r="M35" s="22"/>
      <c r="N35" s="22"/>
      <c r="O35" s="22"/>
      <c r="P35" s="22"/>
      <c r="U35" s="66"/>
    </row>
    <row r="36" spans="1:21">
      <c r="A36" s="83" t="s">
        <v>229</v>
      </c>
      <c r="B36" s="84"/>
      <c r="C36" s="71" t="s">
        <v>226</v>
      </c>
      <c r="D36" s="71"/>
      <c r="E36" s="85" t="s">
        <v>267</v>
      </c>
      <c r="F36" s="67"/>
      <c r="I36" s="78"/>
      <c r="L36" s="752">
        <f>L23+L27+L31+L34</f>
        <v>8.8325398751879503E-2</v>
      </c>
      <c r="M36" s="87"/>
      <c r="N36" s="87"/>
      <c r="O36" s="87"/>
      <c r="P36" s="22"/>
      <c r="U36" s="66"/>
    </row>
    <row r="37" spans="1:21">
      <c r="A37" s="65"/>
      <c r="C37" s="66"/>
      <c r="D37" s="66"/>
      <c r="E37" s="73"/>
      <c r="F37" s="23"/>
      <c r="I37" s="22"/>
      <c r="L37" s="22"/>
      <c r="M37" s="22"/>
      <c r="N37" s="22"/>
      <c r="O37" s="22"/>
      <c r="P37" s="22"/>
      <c r="Q37" s="22"/>
      <c r="R37" s="22"/>
      <c r="S37" s="88"/>
      <c r="U37" s="66"/>
    </row>
    <row r="38" spans="1:21">
      <c r="A38" s="65"/>
      <c r="B38" s="89"/>
      <c r="C38" s="22" t="s">
        <v>227</v>
      </c>
      <c r="D38" s="22"/>
      <c r="E38" s="73"/>
      <c r="F38" s="23"/>
      <c r="I38" s="22"/>
      <c r="L38" s="22"/>
      <c r="M38" s="22"/>
      <c r="N38" s="22"/>
      <c r="O38" s="22"/>
      <c r="P38" s="90"/>
      <c r="Q38" s="89"/>
      <c r="T38" s="121"/>
      <c r="U38" s="22" t="s">
        <v>10</v>
      </c>
    </row>
    <row r="39" spans="1:21">
      <c r="A39" s="65" t="s">
        <v>231</v>
      </c>
      <c r="B39" s="89"/>
      <c r="C39" s="22" t="s">
        <v>52</v>
      </c>
      <c r="D39" s="22"/>
      <c r="E39" s="73" t="s">
        <v>684</v>
      </c>
      <c r="F39" s="23"/>
      <c r="I39" s="53">
        <f>+'Attachment H'!I167</f>
        <v>1161948.0977288997</v>
      </c>
      <c r="L39" s="22"/>
      <c r="M39" s="22"/>
      <c r="N39" s="22"/>
      <c r="O39" s="22"/>
      <c r="P39" s="90"/>
      <c r="Q39" s="89"/>
      <c r="T39" s="121"/>
      <c r="U39" s="22"/>
    </row>
    <row r="40" spans="1:21">
      <c r="A40" s="65" t="s">
        <v>233</v>
      </c>
      <c r="B40" s="89"/>
      <c r="C40" s="22" t="s">
        <v>230</v>
      </c>
      <c r="D40" s="22"/>
      <c r="E40" s="73" t="s">
        <v>235</v>
      </c>
      <c r="F40" s="23"/>
      <c r="I40" s="54">
        <f>IF(I39=0,0,I39/I19)</f>
        <v>1.4001431865756305E-2</v>
      </c>
      <c r="L40" s="81">
        <f>I40</f>
        <v>1.4001431865756305E-2</v>
      </c>
      <c r="M40" s="76"/>
      <c r="N40" s="76"/>
      <c r="O40" s="76"/>
      <c r="P40" s="90"/>
      <c r="Q40" s="89"/>
      <c r="R40" s="22"/>
      <c r="S40" s="22"/>
      <c r="T40" s="121"/>
      <c r="U40" s="22"/>
    </row>
    <row r="41" spans="1:21">
      <c r="A41" s="65"/>
      <c r="C41" s="22"/>
      <c r="D41" s="22"/>
      <c r="E41" s="73"/>
      <c r="F41" s="23"/>
      <c r="I41" s="22"/>
      <c r="L41" s="22"/>
      <c r="M41" s="22"/>
      <c r="N41" s="22"/>
      <c r="O41" s="22"/>
      <c r="P41" s="22"/>
      <c r="R41" s="26"/>
      <c r="S41" s="22"/>
      <c r="T41" s="546"/>
      <c r="U41" s="66"/>
    </row>
    <row r="42" spans="1:21">
      <c r="A42" s="65"/>
      <c r="C42" s="66" t="s">
        <v>53</v>
      </c>
      <c r="D42" s="66"/>
      <c r="E42" s="91"/>
      <c r="F42" s="92"/>
      <c r="P42" s="22"/>
      <c r="R42" s="22"/>
      <c r="S42" s="22"/>
      <c r="U42" s="66"/>
    </row>
    <row r="43" spans="1:21">
      <c r="A43" s="65" t="s">
        <v>236</v>
      </c>
      <c r="C43" s="66" t="s">
        <v>232</v>
      </c>
      <c r="D43" s="66"/>
      <c r="E43" s="73" t="s">
        <v>685</v>
      </c>
      <c r="F43" s="23"/>
      <c r="I43" s="53">
        <f>+'Attachment H'!I170</f>
        <v>5954978.3973274436</v>
      </c>
      <c r="L43" s="22"/>
      <c r="M43" s="22"/>
      <c r="N43" s="22"/>
      <c r="O43" s="22"/>
      <c r="P43" s="22"/>
      <c r="R43" s="22"/>
      <c r="S43" s="22"/>
      <c r="U43" s="66"/>
    </row>
    <row r="44" spans="1:21">
      <c r="A44" s="65" t="s">
        <v>264</v>
      </c>
      <c r="B44" s="89"/>
      <c r="C44" s="22" t="s">
        <v>234</v>
      </c>
      <c r="D44" s="22"/>
      <c r="E44" s="73" t="s">
        <v>719</v>
      </c>
      <c r="F44" s="23"/>
      <c r="I44" s="54">
        <f>IF(I43=0,0,I43/I19)</f>
        <v>7.1757270789632385E-2</v>
      </c>
      <c r="L44" s="81">
        <f>I44</f>
        <v>7.1757270789632385E-2</v>
      </c>
      <c r="M44" s="76"/>
      <c r="N44" s="76"/>
      <c r="O44" s="76"/>
      <c r="P44" s="22"/>
      <c r="S44" s="93"/>
      <c r="T44" s="121"/>
      <c r="U44" s="22"/>
    </row>
    <row r="45" spans="1:21">
      <c r="A45" s="65"/>
      <c r="C45" s="66"/>
      <c r="D45" s="66"/>
      <c r="E45" s="73"/>
      <c r="F45" s="23"/>
      <c r="I45" s="22"/>
      <c r="L45" s="22"/>
      <c r="M45" s="22"/>
      <c r="N45" s="22"/>
      <c r="O45" s="22"/>
      <c r="P45" s="22"/>
      <c r="Q45" s="92"/>
      <c r="R45" s="22"/>
      <c r="S45" s="22"/>
      <c r="U45" s="66"/>
    </row>
    <row r="46" spans="1:21">
      <c r="A46" s="83" t="s">
        <v>265</v>
      </c>
      <c r="B46" s="84"/>
      <c r="C46" s="71" t="s">
        <v>237</v>
      </c>
      <c r="D46" s="71"/>
      <c r="E46" s="85" t="s">
        <v>268</v>
      </c>
      <c r="F46" s="67"/>
      <c r="I46" s="53">
        <f>+I44+I40</f>
        <v>8.5758702655388694E-2</v>
      </c>
      <c r="L46" s="86">
        <f>L40+L44</f>
        <v>8.5758702655388694E-2</v>
      </c>
      <c r="M46" s="87"/>
      <c r="N46" s="87"/>
      <c r="O46" s="87"/>
      <c r="P46" s="22"/>
      <c r="Q46" s="92"/>
      <c r="R46" s="22"/>
      <c r="S46" s="22"/>
      <c r="U46" s="66"/>
    </row>
    <row r="47" spans="1:21">
      <c r="P47" s="94"/>
      <c r="Q47" s="94"/>
      <c r="R47" s="22"/>
      <c r="S47" s="22"/>
      <c r="U47" s="66"/>
    </row>
    <row r="48" spans="1:21">
      <c r="P48" s="94"/>
      <c r="Q48" s="94"/>
      <c r="R48" s="22"/>
      <c r="S48" s="22"/>
      <c r="U48" s="66"/>
    </row>
    <row r="49" spans="1:21">
      <c r="A49" s="95"/>
      <c r="C49" s="65"/>
      <c r="D49" s="65"/>
      <c r="E49" s="56"/>
      <c r="F49" s="56"/>
      <c r="G49" s="22"/>
      <c r="J49" s="80"/>
      <c r="P49" s="22"/>
      <c r="Q49" s="77"/>
      <c r="R49" s="96"/>
      <c r="S49" s="22"/>
      <c r="T49" s="121"/>
      <c r="U49" s="22"/>
    </row>
    <row r="50" spans="1:21">
      <c r="A50" s="20"/>
      <c r="G50" s="22"/>
      <c r="P50" s="22"/>
      <c r="Q50" s="22"/>
      <c r="R50" s="22"/>
      <c r="S50" s="22"/>
      <c r="T50" s="121"/>
      <c r="U50" s="22" t="s">
        <v>10</v>
      </c>
    </row>
    <row r="51" spans="1:21">
      <c r="Q51" s="57"/>
    </row>
    <row r="52" spans="1:21">
      <c r="Q52" s="57"/>
    </row>
    <row r="54" spans="1:21">
      <c r="A54" s="20"/>
      <c r="G54" s="22"/>
      <c r="P54" s="22"/>
      <c r="Q54" s="57"/>
      <c r="R54" s="22"/>
      <c r="S54" s="26"/>
      <c r="U54" s="66"/>
    </row>
    <row r="55" spans="1:21">
      <c r="A55" s="20"/>
      <c r="C55" s="66"/>
      <c r="D55" s="66"/>
      <c r="G55" s="56" t="str">
        <f>+G5</f>
        <v>Attachment 1</v>
      </c>
      <c r="H55" s="56"/>
      <c r="P55" s="22"/>
      <c r="Q55" s="57"/>
      <c r="R55" s="22"/>
      <c r="S55" s="25" t="s">
        <v>238</v>
      </c>
      <c r="U55" s="66"/>
    </row>
    <row r="56" spans="1:21">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c r="A58" s="20"/>
      <c r="H58" s="56"/>
      <c r="P58" s="22"/>
      <c r="Q58" s="22"/>
      <c r="R58" s="22"/>
      <c r="S58" s="26"/>
      <c r="U58" s="66"/>
    </row>
    <row r="59" spans="1:21">
      <c r="A59" s="20"/>
      <c r="E59" s="66"/>
      <c r="F59" s="66"/>
      <c r="G59" s="66"/>
      <c r="H59" s="66"/>
      <c r="I59" s="66"/>
      <c r="J59" s="66"/>
      <c r="K59" s="66"/>
      <c r="L59" s="66"/>
      <c r="M59" s="66"/>
      <c r="N59" s="66"/>
      <c r="O59" s="66"/>
      <c r="P59" s="66"/>
      <c r="Q59" s="66"/>
      <c r="R59" s="22"/>
      <c r="S59" s="26"/>
      <c r="U59" s="66"/>
    </row>
    <row r="60" spans="1:21">
      <c r="A60" s="20"/>
      <c r="E60" s="71"/>
      <c r="F60" s="71"/>
      <c r="H60" s="26"/>
      <c r="I60" s="26"/>
      <c r="J60" s="26"/>
      <c r="K60" s="26"/>
      <c r="L60" s="26"/>
      <c r="M60" s="26"/>
      <c r="N60" s="26"/>
      <c r="O60" s="26"/>
      <c r="P60" s="22"/>
      <c r="Q60" s="22"/>
      <c r="R60" s="22"/>
      <c r="S60" s="26"/>
      <c r="U60" s="66"/>
    </row>
    <row r="61" spans="1:21">
      <c r="A61" s="20"/>
      <c r="E61" s="71"/>
      <c r="F61" s="71"/>
      <c r="H61" s="26"/>
      <c r="I61" s="26"/>
      <c r="J61" s="26"/>
      <c r="K61" s="26"/>
      <c r="L61" s="26"/>
      <c r="M61" s="26"/>
      <c r="N61" s="26"/>
      <c r="O61" s="26"/>
      <c r="P61" s="22"/>
      <c r="Q61" s="22"/>
      <c r="R61" s="22"/>
      <c r="S61" s="26"/>
      <c r="U61" s="66"/>
    </row>
    <row r="62" spans="1:21">
      <c r="A62" s="20"/>
      <c r="C62" s="97">
        <v>-1</v>
      </c>
      <c r="D62" s="97">
        <v>-2</v>
      </c>
      <c r="E62" s="97">
        <v>-3</v>
      </c>
      <c r="F62" s="97">
        <v>-4</v>
      </c>
      <c r="G62" s="97">
        <v>-5</v>
      </c>
      <c r="H62" s="97">
        <v>-6</v>
      </c>
      <c r="I62" s="97">
        <v>-7</v>
      </c>
      <c r="J62" s="97">
        <v>-8</v>
      </c>
      <c r="K62" s="97">
        <v>-9</v>
      </c>
      <c r="L62" s="97">
        <v>-10</v>
      </c>
      <c r="M62" s="97">
        <v>-11</v>
      </c>
      <c r="N62" s="97">
        <v>-12</v>
      </c>
      <c r="O62" s="97" t="s">
        <v>582</v>
      </c>
      <c r="P62" s="97">
        <v>-13</v>
      </c>
      <c r="Q62" s="291" t="s">
        <v>456</v>
      </c>
      <c r="R62" s="291" t="s">
        <v>457</v>
      </c>
      <c r="S62" s="291" t="s">
        <v>496</v>
      </c>
      <c r="U62" s="66"/>
    </row>
    <row r="63" spans="1:21" ht="53.25" customHeight="1">
      <c r="A63" s="98" t="s">
        <v>239</v>
      </c>
      <c r="B63" s="99"/>
      <c r="C63" s="99" t="s">
        <v>785</v>
      </c>
      <c r="D63" s="100" t="s">
        <v>8</v>
      </c>
      <c r="E63" s="101" t="s">
        <v>240</v>
      </c>
      <c r="F63" s="101" t="s">
        <v>226</v>
      </c>
      <c r="G63" s="102" t="s">
        <v>241</v>
      </c>
      <c r="H63" s="101" t="s">
        <v>242</v>
      </c>
      <c r="I63" s="101" t="s">
        <v>237</v>
      </c>
      <c r="J63" s="102" t="s">
        <v>243</v>
      </c>
      <c r="K63" s="101" t="s">
        <v>269</v>
      </c>
      <c r="L63" s="103" t="s">
        <v>244</v>
      </c>
      <c r="M63" s="103" t="s">
        <v>271</v>
      </c>
      <c r="N63" s="103" t="s">
        <v>270</v>
      </c>
      <c r="O63" s="103" t="s">
        <v>580</v>
      </c>
      <c r="P63" s="103" t="s">
        <v>497</v>
      </c>
      <c r="Q63" s="103" t="s">
        <v>279</v>
      </c>
      <c r="R63" s="103" t="s">
        <v>245</v>
      </c>
      <c r="S63" s="103" t="s">
        <v>726</v>
      </c>
      <c r="U63" s="66"/>
    </row>
    <row r="64" spans="1:21" ht="46.5" customHeight="1">
      <c r="A64" s="104"/>
      <c r="B64" s="105"/>
      <c r="C64" s="105"/>
      <c r="D64" s="105"/>
      <c r="E64" s="106" t="s">
        <v>179</v>
      </c>
      <c r="F64" s="106" t="s">
        <v>472</v>
      </c>
      <c r="G64" s="107" t="s">
        <v>246</v>
      </c>
      <c r="H64" s="106" t="s">
        <v>578</v>
      </c>
      <c r="I64" s="106" t="s">
        <v>473</v>
      </c>
      <c r="J64" s="107" t="s">
        <v>247</v>
      </c>
      <c r="K64" s="106" t="s">
        <v>579</v>
      </c>
      <c r="L64" s="107" t="s">
        <v>248</v>
      </c>
      <c r="M64" s="106" t="s">
        <v>566</v>
      </c>
      <c r="N64" s="512" t="s">
        <v>725</v>
      </c>
      <c r="O64" s="108" t="s">
        <v>581</v>
      </c>
      <c r="P64" s="378" t="s">
        <v>500</v>
      </c>
      <c r="Q64" s="108" t="s">
        <v>498</v>
      </c>
      <c r="R64" s="109" t="s">
        <v>249</v>
      </c>
      <c r="S64" s="108" t="s">
        <v>499</v>
      </c>
      <c r="U64" s="66"/>
    </row>
    <row r="65" spans="1:21">
      <c r="A65" s="110"/>
      <c r="B65" s="26"/>
      <c r="C65" s="1094" t="s">
        <v>1113</v>
      </c>
      <c r="D65" s="26"/>
      <c r="E65" s="26"/>
      <c r="F65" s="26"/>
      <c r="G65" s="111"/>
      <c r="H65" s="26"/>
      <c r="I65" s="26"/>
      <c r="J65" s="111"/>
      <c r="K65" s="26"/>
      <c r="L65" s="111"/>
      <c r="M65" s="509"/>
      <c r="N65" s="111"/>
      <c r="O65" s="111"/>
      <c r="P65" s="26"/>
      <c r="Q65" s="377"/>
      <c r="R65" s="22"/>
      <c r="S65" s="112"/>
      <c r="U65" s="66"/>
    </row>
    <row r="66" spans="1:21">
      <c r="A66" s="994" t="s">
        <v>645</v>
      </c>
      <c r="B66" s="113"/>
      <c r="C66" s="985" t="s">
        <v>1101</v>
      </c>
      <c r="D66" s="115"/>
      <c r="E66" s="986">
        <v>11437862.55527338</v>
      </c>
      <c r="F66" s="750">
        <f t="shared" ref="F66:F84" si="0">$L$36</f>
        <v>8.8325398751879503E-2</v>
      </c>
      <c r="G66" s="117">
        <f t="shared" ref="G66:G84" si="1">E66*F66</f>
        <v>1010253.7710637127</v>
      </c>
      <c r="H66" s="986">
        <v>8669773.586786177</v>
      </c>
      <c r="I66" s="750">
        <f>$L$46</f>
        <v>8.5758702655388694E-2</v>
      </c>
      <c r="J66" s="117">
        <f>H66*I66</f>
        <v>743508.53511873842</v>
      </c>
      <c r="K66" s="993">
        <v>249345.74743926246</v>
      </c>
      <c r="L66" s="117">
        <f>G66+J66+K66</f>
        <v>2003108.0536217135</v>
      </c>
      <c r="M66" s="993">
        <v>0</v>
      </c>
      <c r="N66" s="513">
        <f>+'2-Incentive ROE'!K$40*'1-Project Rev Req'!M66/100</f>
        <v>0</v>
      </c>
      <c r="O66" s="513">
        <f>+L66+N66</f>
        <v>2003108.0536217135</v>
      </c>
      <c r="P66" s="993">
        <v>0</v>
      </c>
      <c r="Q66" s="452">
        <f t="shared" ref="Q66:Q84" si="2">+L66+N66-P66</f>
        <v>2003108.0536217135</v>
      </c>
      <c r="R66" s="991">
        <f>'3-Project True-up'!$K$20</f>
        <v>512730.77648150973</v>
      </c>
      <c r="S66" s="452">
        <f>+Q66+R66</f>
        <v>2515838.8301032232</v>
      </c>
    </row>
    <row r="67" spans="1:21">
      <c r="A67" s="994"/>
      <c r="B67" s="113"/>
      <c r="C67" s="985"/>
      <c r="D67" s="115"/>
      <c r="E67" s="116"/>
      <c r="F67" s="54">
        <f t="shared" si="0"/>
        <v>8.8325398751879503E-2</v>
      </c>
      <c r="G67" s="117">
        <f t="shared" si="1"/>
        <v>0</v>
      </c>
      <c r="H67" s="116"/>
      <c r="I67" s="54">
        <f t="shared" ref="I67:I84" si="3">$L$46</f>
        <v>8.5758702655388694E-2</v>
      </c>
      <c r="J67" s="117">
        <f t="shared" ref="J67:J84" si="4">H67*I67</f>
        <v>0</v>
      </c>
      <c r="K67" s="991"/>
      <c r="L67" s="117">
        <f t="shared" ref="L67:L84" si="5">G67+J67+K67</f>
        <v>0</v>
      </c>
      <c r="M67" s="991"/>
      <c r="N67" s="513">
        <f>+'2-Incentive ROE'!K$40*'1-Project Rev Req'!M67/100</f>
        <v>0</v>
      </c>
      <c r="O67" s="513">
        <f t="shared" ref="O67:O84" si="6">+L67+N67</f>
        <v>0</v>
      </c>
      <c r="P67" s="991"/>
      <c r="Q67" s="452">
        <f t="shared" si="2"/>
        <v>0</v>
      </c>
      <c r="R67" s="991"/>
      <c r="S67" s="452">
        <f>+Q67+R67</f>
        <v>0</v>
      </c>
    </row>
    <row r="68" spans="1:21" ht="24" customHeight="1">
      <c r="A68" s="994"/>
      <c r="B68" s="113"/>
      <c r="C68" s="987" t="s">
        <v>1102</v>
      </c>
      <c r="D68" s="115"/>
      <c r="E68" s="116"/>
      <c r="F68" s="54">
        <f t="shared" si="0"/>
        <v>8.8325398751879503E-2</v>
      </c>
      <c r="G68" s="117">
        <f t="shared" si="1"/>
        <v>0</v>
      </c>
      <c r="H68" s="116"/>
      <c r="I68" s="54">
        <f t="shared" si="3"/>
        <v>8.5758702655388694E-2</v>
      </c>
      <c r="J68" s="117">
        <f>H68*I68</f>
        <v>0</v>
      </c>
      <c r="K68" s="991"/>
      <c r="L68" s="117">
        <f>G68+J68+K68</f>
        <v>0</v>
      </c>
      <c r="M68" s="991"/>
      <c r="N68" s="513">
        <f>+'2-Incentive ROE'!K$40*'1-Project Rev Req'!M68/100</f>
        <v>0</v>
      </c>
      <c r="O68" s="513">
        <f t="shared" si="6"/>
        <v>0</v>
      </c>
      <c r="P68" s="991"/>
      <c r="Q68" s="452">
        <f t="shared" si="2"/>
        <v>0</v>
      </c>
      <c r="R68" s="991"/>
      <c r="S68" s="452">
        <f>+Q68+R68</f>
        <v>0</v>
      </c>
    </row>
    <row r="69" spans="1:21">
      <c r="A69" s="994" t="s">
        <v>646</v>
      </c>
      <c r="B69" s="113"/>
      <c r="C69" s="985" t="s">
        <v>1103</v>
      </c>
      <c r="D69" s="115"/>
      <c r="E69" s="116">
        <v>76236194.334851474</v>
      </c>
      <c r="F69" s="54">
        <f t="shared" si="0"/>
        <v>8.8325398751879503E-2</v>
      </c>
      <c r="G69" s="117">
        <f t="shared" si="1"/>
        <v>6733592.2639515335</v>
      </c>
      <c r="H69" s="116">
        <v>63740800.099402174</v>
      </c>
      <c r="I69" s="54">
        <f t="shared" si="3"/>
        <v>8.5758702655388694E-2</v>
      </c>
      <c r="J69" s="117">
        <f t="shared" si="4"/>
        <v>5466328.3227412011</v>
      </c>
      <c r="K69" s="993">
        <v>1662556.3828327078</v>
      </c>
      <c r="L69" s="117">
        <f t="shared" si="5"/>
        <v>13862476.969525443</v>
      </c>
      <c r="M69" s="993">
        <v>0</v>
      </c>
      <c r="N69" s="513">
        <f>+'2-Incentive ROE'!K$40*'1-Project Rev Req'!M69/100</f>
        <v>0</v>
      </c>
      <c r="O69" s="513">
        <f t="shared" si="6"/>
        <v>13862476.969525443</v>
      </c>
      <c r="P69" s="993">
        <v>0</v>
      </c>
      <c r="Q69" s="452">
        <f t="shared" si="2"/>
        <v>13862476.969525443</v>
      </c>
      <c r="R69" s="993">
        <f>'3-Project True-up'!$K$22</f>
        <v>3646106.0686710435</v>
      </c>
      <c r="S69" s="452">
        <f>+Q69+R69</f>
        <v>17508583.038196485</v>
      </c>
    </row>
    <row r="70" spans="1:21">
      <c r="A70" s="994"/>
      <c r="B70" s="113"/>
      <c r="C70" s="985"/>
      <c r="D70" s="115"/>
      <c r="E70" s="116"/>
      <c r="F70" s="54">
        <f t="shared" si="0"/>
        <v>8.8325398751879503E-2</v>
      </c>
      <c r="G70" s="117">
        <f t="shared" si="1"/>
        <v>0</v>
      </c>
      <c r="H70" s="116"/>
      <c r="I70" s="54">
        <f t="shared" si="3"/>
        <v>8.5758702655388694E-2</v>
      </c>
      <c r="J70" s="117">
        <f t="shared" si="4"/>
        <v>0</v>
      </c>
      <c r="K70" s="993"/>
      <c r="L70" s="117">
        <f t="shared" si="5"/>
        <v>0</v>
      </c>
      <c r="M70" s="993"/>
      <c r="N70" s="513">
        <f>+'2-Incentive ROE'!K$40*'1-Project Rev Req'!M70/100</f>
        <v>0</v>
      </c>
      <c r="O70" s="513">
        <f t="shared" si="6"/>
        <v>0</v>
      </c>
      <c r="P70" s="993"/>
      <c r="Q70" s="452">
        <f t="shared" si="2"/>
        <v>0</v>
      </c>
      <c r="R70" s="993"/>
      <c r="S70" s="452">
        <f>+Q70+R70</f>
        <v>0</v>
      </c>
    </row>
    <row r="71" spans="1:21">
      <c r="A71" s="994"/>
      <c r="B71" s="113"/>
      <c r="C71" s="988" t="s">
        <v>1104</v>
      </c>
      <c r="D71" s="115"/>
      <c r="E71" s="116"/>
      <c r="F71" s="54">
        <f t="shared" si="0"/>
        <v>8.8325398751879503E-2</v>
      </c>
      <c r="G71" s="117">
        <f t="shared" si="1"/>
        <v>0</v>
      </c>
      <c r="H71" s="116"/>
      <c r="I71" s="54">
        <f t="shared" si="3"/>
        <v>8.5758702655388694E-2</v>
      </c>
      <c r="J71" s="117">
        <f t="shared" si="4"/>
        <v>0</v>
      </c>
      <c r="K71" s="991"/>
      <c r="L71" s="117">
        <f t="shared" si="5"/>
        <v>0</v>
      </c>
      <c r="M71" s="991"/>
      <c r="N71" s="513">
        <f>+'2-Incentive ROE'!K$40*'1-Project Rev Req'!M71/100</f>
        <v>0</v>
      </c>
      <c r="O71" s="513">
        <f t="shared" si="6"/>
        <v>0</v>
      </c>
      <c r="P71" s="991"/>
      <c r="Q71" s="452">
        <f t="shared" si="2"/>
        <v>0</v>
      </c>
      <c r="R71" s="991"/>
      <c r="S71" s="452">
        <f t="shared" ref="S71:S85" si="7">L71+R71</f>
        <v>0</v>
      </c>
    </row>
    <row r="72" spans="1:21">
      <c r="A72" s="994" t="s">
        <v>647</v>
      </c>
      <c r="B72" s="113"/>
      <c r="C72" s="985" t="s">
        <v>1105</v>
      </c>
      <c r="D72" s="115"/>
      <c r="E72" s="116">
        <v>3364911.9205319318</v>
      </c>
      <c r="F72" s="54">
        <f t="shared" si="0"/>
        <v>8.8325398751879503E-2</v>
      </c>
      <c r="G72" s="117">
        <f t="shared" si="1"/>
        <v>297207.18714593555</v>
      </c>
      <c r="H72" s="116">
        <v>2550566.1000480894</v>
      </c>
      <c r="I72" s="54">
        <f t="shared" si="3"/>
        <v>8.5758702655388694E-2</v>
      </c>
      <c r="J72" s="117">
        <f t="shared" si="4"/>
        <v>218733.23977693846</v>
      </c>
      <c r="K72" s="993">
        <v>73355.180991005036</v>
      </c>
      <c r="L72" s="117">
        <f t="shared" si="5"/>
        <v>589295.60791387898</v>
      </c>
      <c r="M72" s="993">
        <v>0</v>
      </c>
      <c r="N72" s="513">
        <f>+'2-Incentive ROE'!K$40*'1-Project Rev Req'!M72/100</f>
        <v>0</v>
      </c>
      <c r="O72" s="513">
        <f t="shared" si="6"/>
        <v>589295.60791387898</v>
      </c>
      <c r="P72" s="993">
        <v>0</v>
      </c>
      <c r="Q72" s="452">
        <f t="shared" si="2"/>
        <v>589295.60791387898</v>
      </c>
      <c r="R72" s="991">
        <f>'3-Project True-up'!$K$24</f>
        <v>254502.50029474968</v>
      </c>
      <c r="S72" s="452">
        <f t="shared" si="7"/>
        <v>843798.1082086286</v>
      </c>
    </row>
    <row r="73" spans="1:21">
      <c r="A73" s="994"/>
      <c r="B73" s="113"/>
      <c r="C73" s="985"/>
      <c r="D73" s="118"/>
      <c r="E73" s="116"/>
      <c r="F73" s="54">
        <f t="shared" si="0"/>
        <v>8.8325398751879503E-2</v>
      </c>
      <c r="G73" s="117">
        <f t="shared" si="1"/>
        <v>0</v>
      </c>
      <c r="H73" s="116"/>
      <c r="I73" s="54">
        <f t="shared" si="3"/>
        <v>8.5758702655388694E-2</v>
      </c>
      <c r="J73" s="117">
        <f t="shared" si="4"/>
        <v>0</v>
      </c>
      <c r="K73" s="991"/>
      <c r="L73" s="117">
        <f t="shared" si="5"/>
        <v>0</v>
      </c>
      <c r="M73" s="991"/>
      <c r="N73" s="513">
        <f>+'2-Incentive ROE'!K$40*'1-Project Rev Req'!M73/100</f>
        <v>0</v>
      </c>
      <c r="O73" s="513">
        <f t="shared" si="6"/>
        <v>0</v>
      </c>
      <c r="P73" s="991"/>
      <c r="Q73" s="452">
        <f t="shared" si="2"/>
        <v>0</v>
      </c>
      <c r="R73" s="991"/>
      <c r="S73" s="452">
        <f t="shared" si="7"/>
        <v>0</v>
      </c>
    </row>
    <row r="74" spans="1:21">
      <c r="A74" s="994"/>
      <c r="B74" s="113"/>
      <c r="C74" s="985"/>
      <c r="D74" s="115"/>
      <c r="E74" s="116"/>
      <c r="F74" s="54">
        <f t="shared" si="0"/>
        <v>8.8325398751879503E-2</v>
      </c>
      <c r="G74" s="117">
        <f t="shared" si="1"/>
        <v>0</v>
      </c>
      <c r="H74" s="116"/>
      <c r="I74" s="54">
        <f t="shared" si="3"/>
        <v>8.5758702655388694E-2</v>
      </c>
      <c r="J74" s="117">
        <f t="shared" si="4"/>
        <v>0</v>
      </c>
      <c r="K74" s="991"/>
      <c r="L74" s="117">
        <f t="shared" si="5"/>
        <v>0</v>
      </c>
      <c r="M74" s="991"/>
      <c r="N74" s="513">
        <f>+'2-Incentive ROE'!K$40*'1-Project Rev Req'!M74/100</f>
        <v>0</v>
      </c>
      <c r="O74" s="513">
        <f t="shared" si="6"/>
        <v>0</v>
      </c>
      <c r="P74" s="991"/>
      <c r="Q74" s="452">
        <f t="shared" si="2"/>
        <v>0</v>
      </c>
      <c r="R74" s="991"/>
      <c r="S74" s="452">
        <f t="shared" si="7"/>
        <v>0</v>
      </c>
    </row>
    <row r="75" spans="1:21">
      <c r="A75" s="994" t="s">
        <v>1110</v>
      </c>
      <c r="B75" s="113"/>
      <c r="C75" s="985"/>
      <c r="D75" s="115"/>
      <c r="E75" s="116"/>
      <c r="F75" s="54">
        <f t="shared" si="0"/>
        <v>8.8325398751879503E-2</v>
      </c>
      <c r="G75" s="117">
        <f t="shared" si="1"/>
        <v>0</v>
      </c>
      <c r="H75" s="116"/>
      <c r="I75" s="54">
        <f t="shared" si="3"/>
        <v>8.5758702655388694E-2</v>
      </c>
      <c r="J75" s="117">
        <f t="shared" si="4"/>
        <v>0</v>
      </c>
      <c r="K75" s="991"/>
      <c r="L75" s="117">
        <f t="shared" si="5"/>
        <v>0</v>
      </c>
      <c r="M75" s="991"/>
      <c r="N75" s="513">
        <f>+'2-Incentive ROE'!K$40*'1-Project Rev Req'!M75/100</f>
        <v>0</v>
      </c>
      <c r="O75" s="513">
        <f t="shared" si="6"/>
        <v>0</v>
      </c>
      <c r="P75" s="991"/>
      <c r="Q75" s="452">
        <f t="shared" si="2"/>
        <v>0</v>
      </c>
      <c r="R75" s="991"/>
      <c r="S75" s="452">
        <f t="shared" si="7"/>
        <v>0</v>
      </c>
    </row>
    <row r="76" spans="1:21">
      <c r="A76" s="994"/>
      <c r="B76" s="113"/>
      <c r="C76" s="985"/>
      <c r="D76" s="115"/>
      <c r="E76" s="116"/>
      <c r="F76" s="54">
        <f t="shared" si="0"/>
        <v>8.8325398751879503E-2</v>
      </c>
      <c r="G76" s="117">
        <f t="shared" si="1"/>
        <v>0</v>
      </c>
      <c r="H76" s="116"/>
      <c r="I76" s="54">
        <f t="shared" si="3"/>
        <v>8.5758702655388694E-2</v>
      </c>
      <c r="J76" s="117">
        <f t="shared" si="4"/>
        <v>0</v>
      </c>
      <c r="K76" s="993"/>
      <c r="L76" s="117">
        <f t="shared" si="5"/>
        <v>0</v>
      </c>
      <c r="M76" s="993"/>
      <c r="N76" s="513">
        <f>+'2-Incentive ROE'!K$40*'1-Project Rev Req'!M76/100</f>
        <v>0</v>
      </c>
      <c r="O76" s="513">
        <f t="shared" si="6"/>
        <v>0</v>
      </c>
      <c r="P76" s="993"/>
      <c r="Q76" s="452">
        <f t="shared" si="2"/>
        <v>0</v>
      </c>
      <c r="R76" s="991"/>
      <c r="S76" s="452">
        <f t="shared" si="7"/>
        <v>0</v>
      </c>
    </row>
    <row r="77" spans="1:21">
      <c r="A77" s="994"/>
      <c r="B77" s="113"/>
      <c r="C77" s="988" t="s">
        <v>1106</v>
      </c>
      <c r="D77" s="115"/>
      <c r="E77" s="116"/>
      <c r="F77" s="54">
        <f t="shared" si="0"/>
        <v>8.8325398751879503E-2</v>
      </c>
      <c r="G77" s="117">
        <f t="shared" si="1"/>
        <v>0</v>
      </c>
      <c r="H77" s="116"/>
      <c r="I77" s="54">
        <f t="shared" si="3"/>
        <v>8.5758702655388694E-2</v>
      </c>
      <c r="J77" s="117">
        <f t="shared" si="4"/>
        <v>0</v>
      </c>
      <c r="K77" s="991"/>
      <c r="L77" s="117">
        <f t="shared" si="5"/>
        <v>0</v>
      </c>
      <c r="M77" s="991"/>
      <c r="N77" s="513">
        <f>+'2-Incentive ROE'!K$40*'1-Project Rev Req'!M77/100</f>
        <v>0</v>
      </c>
      <c r="O77" s="513">
        <f t="shared" si="6"/>
        <v>0</v>
      </c>
      <c r="P77" s="991"/>
      <c r="Q77" s="452">
        <f t="shared" si="2"/>
        <v>0</v>
      </c>
      <c r="R77" s="991"/>
      <c r="S77" s="452">
        <f t="shared" si="7"/>
        <v>0</v>
      </c>
    </row>
    <row r="78" spans="1:21">
      <c r="A78" s="994" t="s">
        <v>1111</v>
      </c>
      <c r="B78" s="113"/>
      <c r="C78" s="989" t="s">
        <v>1107</v>
      </c>
      <c r="D78" s="115"/>
      <c r="E78" s="986">
        <v>6250055.0532256374</v>
      </c>
      <c r="F78" s="54">
        <f t="shared" si="0"/>
        <v>8.8325398751879503E-2</v>
      </c>
      <c r="G78" s="117">
        <f t="shared" si="1"/>
        <v>552038.60479735385</v>
      </c>
      <c r="H78" s="986">
        <v>4166553.5153608602</v>
      </c>
      <c r="I78" s="54">
        <f t="shared" si="3"/>
        <v>8.5758702655388694E-2</v>
      </c>
      <c r="J78" s="117">
        <f t="shared" si="4"/>
        <v>357318.22402159648</v>
      </c>
      <c r="K78" s="993">
        <v>136251.20016031736</v>
      </c>
      <c r="L78" s="117">
        <f t="shared" si="5"/>
        <v>1045608.0289792677</v>
      </c>
      <c r="M78" s="993">
        <v>0</v>
      </c>
      <c r="N78" s="513">
        <f>+'2-Incentive ROE'!K$40*'1-Project Rev Req'!M78/100</f>
        <v>0</v>
      </c>
      <c r="O78" s="513">
        <f t="shared" si="6"/>
        <v>1045608.0289792677</v>
      </c>
      <c r="P78" s="993">
        <v>0</v>
      </c>
      <c r="Q78" s="452">
        <f t="shared" si="2"/>
        <v>1045608.0289792677</v>
      </c>
      <c r="R78" s="991">
        <f>'3-Project True-up'!K26</f>
        <v>96087.922313057541</v>
      </c>
      <c r="S78" s="452">
        <f t="shared" si="7"/>
        <v>1141695.9512923253</v>
      </c>
    </row>
    <row r="79" spans="1:21">
      <c r="A79" s="994"/>
      <c r="B79" s="113"/>
      <c r="C79" s="985"/>
      <c r="D79" s="990"/>
      <c r="E79" s="991"/>
      <c r="F79" s="54">
        <f t="shared" si="0"/>
        <v>8.8325398751879503E-2</v>
      </c>
      <c r="G79" s="117">
        <f t="shared" si="1"/>
        <v>0</v>
      </c>
      <c r="H79" s="991"/>
      <c r="I79" s="54">
        <f t="shared" si="3"/>
        <v>8.5758702655388694E-2</v>
      </c>
      <c r="J79" s="117">
        <f t="shared" si="4"/>
        <v>0</v>
      </c>
      <c r="K79" s="993"/>
      <c r="L79" s="117">
        <f t="shared" si="5"/>
        <v>0</v>
      </c>
      <c r="M79" s="993"/>
      <c r="N79" s="513">
        <f>+'2-Incentive ROE'!K$40*'1-Project Rev Req'!M79/100</f>
        <v>0</v>
      </c>
      <c r="O79" s="513">
        <f t="shared" si="6"/>
        <v>0</v>
      </c>
      <c r="P79" s="993"/>
      <c r="Q79" s="452">
        <f t="shared" si="2"/>
        <v>0</v>
      </c>
      <c r="R79" s="991"/>
      <c r="S79" s="452">
        <f t="shared" si="7"/>
        <v>0</v>
      </c>
    </row>
    <row r="80" spans="1:21">
      <c r="A80" s="994"/>
      <c r="B80" s="113"/>
      <c r="C80" s="985"/>
      <c r="D80" s="990"/>
      <c r="E80" s="991"/>
      <c r="F80" s="54">
        <f t="shared" si="0"/>
        <v>8.8325398751879503E-2</v>
      </c>
      <c r="G80" s="117">
        <f t="shared" si="1"/>
        <v>0</v>
      </c>
      <c r="H80" s="991"/>
      <c r="I80" s="54">
        <f t="shared" si="3"/>
        <v>8.5758702655388694E-2</v>
      </c>
      <c r="J80" s="117">
        <f t="shared" si="4"/>
        <v>0</v>
      </c>
      <c r="K80" s="991"/>
      <c r="L80" s="117">
        <f t="shared" si="5"/>
        <v>0</v>
      </c>
      <c r="M80" s="991"/>
      <c r="N80" s="513">
        <f>+'2-Incentive ROE'!K$40*'1-Project Rev Req'!M80/100</f>
        <v>0</v>
      </c>
      <c r="O80" s="513">
        <f t="shared" si="6"/>
        <v>0</v>
      </c>
      <c r="P80" s="991"/>
      <c r="Q80" s="452">
        <f t="shared" si="2"/>
        <v>0</v>
      </c>
      <c r="R80" s="991"/>
      <c r="S80" s="452">
        <f t="shared" si="7"/>
        <v>0</v>
      </c>
    </row>
    <row r="81" spans="1:20">
      <c r="A81" s="994"/>
      <c r="C81" s="988" t="s">
        <v>1108</v>
      </c>
      <c r="D81" s="992"/>
      <c r="E81" s="991"/>
      <c r="F81" s="54">
        <f t="shared" si="0"/>
        <v>8.8325398751879503E-2</v>
      </c>
      <c r="G81" s="117">
        <f t="shared" si="1"/>
        <v>0</v>
      </c>
      <c r="H81" s="991"/>
      <c r="I81" s="54">
        <f t="shared" si="3"/>
        <v>8.5758702655388694E-2</v>
      </c>
      <c r="J81" s="117">
        <f t="shared" si="4"/>
        <v>0</v>
      </c>
      <c r="K81" s="991"/>
      <c r="L81" s="117">
        <f t="shared" si="5"/>
        <v>0</v>
      </c>
      <c r="M81" s="991"/>
      <c r="N81" s="513">
        <f>+'2-Incentive ROE'!K$40*'1-Project Rev Req'!M81/100</f>
        <v>0</v>
      </c>
      <c r="O81" s="513">
        <f t="shared" si="6"/>
        <v>0</v>
      </c>
      <c r="P81" s="991"/>
      <c r="Q81" s="452">
        <f t="shared" si="2"/>
        <v>0</v>
      </c>
      <c r="R81" s="991"/>
      <c r="S81" s="452">
        <f t="shared" si="7"/>
        <v>0</v>
      </c>
    </row>
    <row r="82" spans="1:20">
      <c r="A82" s="994" t="s">
        <v>1112</v>
      </c>
      <c r="C82" s="989" t="s">
        <v>1109</v>
      </c>
      <c r="D82" s="992"/>
      <c r="E82" s="993">
        <v>3981263</v>
      </c>
      <c r="F82" s="54">
        <f t="shared" si="0"/>
        <v>8.8325398751879503E-2</v>
      </c>
      <c r="G82" s="117">
        <f t="shared" si="1"/>
        <v>351646.64201110404</v>
      </c>
      <c r="H82" s="993">
        <v>3860111.7221666668</v>
      </c>
      <c r="I82" s="54">
        <f t="shared" si="3"/>
        <v>8.5758702655388694E-2</v>
      </c>
      <c r="J82" s="117">
        <f t="shared" si="4"/>
        <v>331038.17339787155</v>
      </c>
      <c r="K82" s="993">
        <v>86791.533399999957</v>
      </c>
      <c r="L82" s="117">
        <f t="shared" si="5"/>
        <v>769476.34880897554</v>
      </c>
      <c r="M82" s="993">
        <v>0</v>
      </c>
      <c r="N82" s="513">
        <f>+'2-Incentive ROE'!K$40*'1-Project Rev Req'!M82/100</f>
        <v>0</v>
      </c>
      <c r="O82" s="513">
        <f t="shared" si="6"/>
        <v>769476.34880897554</v>
      </c>
      <c r="P82" s="993">
        <v>0</v>
      </c>
      <c r="Q82" s="452">
        <f t="shared" si="2"/>
        <v>769476.34880897554</v>
      </c>
      <c r="R82" s="991">
        <v>0</v>
      </c>
      <c r="S82" s="452">
        <f t="shared" si="7"/>
        <v>769476.34880897554</v>
      </c>
    </row>
    <row r="83" spans="1:20">
      <c r="A83" s="119"/>
      <c r="C83" s="992"/>
      <c r="D83" s="992"/>
      <c r="E83" s="991"/>
      <c r="F83" s="54">
        <f t="shared" si="0"/>
        <v>8.8325398751879503E-2</v>
      </c>
      <c r="G83" s="117">
        <f t="shared" si="1"/>
        <v>0</v>
      </c>
      <c r="H83" s="116"/>
      <c r="I83" s="54">
        <f t="shared" si="3"/>
        <v>8.5758702655388694E-2</v>
      </c>
      <c r="J83" s="117">
        <f t="shared" si="4"/>
        <v>0</v>
      </c>
      <c r="K83" s="116"/>
      <c r="L83" s="117">
        <f t="shared" si="5"/>
        <v>0</v>
      </c>
      <c r="M83" s="116"/>
      <c r="N83" s="513">
        <f>+'2-Incentive ROE'!K$40*'1-Project Rev Req'!M83/100</f>
        <v>0</v>
      </c>
      <c r="O83" s="513">
        <f t="shared" si="6"/>
        <v>0</v>
      </c>
      <c r="P83" s="116"/>
      <c r="Q83" s="452">
        <f t="shared" si="2"/>
        <v>0</v>
      </c>
      <c r="R83" s="991"/>
      <c r="S83" s="452">
        <f t="shared" si="7"/>
        <v>0</v>
      </c>
    </row>
    <row r="84" spans="1:20">
      <c r="A84" s="119"/>
      <c r="C84" s="992"/>
      <c r="D84" s="992"/>
      <c r="E84" s="991"/>
      <c r="F84" s="54">
        <f t="shared" si="0"/>
        <v>8.8325398751879503E-2</v>
      </c>
      <c r="G84" s="117">
        <f t="shared" si="1"/>
        <v>0</v>
      </c>
      <c r="H84" s="116"/>
      <c r="I84" s="54">
        <f t="shared" si="3"/>
        <v>8.5758702655388694E-2</v>
      </c>
      <c r="J84" s="117">
        <f t="shared" si="4"/>
        <v>0</v>
      </c>
      <c r="K84" s="116"/>
      <c r="L84" s="117">
        <f t="shared" si="5"/>
        <v>0</v>
      </c>
      <c r="M84" s="510"/>
      <c r="N84" s="513">
        <f>+'2-Incentive ROE'!K$40*'1-Project Rev Req'!M84/100</f>
        <v>0</v>
      </c>
      <c r="O84" s="513">
        <f t="shared" si="6"/>
        <v>0</v>
      </c>
      <c r="P84" s="510"/>
      <c r="Q84" s="452">
        <f t="shared" si="2"/>
        <v>0</v>
      </c>
      <c r="R84" s="991"/>
      <c r="S84" s="452">
        <f t="shared" si="7"/>
        <v>0</v>
      </c>
    </row>
    <row r="85" spans="1:20">
      <c r="A85" s="120"/>
      <c r="B85" s="50"/>
      <c r="C85" s="50"/>
      <c r="D85" s="50"/>
      <c r="E85" s="50"/>
      <c r="F85" s="50"/>
      <c r="G85" s="51"/>
      <c r="H85" s="50"/>
      <c r="I85" s="50"/>
      <c r="J85" s="51"/>
      <c r="K85" s="50"/>
      <c r="L85" s="52"/>
      <c r="M85" s="511"/>
      <c r="N85" s="289"/>
      <c r="O85" s="289"/>
      <c r="P85" s="290"/>
      <c r="Q85" s="289"/>
      <c r="R85" s="50"/>
      <c r="S85" s="453">
        <f t="shared" si="7"/>
        <v>0</v>
      </c>
    </row>
    <row r="86" spans="1:20">
      <c r="A86" s="65" t="s">
        <v>265</v>
      </c>
      <c r="B86" s="89"/>
      <c r="C86" s="66" t="s">
        <v>251</v>
      </c>
      <c r="D86" s="66"/>
      <c r="E86" s="121"/>
      <c r="F86" s="56"/>
      <c r="G86" s="22"/>
      <c r="H86" s="121"/>
      <c r="I86" s="22"/>
      <c r="J86" s="22"/>
      <c r="K86" s="22"/>
      <c r="L86" s="54"/>
      <c r="M86" s="93"/>
      <c r="N86" s="53"/>
      <c r="O86" s="53"/>
      <c r="P86" s="53">
        <f t="shared" ref="P86:S86" si="8">SUM(P66:P85)</f>
        <v>0</v>
      </c>
      <c r="Q86" s="53"/>
      <c r="R86" s="53"/>
      <c r="S86" s="53">
        <f t="shared" si="8"/>
        <v>22779392.276609637</v>
      </c>
    </row>
    <row r="87" spans="1:20">
      <c r="E87" s="1098"/>
      <c r="F87" s="53"/>
      <c r="G87" s="53"/>
      <c r="H87" s="53"/>
      <c r="I87" s="53"/>
      <c r="J87" s="53"/>
      <c r="K87" s="53"/>
      <c r="L87" s="54"/>
    </row>
    <row r="88" spans="1:20">
      <c r="A88" s="122"/>
      <c r="E88" s="759"/>
      <c r="F88" s="53"/>
      <c r="G88" s="53"/>
      <c r="H88" s="1099"/>
      <c r="I88" s="53"/>
      <c r="J88" s="53"/>
      <c r="K88" s="53"/>
      <c r="L88" s="54"/>
      <c r="M88" s="93"/>
      <c r="N88" s="93"/>
      <c r="O88" s="93"/>
      <c r="T88" s="753"/>
    </row>
    <row r="89" spans="1:20">
      <c r="E89" s="758"/>
      <c r="K89" s="55"/>
      <c r="L89" s="55"/>
      <c r="M89" s="55"/>
      <c r="N89" s="55"/>
      <c r="O89" s="55"/>
      <c r="T89" s="753"/>
    </row>
    <row r="90" spans="1:20">
      <c r="E90" s="758"/>
      <c r="K90" s="55"/>
      <c r="L90" s="55"/>
      <c r="M90" s="55"/>
      <c r="N90" s="55"/>
      <c r="O90" s="55"/>
      <c r="T90" s="753"/>
    </row>
    <row r="91" spans="1:20">
      <c r="A91" s="25" t="s">
        <v>73</v>
      </c>
      <c r="T91" s="753"/>
    </row>
    <row r="92" spans="1:20" ht="13.8" thickBot="1">
      <c r="A92" s="123" t="s">
        <v>74</v>
      </c>
      <c r="T92" s="753"/>
    </row>
    <row r="93" spans="1:20">
      <c r="A93" s="124" t="s">
        <v>75</v>
      </c>
      <c r="C93" s="1116" t="s">
        <v>721</v>
      </c>
      <c r="D93" s="1116"/>
      <c r="E93" s="1116"/>
      <c r="F93" s="1116"/>
      <c r="G93" s="1116"/>
      <c r="H93" s="1116"/>
      <c r="I93" s="1116"/>
      <c r="J93" s="1116"/>
      <c r="K93" s="1116"/>
      <c r="L93" s="1116"/>
      <c r="M93" s="1116"/>
      <c r="N93" s="1116"/>
      <c r="O93" s="1116"/>
      <c r="P93" s="1116"/>
      <c r="Q93" s="1116"/>
      <c r="T93" s="753"/>
    </row>
    <row r="94" spans="1:20">
      <c r="A94" s="124" t="s">
        <v>76</v>
      </c>
      <c r="C94" s="1116" t="s">
        <v>674</v>
      </c>
      <c r="D94" s="1116"/>
      <c r="E94" s="1116"/>
      <c r="F94" s="1116"/>
      <c r="G94" s="1116"/>
      <c r="H94" s="1116"/>
      <c r="I94" s="1116"/>
      <c r="J94" s="1116"/>
      <c r="K94" s="1116"/>
      <c r="L94" s="1116"/>
      <c r="M94" s="1116"/>
      <c r="N94" s="1116"/>
      <c r="O94" s="1116"/>
      <c r="P94" s="1116"/>
      <c r="Q94" s="1116"/>
    </row>
    <row r="95" spans="1:20">
      <c r="A95" s="124" t="s">
        <v>77</v>
      </c>
      <c r="C95" s="1117" t="s">
        <v>694</v>
      </c>
      <c r="D95" s="1117"/>
      <c r="E95" s="1117"/>
      <c r="F95" s="1117"/>
      <c r="G95" s="1117"/>
      <c r="H95" s="1117"/>
      <c r="I95" s="1117"/>
      <c r="J95" s="1117"/>
      <c r="K95" s="1117"/>
      <c r="L95" s="1117"/>
      <c r="M95" s="1117"/>
      <c r="N95" s="1117"/>
      <c r="O95" s="1117"/>
      <c r="P95" s="1117"/>
      <c r="Q95" s="1117"/>
    </row>
    <row r="96" spans="1:20">
      <c r="C96" s="25" t="s">
        <v>677</v>
      </c>
    </row>
    <row r="97" spans="1:17">
      <c r="A97" s="124" t="s">
        <v>78</v>
      </c>
      <c r="C97" s="1117" t="s">
        <v>866</v>
      </c>
      <c r="D97" s="1117"/>
      <c r="E97" s="1117"/>
      <c r="F97" s="1117"/>
      <c r="G97" s="1117"/>
      <c r="H97" s="1117"/>
      <c r="I97" s="1117"/>
      <c r="J97" s="1117"/>
      <c r="K97" s="1117"/>
      <c r="L97" s="1117"/>
      <c r="M97" s="1117"/>
      <c r="N97" s="1117"/>
      <c r="O97" s="1117"/>
      <c r="P97" s="1117"/>
      <c r="Q97" s="1117"/>
    </row>
    <row r="98" spans="1:17">
      <c r="A98" s="56" t="s">
        <v>79</v>
      </c>
      <c r="C98" s="1115" t="s">
        <v>676</v>
      </c>
      <c r="D98" s="1115"/>
      <c r="E98" s="1115"/>
      <c r="F98" s="1115"/>
      <c r="G98" s="1115"/>
      <c r="H98" s="1115"/>
      <c r="I98" s="1115"/>
      <c r="J98" s="1115"/>
      <c r="K98" s="1115"/>
      <c r="L98" s="1115"/>
      <c r="M98" s="1115"/>
      <c r="N98" s="1115"/>
      <c r="O98" s="1115"/>
      <c r="P98" s="1115"/>
      <c r="Q98" s="1115"/>
    </row>
    <row r="99" spans="1:17">
      <c r="A99" s="56" t="s">
        <v>80</v>
      </c>
      <c r="C99" s="1115" t="s">
        <v>891</v>
      </c>
      <c r="D99" s="1115"/>
      <c r="E99" s="1115"/>
      <c r="F99" s="1115"/>
      <c r="G99" s="1115"/>
      <c r="H99" s="1115"/>
      <c r="I99" s="1115"/>
      <c r="J99" s="1115"/>
      <c r="K99" s="1115"/>
      <c r="L99" s="1115"/>
      <c r="M99" s="1115"/>
      <c r="N99" s="1115"/>
      <c r="O99" s="1115"/>
      <c r="P99" s="1115"/>
      <c r="Q99" s="1115"/>
    </row>
    <row r="100" spans="1:17">
      <c r="A100" s="56" t="s">
        <v>81</v>
      </c>
      <c r="C100" s="1115" t="s">
        <v>722</v>
      </c>
      <c r="D100" s="1115"/>
      <c r="E100" s="1115"/>
      <c r="F100" s="1115"/>
      <c r="G100" s="1115"/>
      <c r="H100" s="1115"/>
      <c r="I100" s="1115"/>
      <c r="J100" s="1115"/>
      <c r="K100" s="1115"/>
      <c r="L100" s="1115"/>
      <c r="M100" s="1115"/>
      <c r="N100" s="1115"/>
      <c r="O100" s="1115"/>
      <c r="P100" s="1115"/>
      <c r="Q100" s="1115"/>
    </row>
    <row r="101" spans="1:17">
      <c r="A101" s="56" t="s">
        <v>83</v>
      </c>
      <c r="C101" s="1115" t="s">
        <v>723</v>
      </c>
      <c r="D101" s="1115"/>
      <c r="E101" s="1115"/>
      <c r="F101" s="1115"/>
      <c r="G101" s="1115"/>
      <c r="H101" s="1115"/>
      <c r="I101" s="1115"/>
      <c r="J101" s="1115"/>
      <c r="K101" s="1115"/>
      <c r="L101" s="1115"/>
      <c r="M101" s="1115"/>
      <c r="N101" s="1115"/>
      <c r="O101" s="1115"/>
      <c r="P101" s="1115"/>
      <c r="Q101" s="1115"/>
    </row>
    <row r="102" spans="1:17">
      <c r="A102" s="56" t="s">
        <v>84</v>
      </c>
      <c r="C102" s="25" t="s">
        <v>573</v>
      </c>
    </row>
    <row r="103" spans="1:17">
      <c r="A103" s="65" t="s">
        <v>85</v>
      </c>
      <c r="C103" s="95" t="s">
        <v>724</v>
      </c>
      <c r="D103" s="65"/>
      <c r="E103" s="56"/>
      <c r="F103" s="56"/>
      <c r="G103" s="22"/>
      <c r="J103" s="80"/>
      <c r="P103" s="22"/>
      <c r="Q103" s="96"/>
    </row>
    <row r="104" spans="1:17">
      <c r="A104" s="65" t="s">
        <v>162</v>
      </c>
      <c r="C104" s="25" t="s">
        <v>565</v>
      </c>
      <c r="D104" s="65"/>
      <c r="E104" s="56"/>
      <c r="F104" s="56"/>
      <c r="G104" s="22"/>
      <c r="J104" s="80"/>
      <c r="P104" s="22"/>
      <c r="Q104" s="77"/>
    </row>
    <row r="105" spans="1:17">
      <c r="A105" s="56" t="s">
        <v>200</v>
      </c>
      <c r="C105" s="15" t="s">
        <v>583</v>
      </c>
    </row>
    <row r="106" spans="1:17">
      <c r="A106" s="56" t="s">
        <v>786</v>
      </c>
      <c r="C106" s="25" t="s">
        <v>787</v>
      </c>
    </row>
    <row r="107" spans="1:17">
      <c r="A107" s="760" t="s">
        <v>203</v>
      </c>
      <c r="C107" s="25" t="s">
        <v>869</v>
      </c>
    </row>
    <row r="108" spans="1:17">
      <c r="C108" s="25" t="s">
        <v>851</v>
      </c>
    </row>
    <row r="109" spans="1:17" ht="15.6">
      <c r="C109" s="1114"/>
      <c r="D109" s="1114"/>
      <c r="E109" s="1114"/>
      <c r="F109" s="1114"/>
      <c r="G109" s="1114"/>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3" fitToHeight="0" orientation="landscape" verticalDpi="300" r:id="rId2"/>
  <rowBreaks count="1" manualBreakCount="1">
    <brk id="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9"/>
  <sheetViews>
    <sheetView view="pageBreakPreview" zoomScale="75" zoomScaleNormal="100" zoomScaleSheetLayoutView="75" workbookViewId="0">
      <selection activeCell="H12" sqref="H12"/>
    </sheetView>
  </sheetViews>
  <sheetFormatPr defaultRowHeight="15.6"/>
  <cols>
    <col min="1" max="1" width="5.54296875" style="379" customWidth="1"/>
    <col min="2" max="2" width="21.54296875" style="387" customWidth="1"/>
    <col min="3" max="3" width="30.54296875" style="387" customWidth="1"/>
    <col min="4" max="4" width="25.1796875" style="387" customWidth="1"/>
    <col min="5" max="5" width="13.36328125" style="387" bestFit="1" customWidth="1"/>
    <col min="6" max="6" width="6.54296875" style="387" customWidth="1"/>
    <col min="7" max="7" width="9" style="387" bestFit="1" customWidth="1"/>
    <col min="8" max="8" width="7.08984375" style="387" bestFit="1" customWidth="1"/>
    <col min="9" max="9" width="12.36328125" style="387" customWidth="1"/>
    <col min="10" max="10" width="24.08984375" style="393" bestFit="1" customWidth="1"/>
    <col min="11" max="11" width="16.54296875" customWidth="1"/>
  </cols>
  <sheetData>
    <row r="1" spans="1:11">
      <c r="C1" s="380"/>
      <c r="D1" s="380"/>
      <c r="E1" s="380"/>
      <c r="F1" s="381"/>
      <c r="G1" s="380"/>
      <c r="H1" s="380"/>
      <c r="I1" s="380"/>
      <c r="J1" s="497"/>
    </row>
    <row r="2" spans="1:11">
      <c r="B2" s="379"/>
      <c r="C2" s="380"/>
      <c r="D2" s="380"/>
      <c r="E2" s="380"/>
      <c r="F2" s="381"/>
      <c r="G2" s="380"/>
      <c r="H2" s="380"/>
      <c r="I2" s="380"/>
      <c r="J2" s="497"/>
    </row>
    <row r="3" spans="1:11">
      <c r="C3" s="380"/>
      <c r="D3" s="382" t="s">
        <v>10</v>
      </c>
      <c r="E3" s="382"/>
      <c r="F3" s="381" t="s">
        <v>401</v>
      </c>
      <c r="H3" s="382"/>
      <c r="I3" s="382"/>
      <c r="J3" s="383"/>
      <c r="K3" s="833" t="s">
        <v>893</v>
      </c>
    </row>
    <row r="4" spans="1:11">
      <c r="B4" s="385"/>
      <c r="C4" s="385"/>
      <c r="D4" s="385"/>
      <c r="E4" s="385"/>
      <c r="F4" s="450" t="s">
        <v>575</v>
      </c>
      <c r="H4" s="385"/>
      <c r="I4" s="385"/>
      <c r="J4" s="385"/>
      <c r="K4" s="384"/>
    </row>
    <row r="5" spans="1:11">
      <c r="B5" s="385"/>
      <c r="C5" s="385"/>
      <c r="D5" s="385"/>
      <c r="F5" s="386" t="str">
        <f>+'Attachment H'!D5</f>
        <v>Gridliance High Plains LLC</v>
      </c>
      <c r="H5" s="385"/>
      <c r="I5" s="385"/>
      <c r="J5" s="385"/>
      <c r="K5" s="385"/>
    </row>
    <row r="7" spans="1:11">
      <c r="A7" s="379">
        <v>1</v>
      </c>
      <c r="B7" s="387" t="s">
        <v>559</v>
      </c>
      <c r="C7" s="387" t="s">
        <v>727</v>
      </c>
      <c r="J7" s="387"/>
      <c r="K7" s="439">
        <f>+'Attachment H'!I106</f>
        <v>83315043.533680961</v>
      </c>
    </row>
    <row r="8" spans="1:11">
      <c r="J8" s="387"/>
      <c r="K8" s="393"/>
    </row>
    <row r="9" spans="1:11" ht="16.2" thickBot="1">
      <c r="A9" s="389">
        <f>+A7+1</f>
        <v>2</v>
      </c>
      <c r="B9" s="390" t="s">
        <v>402</v>
      </c>
      <c r="C9" s="391"/>
      <c r="D9" s="391"/>
      <c r="E9" s="391"/>
      <c r="F9" s="391"/>
      <c r="G9" s="391"/>
      <c r="H9" s="391"/>
      <c r="I9" s="391"/>
      <c r="J9" s="392" t="s">
        <v>58</v>
      </c>
      <c r="K9" s="393"/>
    </row>
    <row r="10" spans="1:11">
      <c r="A10" s="389"/>
      <c r="B10" s="394"/>
      <c r="C10" s="391"/>
      <c r="D10" s="391"/>
      <c r="E10" s="391"/>
      <c r="F10" s="391"/>
      <c r="G10" s="391"/>
      <c r="H10" s="395" t="s">
        <v>67</v>
      </c>
      <c r="I10" s="391"/>
      <c r="J10" s="391"/>
      <c r="K10" s="393"/>
    </row>
    <row r="11" spans="1:11" ht="16.2" thickBot="1">
      <c r="A11" s="389"/>
      <c r="B11" s="394"/>
      <c r="C11" s="391"/>
      <c r="D11" s="391"/>
      <c r="E11" s="396" t="s">
        <v>58</v>
      </c>
      <c r="F11" s="396" t="s">
        <v>68</v>
      </c>
      <c r="G11" s="391"/>
      <c r="H11" s="396"/>
      <c r="I11" s="391"/>
      <c r="J11" s="396" t="s">
        <v>69</v>
      </c>
      <c r="K11" s="393"/>
    </row>
    <row r="12" spans="1:11">
      <c r="A12" s="389">
        <f>+A9+1</f>
        <v>3</v>
      </c>
      <c r="B12" s="390" t="s">
        <v>358</v>
      </c>
      <c r="C12" s="397" t="s">
        <v>728</v>
      </c>
      <c r="D12" s="397"/>
      <c r="E12" s="995">
        <f>'Attachment H'!D210</f>
        <v>52100000</v>
      </c>
      <c r="F12" s="515">
        <f>'Attachment H'!E210</f>
        <v>0.4</v>
      </c>
      <c r="G12" s="388"/>
      <c r="H12" s="1013">
        <f>'Attachment H'!G210</f>
        <v>2.4188570057581574E-2</v>
      </c>
      <c r="I12" s="388"/>
      <c r="J12" s="388">
        <f>F12*H12</f>
        <v>9.6754280230326312E-3</v>
      </c>
      <c r="K12" s="393"/>
    </row>
    <row r="13" spans="1:11">
      <c r="A13" s="389">
        <f>+A12+1</f>
        <v>4</v>
      </c>
      <c r="B13" s="390" t="s">
        <v>560</v>
      </c>
      <c r="C13" s="397" t="s">
        <v>728</v>
      </c>
      <c r="D13" s="397"/>
      <c r="E13" s="398">
        <f>'Attachment H'!D211</f>
        <v>0</v>
      </c>
      <c r="F13" s="515">
        <v>0</v>
      </c>
      <c r="G13" s="388"/>
      <c r="H13" s="388">
        <v>0</v>
      </c>
      <c r="I13" s="388"/>
      <c r="J13" s="388">
        <f>F13*H13</f>
        <v>0</v>
      </c>
      <c r="K13" s="393"/>
    </row>
    <row r="14" spans="1:11" ht="31.8" thickBot="1">
      <c r="A14" s="389">
        <f>+A13+1</f>
        <v>5</v>
      </c>
      <c r="B14" s="390" t="s">
        <v>466</v>
      </c>
      <c r="C14" s="397" t="s">
        <v>729</v>
      </c>
      <c r="D14" s="494" t="s">
        <v>730</v>
      </c>
      <c r="E14" s="996">
        <f>'Attachment H'!D212</f>
        <v>154360896</v>
      </c>
      <c r="F14" s="515">
        <f>'Attachment H'!E212</f>
        <v>0.6</v>
      </c>
      <c r="G14" s="388"/>
      <c r="H14" s="527">
        <v>0.113</v>
      </c>
      <c r="I14" s="388"/>
      <c r="J14" s="797">
        <f>F14*H14</f>
        <v>6.7799999999999999E-2</v>
      </c>
      <c r="K14" s="393"/>
    </row>
    <row r="15" spans="1:11">
      <c r="A15" s="389">
        <f>+A14+1</f>
        <v>6</v>
      </c>
      <c r="B15" s="394" t="s">
        <v>731</v>
      </c>
      <c r="C15" s="399"/>
      <c r="D15" s="399"/>
      <c r="E15" s="1100">
        <f>SUM(E12:E14)</f>
        <v>206460896</v>
      </c>
      <c r="F15" s="388" t="s">
        <v>10</v>
      </c>
      <c r="G15" s="388"/>
      <c r="H15" s="388"/>
      <c r="I15" s="388"/>
      <c r="J15" s="388">
        <f>SUM(J12:J14)</f>
        <v>7.747542802303263E-2</v>
      </c>
      <c r="K15" s="393"/>
    </row>
    <row r="16" spans="1:11">
      <c r="A16" s="389">
        <f t="shared" ref="A16:A40" si="0">+A15+1</f>
        <v>7</v>
      </c>
      <c r="B16" s="394" t="s">
        <v>408</v>
      </c>
      <c r="C16" s="399"/>
      <c r="D16" s="399"/>
      <c r="E16" s="400"/>
      <c r="F16" s="391"/>
      <c r="G16" s="391"/>
      <c r="H16" s="391"/>
      <c r="I16" s="391"/>
      <c r="J16" s="388"/>
      <c r="K16" s="388">
        <f>+J15*K7</f>
        <v>6454868.6585295293</v>
      </c>
    </row>
    <row r="17" spans="1:11">
      <c r="A17" s="389"/>
      <c r="J17" s="387"/>
      <c r="K17" s="393"/>
    </row>
    <row r="18" spans="1:11">
      <c r="A18" s="389">
        <f>+A16+1</f>
        <v>8</v>
      </c>
      <c r="B18" s="394" t="s">
        <v>50</v>
      </c>
      <c r="C18" s="401"/>
      <c r="D18" s="401"/>
      <c r="E18" s="391"/>
      <c r="F18" s="391"/>
      <c r="G18" s="399"/>
      <c r="H18" s="402"/>
      <c r="I18" s="391"/>
      <c r="J18" s="399"/>
      <c r="K18" s="393"/>
    </row>
    <row r="19" spans="1:11">
      <c r="A19" s="389">
        <f t="shared" si="0"/>
        <v>9</v>
      </c>
      <c r="B19" s="403" t="s">
        <v>564</v>
      </c>
      <c r="C19" s="391"/>
      <c r="D19" s="37"/>
      <c r="E19" s="454">
        <f>IF('Attachment H'!D258&gt;0,1-(((1-'Attachment H'!D259)*(1-'Attachment H'!D258))/(1-'Attachment H'!D258*'Attachment H'!D259*'Attachment H'!D260)),0)</f>
        <v>0.25543747864454802</v>
      </c>
      <c r="F19" s="454"/>
      <c r="G19" s="399"/>
      <c r="H19" s="402"/>
      <c r="I19" s="391"/>
      <c r="J19" s="399"/>
      <c r="K19" s="393"/>
    </row>
    <row r="20" spans="1:11">
      <c r="A20" s="389">
        <f t="shared" si="0"/>
        <v>10</v>
      </c>
      <c r="B20" s="399" t="s">
        <v>51</v>
      </c>
      <c r="C20" s="391"/>
      <c r="D20" s="37"/>
      <c r="E20" s="454">
        <f>IF(J15&gt;0,(E19/(1-E19))*(1-J12/J15),0)</f>
        <v>0.30022659226035953</v>
      </c>
      <c r="F20" s="391"/>
      <c r="G20" s="399"/>
      <c r="H20" s="402"/>
      <c r="I20" s="391"/>
      <c r="J20" s="399"/>
      <c r="K20" s="393"/>
    </row>
    <row r="21" spans="1:11">
      <c r="A21" s="389">
        <f t="shared" si="0"/>
        <v>11</v>
      </c>
      <c r="B21" s="401" t="s">
        <v>561</v>
      </c>
      <c r="C21" s="401"/>
      <c r="D21" s="37"/>
      <c r="E21" s="391"/>
      <c r="F21" s="391"/>
      <c r="G21" s="399"/>
      <c r="H21" s="402"/>
      <c r="I21" s="391"/>
      <c r="J21" s="399"/>
      <c r="K21" s="393"/>
    </row>
    <row r="22" spans="1:11">
      <c r="A22" s="389">
        <f t="shared" si="0"/>
        <v>12</v>
      </c>
      <c r="B22" s="404" t="s">
        <v>989</v>
      </c>
      <c r="C22" s="401"/>
      <c r="D22" s="401"/>
      <c r="E22" s="391"/>
      <c r="F22" s="391"/>
      <c r="G22" s="399"/>
      <c r="H22" s="402"/>
      <c r="I22" s="391"/>
      <c r="J22" s="399"/>
      <c r="K22" s="393"/>
    </row>
    <row r="23" spans="1:11">
      <c r="A23" s="389">
        <f t="shared" si="0"/>
        <v>13</v>
      </c>
      <c r="B23" s="405" t="str">
        <f>"      1 / (1 - T)  =  (from line "&amp;A19&amp;")"</f>
        <v xml:space="preserve">      1 / (1 - T)  =  (from line 9)</v>
      </c>
      <c r="C23" s="401"/>
      <c r="D23" s="401"/>
      <c r="E23" s="454">
        <f>IF(E19&gt;0,1/(1-E19),0)</f>
        <v>1.3430705566263694</v>
      </c>
      <c r="F23" s="391"/>
      <c r="G23" s="399"/>
      <c r="H23" s="402"/>
      <c r="I23" s="391"/>
      <c r="J23" s="399"/>
      <c r="K23" s="393"/>
    </row>
    <row r="24" spans="1:11">
      <c r="A24" s="389">
        <f t="shared" si="0"/>
        <v>14</v>
      </c>
      <c r="B24" s="404" t="s">
        <v>403</v>
      </c>
      <c r="C24" s="401"/>
      <c r="D24" s="401" t="s">
        <v>686</v>
      </c>
      <c r="E24" s="406">
        <f>+'Attachment H'!D160</f>
        <v>0</v>
      </c>
      <c r="F24" s="391"/>
      <c r="G24" s="399"/>
      <c r="H24" s="402"/>
      <c r="I24" s="391"/>
      <c r="J24" s="399"/>
      <c r="K24" s="393"/>
    </row>
    <row r="25" spans="1:11">
      <c r="A25" s="389">
        <f t="shared" si="0"/>
        <v>15</v>
      </c>
      <c r="B25" s="404" t="s">
        <v>990</v>
      </c>
      <c r="C25" s="401"/>
      <c r="D25" s="401" t="s">
        <v>687</v>
      </c>
      <c r="E25" s="406">
        <f>+'Attachment H'!D161</f>
        <v>0</v>
      </c>
      <c r="F25" s="391"/>
      <c r="G25" s="399"/>
      <c r="H25" s="407"/>
      <c r="I25" s="391"/>
      <c r="J25" s="399"/>
      <c r="K25" s="393"/>
    </row>
    <row r="26" spans="1:11">
      <c r="A26" s="389">
        <f t="shared" si="0"/>
        <v>16</v>
      </c>
      <c r="B26" s="404" t="s">
        <v>562</v>
      </c>
      <c r="C26" s="401"/>
      <c r="D26" s="401" t="s">
        <v>688</v>
      </c>
      <c r="E26" s="406">
        <f>+'Attachment H'!D162</f>
        <v>-450071.28625118005</v>
      </c>
      <c r="F26" s="391"/>
      <c r="G26" s="399"/>
      <c r="H26" s="402"/>
      <c r="I26" s="391"/>
      <c r="J26" s="399"/>
      <c r="K26" s="393"/>
    </row>
    <row r="27" spans="1:11">
      <c r="A27" s="389">
        <f t="shared" si="0"/>
        <v>17</v>
      </c>
      <c r="B27" s="405" t="s">
        <v>1127</v>
      </c>
      <c r="C27" s="408"/>
      <c r="D27" s="387" t="s">
        <v>1126</v>
      </c>
      <c r="E27" s="406">
        <f>+'Attachment H'!D163</f>
        <v>1766425.5906758183</v>
      </c>
      <c r="F27" s="409"/>
      <c r="G27" s="409" t="s">
        <v>30</v>
      </c>
      <c r="H27" s="410"/>
      <c r="I27" s="409"/>
      <c r="J27" s="446">
        <f>E27</f>
        <v>1766425.5906758183</v>
      </c>
      <c r="K27" s="393"/>
    </row>
    <row r="28" spans="1:11">
      <c r="A28" s="389">
        <f t="shared" si="0"/>
        <v>18</v>
      </c>
      <c r="B28" s="397" t="str">
        <f>"ITC adjustment (line "&amp;A23&amp;" * line "&amp;A24&amp;")"</f>
        <v>ITC adjustment (line 13 * line 14)</v>
      </c>
      <c r="C28" s="408"/>
      <c r="D28" s="408"/>
      <c r="E28" s="446">
        <f>+E$23*E24</f>
        <v>0</v>
      </c>
      <c r="F28" s="409"/>
      <c r="G28" s="411" t="s">
        <v>36</v>
      </c>
      <c r="H28" s="388">
        <f>+'Attachment H'!G84</f>
        <v>1</v>
      </c>
      <c r="I28" s="409"/>
      <c r="J28" s="446">
        <f>+E28*H28</f>
        <v>0</v>
      </c>
      <c r="K28" s="393"/>
    </row>
    <row r="29" spans="1:11">
      <c r="A29" s="389">
        <f t="shared" si="0"/>
        <v>19</v>
      </c>
      <c r="B29" s="397" t="str">
        <f>"(Excess)/Deficient Deferred Income Tax Adjustment (line "&amp;A23&amp;" * line "&amp;A25&amp;")"</f>
        <v>(Excess)/Deficient Deferred Income Tax Adjustment (line 13 * line 15)</v>
      </c>
      <c r="C29" s="408"/>
      <c r="D29" s="408"/>
      <c r="E29" s="446">
        <f>+E$23*E25</f>
        <v>0</v>
      </c>
      <c r="F29" s="409"/>
      <c r="G29" s="411" t="s">
        <v>36</v>
      </c>
      <c r="H29" s="388">
        <f>H28</f>
        <v>1</v>
      </c>
      <c r="I29" s="409"/>
      <c r="J29" s="446">
        <f>+E29*H29</f>
        <v>0</v>
      </c>
      <c r="K29" s="393"/>
    </row>
    <row r="30" spans="1:11">
      <c r="A30" s="389">
        <f t="shared" si="0"/>
        <v>20</v>
      </c>
      <c r="B30" s="397" t="str">
        <f>"Permanent Differences Tax Adjustment (line "&amp;A23&amp;" * "&amp;A26&amp;")"</f>
        <v>Permanent Differences Tax Adjustment (line 13 * 16)</v>
      </c>
      <c r="C30" s="408"/>
      <c r="D30" s="408"/>
      <c r="E30" s="498">
        <f>+E$23*E26</f>
        <v>-604477.49294691847</v>
      </c>
      <c r="F30" s="409"/>
      <c r="G30" s="411" t="s">
        <v>36</v>
      </c>
      <c r="H30" s="388">
        <f>H29</f>
        <v>1</v>
      </c>
      <c r="I30" s="409"/>
      <c r="J30" s="498">
        <f>+E30*H30</f>
        <v>-604477.49294691847</v>
      </c>
      <c r="K30" s="393"/>
    </row>
    <row r="31" spans="1:11">
      <c r="A31" s="389">
        <f t="shared" si="0"/>
        <v>21</v>
      </c>
      <c r="B31" s="412" t="str">
        <f>"Total Income Taxes (sum lines "&amp;A27&amp;" - "&amp;A30&amp;")"</f>
        <v>Total Income Taxes (sum lines 17 - 20)</v>
      </c>
      <c r="C31" s="397"/>
      <c r="D31" s="397"/>
      <c r="E31" s="406">
        <f>SUM(E27:E30)</f>
        <v>1161948.0977288997</v>
      </c>
      <c r="F31" s="409"/>
      <c r="G31" s="409" t="s">
        <v>10</v>
      </c>
      <c r="H31" s="410" t="s">
        <v>10</v>
      </c>
      <c r="I31" s="409"/>
      <c r="J31" s="406">
        <f>SUM(J27:J30)</f>
        <v>1161948.0977288997</v>
      </c>
      <c r="K31" s="388">
        <f>+J31</f>
        <v>1161948.0977288997</v>
      </c>
    </row>
    <row r="32" spans="1:11">
      <c r="A32" s="389"/>
      <c r="J32" s="387"/>
      <c r="K32" s="393"/>
    </row>
    <row r="33" spans="1:11">
      <c r="A33" s="389">
        <f>+A31+1</f>
        <v>22</v>
      </c>
      <c r="B33" s="397" t="s">
        <v>404</v>
      </c>
      <c r="J33" s="387"/>
      <c r="K33" s="388">
        <f>+K31+K16</f>
        <v>7616816.756258429</v>
      </c>
    </row>
    <row r="34" spans="1:11">
      <c r="A34" s="389"/>
      <c r="J34" s="387"/>
      <c r="K34" s="393"/>
    </row>
    <row r="35" spans="1:11">
      <c r="A35" s="389">
        <f>+A33+1</f>
        <v>23</v>
      </c>
      <c r="B35" s="387" t="s">
        <v>585</v>
      </c>
      <c r="J35" s="387"/>
      <c r="K35" s="388">
        <f>+'Attachment H'!I170</f>
        <v>5954978.3973274436</v>
      </c>
    </row>
    <row r="36" spans="1:11">
      <c r="A36" s="389">
        <f t="shared" si="0"/>
        <v>24</v>
      </c>
      <c r="B36" s="387" t="s">
        <v>586</v>
      </c>
      <c r="J36" s="387"/>
      <c r="K36" s="388">
        <f>+'Attachment H'!I167</f>
        <v>1161948.0977288997</v>
      </c>
    </row>
    <row r="37" spans="1:11">
      <c r="A37" s="389">
        <f t="shared" si="0"/>
        <v>25</v>
      </c>
      <c r="B37" s="397" t="s">
        <v>405</v>
      </c>
      <c r="J37" s="387"/>
      <c r="K37" s="413">
        <f>SUM(K35:K36)</f>
        <v>7116926.4950563433</v>
      </c>
    </row>
    <row r="38" spans="1:11">
      <c r="A38" s="389">
        <f t="shared" si="0"/>
        <v>26</v>
      </c>
      <c r="B38" s="397" t="s">
        <v>406</v>
      </c>
      <c r="J38" s="387"/>
      <c r="K38" s="388">
        <f>+K33-K37</f>
        <v>499890.26120208576</v>
      </c>
    </row>
    <row r="39" spans="1:11">
      <c r="A39" s="389">
        <f t="shared" si="0"/>
        <v>27</v>
      </c>
      <c r="B39" s="387" t="s">
        <v>563</v>
      </c>
      <c r="J39" s="387"/>
      <c r="K39" s="495">
        <f>+K7</f>
        <v>83315043.533680961</v>
      </c>
    </row>
    <row r="40" spans="1:11">
      <c r="A40" s="389">
        <f t="shared" si="0"/>
        <v>28</v>
      </c>
      <c r="B40" s="387" t="s">
        <v>407</v>
      </c>
      <c r="J40" s="387"/>
      <c r="K40" s="496">
        <f>IF(K39=0,0,K38/K39)</f>
        <v>6.0000000000000001E-3</v>
      </c>
    </row>
    <row r="41" spans="1:11">
      <c r="A41" s="389"/>
      <c r="D41" s="1016"/>
      <c r="J41" s="387"/>
      <c r="K41" s="393"/>
    </row>
    <row r="42" spans="1:11">
      <c r="J42" s="387"/>
      <c r="K42" s="393"/>
    </row>
    <row r="43" spans="1:11">
      <c r="A43" s="379" t="s">
        <v>481</v>
      </c>
      <c r="J43" s="387"/>
      <c r="K43" s="393"/>
    </row>
    <row r="44" spans="1:11">
      <c r="A44" s="491" t="s">
        <v>75</v>
      </c>
      <c r="B44" s="439" t="s">
        <v>480</v>
      </c>
      <c r="J44" s="387"/>
      <c r="K44" s="393"/>
    </row>
    <row r="45" spans="1:11">
      <c r="A45" s="491"/>
      <c r="B45" s="387" t="s">
        <v>733</v>
      </c>
      <c r="J45" s="387"/>
      <c r="K45" s="393"/>
    </row>
    <row r="46" spans="1:11">
      <c r="A46" s="491"/>
      <c r="B46" s="387" t="s">
        <v>483</v>
      </c>
      <c r="J46" s="387"/>
      <c r="K46" s="393"/>
    </row>
    <row r="47" spans="1:11">
      <c r="A47" s="491"/>
      <c r="B47" s="387" t="s">
        <v>732</v>
      </c>
      <c r="J47" s="387"/>
      <c r="K47" s="393"/>
    </row>
    <row r="48" spans="1:11">
      <c r="A48" s="491" t="s">
        <v>76</v>
      </c>
      <c r="B48" s="387" t="s">
        <v>482</v>
      </c>
      <c r="J48" s="387"/>
      <c r="K48" s="393"/>
    </row>
    <row r="49" spans="2:11">
      <c r="B49" s="387" t="s">
        <v>508</v>
      </c>
      <c r="J49" s="387"/>
      <c r="K49" s="393"/>
    </row>
    <row r="69" ht="24" customHeight="1"/>
  </sheetData>
  <phoneticPr fontId="0" type="noConversion"/>
  <pageMargins left="0.7" right="0.7"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view="pageBreakPreview" topLeftCell="A45" zoomScale="130" zoomScaleNormal="65" zoomScaleSheetLayoutView="130" workbookViewId="0">
      <selection activeCell="E41" sqref="E41"/>
    </sheetView>
  </sheetViews>
  <sheetFormatPr defaultColWidth="8.90625" defaultRowHeight="13.2"/>
  <cols>
    <col min="1" max="1" width="6" style="25" customWidth="1"/>
    <col min="2" max="2" width="27.08984375" style="25" customWidth="1"/>
    <col min="3" max="3" width="38.81640625" style="25" bestFit="1" customWidth="1"/>
    <col min="4" max="4" width="18.6328125" style="25" customWidth="1"/>
    <col min="5" max="5" width="22.1796875" style="25" customWidth="1"/>
    <col min="6" max="6" width="15.1796875" style="25" customWidth="1"/>
    <col min="7" max="7" width="18.36328125" style="25" customWidth="1"/>
    <col min="8" max="8" width="14.453125" style="25" customWidth="1"/>
    <col min="9" max="9" width="18.54296875" style="25" customWidth="1"/>
    <col min="10" max="10" width="13.81640625" style="25" customWidth="1"/>
    <col min="11" max="11" width="14.453125" style="25" customWidth="1"/>
    <col min="12" max="12" width="13.54296875" style="25" customWidth="1"/>
    <col min="13" max="16384" width="8.90625" style="25"/>
  </cols>
  <sheetData>
    <row r="1" spans="1:13">
      <c r="J1" s="19" t="s">
        <v>893</v>
      </c>
    </row>
    <row r="5" spans="1:13">
      <c r="A5" s="647"/>
      <c r="D5" s="19"/>
      <c r="E5" s="641" t="s">
        <v>282</v>
      </c>
      <c r="F5" s="19"/>
      <c r="G5" s="19"/>
      <c r="I5" s="19"/>
      <c r="J5" s="19"/>
      <c r="K5" s="19"/>
      <c r="L5" s="24"/>
    </row>
    <row r="6" spans="1:13">
      <c r="A6" s="647"/>
      <c r="D6" s="19"/>
      <c r="E6" s="506" t="s">
        <v>488</v>
      </c>
      <c r="F6" s="22"/>
      <c r="G6" s="22"/>
      <c r="I6" s="22"/>
      <c r="J6" s="22"/>
      <c r="K6" s="22"/>
      <c r="L6" s="24"/>
    </row>
    <row r="7" spans="1:13">
      <c r="A7" s="647"/>
      <c r="C7" s="26"/>
      <c r="D7" s="26"/>
      <c r="E7" s="640" t="str">
        <f>+'2-Incentive ROE'!F5</f>
        <v>Gridliance High Plains LLC</v>
      </c>
      <c r="F7" s="26"/>
      <c r="G7" s="26"/>
      <c r="I7" s="26"/>
      <c r="J7" s="26"/>
      <c r="K7" s="26"/>
      <c r="L7" s="26"/>
    </row>
    <row r="8" spans="1:13" s="490" customFormat="1" ht="13.8">
      <c r="A8" s="648"/>
      <c r="B8" s="25"/>
      <c r="C8" s="25"/>
      <c r="D8" s="25"/>
      <c r="E8" s="71"/>
      <c r="F8" s="71"/>
      <c r="G8" s="71"/>
      <c r="H8" s="25"/>
      <c r="I8" s="26"/>
      <c r="J8" s="26"/>
      <c r="K8" s="26"/>
      <c r="L8" s="26"/>
    </row>
    <row r="9" spans="1:13" s="490" customFormat="1" ht="13.8">
      <c r="A9" s="649"/>
      <c r="B9" s="324"/>
      <c r="C9" s="324"/>
      <c r="D9" s="324"/>
      <c r="E9" s="324"/>
      <c r="F9" s="324"/>
      <c r="G9" s="324"/>
      <c r="H9" s="324"/>
      <c r="I9" s="324"/>
      <c r="J9" s="324"/>
      <c r="K9" s="362"/>
      <c r="L9" s="324"/>
    </row>
    <row r="10" spans="1:13" s="490" customFormat="1" ht="13.8">
      <c r="A10" s="649"/>
      <c r="B10" s="324"/>
      <c r="C10" s="324"/>
      <c r="D10" s="1119" t="s">
        <v>889</v>
      </c>
      <c r="E10" s="1120"/>
      <c r="F10" s="555"/>
      <c r="G10" s="557" t="s">
        <v>629</v>
      </c>
      <c r="H10" s="555"/>
      <c r="I10" s="558"/>
      <c r="J10" s="558"/>
      <c r="K10" s="556"/>
    </row>
    <row r="11" spans="1:13" s="490" customFormat="1" ht="16.2">
      <c r="A11" s="649">
        <v>1</v>
      </c>
      <c r="B11" s="324" t="s">
        <v>888</v>
      </c>
      <c r="C11" s="324"/>
      <c r="D11" s="1121" t="s">
        <v>890</v>
      </c>
      <c r="E11" s="1122"/>
      <c r="F11" s="811" t="s">
        <v>734</v>
      </c>
      <c r="G11" s="559" t="s">
        <v>630</v>
      </c>
      <c r="H11" s="811" t="s">
        <v>631</v>
      </c>
      <c r="I11" s="784"/>
      <c r="J11" s="784"/>
      <c r="K11" s="785"/>
    </row>
    <row r="12" spans="1:13" s="490" customFormat="1" ht="13.8">
      <c r="A12" s="649">
        <v>2</v>
      </c>
      <c r="B12" s="1092">
        <v>2020</v>
      </c>
      <c r="C12" s="324"/>
      <c r="D12" s="561"/>
      <c r="E12" s="561"/>
      <c r="F12" s="650">
        <v>15423145.845500389</v>
      </c>
      <c r="G12" s="562"/>
      <c r="H12" s="561"/>
      <c r="I12" s="561"/>
      <c r="J12" s="561"/>
      <c r="K12" s="555"/>
    </row>
    <row r="13" spans="1:13" s="490" customFormat="1" ht="13.8">
      <c r="B13" s="563" t="s">
        <v>75</v>
      </c>
      <c r="C13" s="563" t="s">
        <v>76</v>
      </c>
      <c r="D13" s="559" t="s">
        <v>77</v>
      </c>
      <c r="E13" s="559" t="s">
        <v>78</v>
      </c>
      <c r="F13" s="557" t="s">
        <v>79</v>
      </c>
      <c r="G13" s="563" t="s">
        <v>80</v>
      </c>
      <c r="H13" s="564" t="s">
        <v>81</v>
      </c>
      <c r="I13" s="564" t="s">
        <v>83</v>
      </c>
      <c r="J13" s="564" t="s">
        <v>84</v>
      </c>
      <c r="K13" s="652" t="s">
        <v>85</v>
      </c>
      <c r="M13" s="779"/>
    </row>
    <row r="14" spans="1:13" s="490" customFormat="1" ht="13.8">
      <c r="A14" s="649"/>
      <c r="B14" s="561"/>
      <c r="C14" s="557"/>
      <c r="D14" s="557"/>
      <c r="E14" s="651" t="s">
        <v>735</v>
      </c>
      <c r="F14" s="557"/>
      <c r="G14" s="557"/>
      <c r="H14" s="561"/>
      <c r="I14" s="557"/>
      <c r="J14" s="561"/>
      <c r="K14" s="561"/>
    </row>
    <row r="15" spans="1:13" s="490" customFormat="1" ht="13.8">
      <c r="A15" s="649"/>
      <c r="B15" s="562"/>
      <c r="C15" s="564"/>
      <c r="D15" s="564" t="s">
        <v>881</v>
      </c>
      <c r="E15" s="652" t="s">
        <v>21</v>
      </c>
      <c r="F15" s="564" t="s">
        <v>634</v>
      </c>
      <c r="G15" s="564" t="s">
        <v>880</v>
      </c>
      <c r="H15" s="564" t="s">
        <v>632</v>
      </c>
      <c r="I15" s="564"/>
      <c r="J15" s="564" t="s">
        <v>502</v>
      </c>
      <c r="K15" s="564"/>
    </row>
    <row r="16" spans="1:13" s="490" customFormat="1" ht="13.8">
      <c r="A16" s="649"/>
      <c r="B16" s="564" t="s">
        <v>644</v>
      </c>
      <c r="C16" s="564"/>
      <c r="D16" s="564" t="s">
        <v>633</v>
      </c>
      <c r="E16" s="652" t="s">
        <v>736</v>
      </c>
      <c r="F16" s="564" t="s">
        <v>639</v>
      </c>
      <c r="G16" s="564" t="s">
        <v>633</v>
      </c>
      <c r="H16" s="564" t="s">
        <v>553</v>
      </c>
      <c r="I16" s="557" t="s">
        <v>696</v>
      </c>
      <c r="J16" s="564" t="s">
        <v>635</v>
      </c>
      <c r="K16" s="564" t="s">
        <v>737</v>
      </c>
    </row>
    <row r="17" spans="1:12" s="490" customFormat="1" ht="16.2">
      <c r="A17" s="649"/>
      <c r="B17" s="559" t="s">
        <v>636</v>
      </c>
      <c r="C17" s="559" t="s">
        <v>637</v>
      </c>
      <c r="D17" s="559" t="s">
        <v>638</v>
      </c>
      <c r="E17" s="652" t="s">
        <v>630</v>
      </c>
      <c r="F17" s="654" t="s">
        <v>882</v>
      </c>
      <c r="G17" s="559" t="s">
        <v>738</v>
      </c>
      <c r="H17" s="559" t="s">
        <v>883</v>
      </c>
      <c r="I17" s="564" t="s">
        <v>739</v>
      </c>
      <c r="J17" s="559" t="s">
        <v>740</v>
      </c>
      <c r="K17" s="559" t="s">
        <v>884</v>
      </c>
    </row>
    <row r="18" spans="1:12" s="490" customFormat="1" ht="13.8">
      <c r="A18" s="649">
        <v>3</v>
      </c>
      <c r="B18" s="562" t="s">
        <v>507</v>
      </c>
      <c r="C18" s="562"/>
      <c r="D18" s="997"/>
      <c r="E18" s="656">
        <f>IF(D$39=0,0,D18/D$39)</f>
        <v>0</v>
      </c>
      <c r="F18" s="1087">
        <f>IF(F$12=0,0,E18*F$12)</f>
        <v>0</v>
      </c>
      <c r="G18" s="997"/>
      <c r="H18" s="659">
        <f t="shared" ref="H18:H37" si="0">+G18-F18</f>
        <v>0</v>
      </c>
      <c r="I18" s="660">
        <v>0</v>
      </c>
      <c r="J18" s="1089">
        <f>(H18+I18)*((J$41/12)*24)</f>
        <v>0</v>
      </c>
      <c r="K18" s="1090">
        <f>+H18+J18+I18</f>
        <v>0</v>
      </c>
    </row>
    <row r="19" spans="1:12" s="490" customFormat="1" ht="13.8">
      <c r="A19" s="649"/>
      <c r="B19" s="586"/>
      <c r="C19" s="586"/>
      <c r="D19" s="998"/>
      <c r="E19" s="662">
        <f t="shared" ref="E19:E37" si="1">IF(D$39=0,0,D19/D$39)</f>
        <v>0</v>
      </c>
      <c r="F19" s="1087">
        <f t="shared" ref="F19:F37" si="2">IF(F$12=0,0,E19*F$12)</f>
        <v>0</v>
      </c>
      <c r="G19" s="998"/>
      <c r="H19" s="662">
        <f t="shared" si="0"/>
        <v>0</v>
      </c>
      <c r="I19" s="664">
        <v>0</v>
      </c>
      <c r="J19" s="1089">
        <f t="shared" ref="J19:J37" si="3">(H19+I19)*((J$41/12)*24)</f>
        <v>0</v>
      </c>
      <c r="K19" s="1090">
        <f t="shared" ref="K19:K37" si="4">+H19+J19+I19</f>
        <v>0</v>
      </c>
    </row>
    <row r="20" spans="1:12" s="490" customFormat="1" ht="13.8">
      <c r="A20" s="649" t="s">
        <v>741</v>
      </c>
      <c r="B20" s="999" t="s">
        <v>1113</v>
      </c>
      <c r="C20" s="985" t="s">
        <v>1101</v>
      </c>
      <c r="D20" s="998">
        <v>1871437.7870124434</v>
      </c>
      <c r="E20" s="662">
        <f t="shared" si="1"/>
        <v>0.12133956365059105</v>
      </c>
      <c r="F20" s="1087">
        <f t="shared" si="2"/>
        <v>1871437.7870124434</v>
      </c>
      <c r="G20" s="998">
        <v>2345996</v>
      </c>
      <c r="H20" s="662">
        <f t="shared" si="0"/>
        <v>474558.21298755659</v>
      </c>
      <c r="I20" s="998">
        <v>2514.7659802454032</v>
      </c>
      <c r="J20" s="1089">
        <f t="shared" si="3"/>
        <v>35657.797513707723</v>
      </c>
      <c r="K20" s="1090">
        <f t="shared" si="4"/>
        <v>512730.77648150973</v>
      </c>
    </row>
    <row r="21" spans="1:12" s="490" customFormat="1" ht="13.8">
      <c r="A21" s="649"/>
      <c r="B21" s="999"/>
      <c r="C21" s="586"/>
      <c r="D21" s="998"/>
      <c r="E21" s="662">
        <f t="shared" si="1"/>
        <v>0</v>
      </c>
      <c r="F21" s="1087">
        <f t="shared" si="2"/>
        <v>0</v>
      </c>
      <c r="G21" s="998"/>
      <c r="H21" s="662">
        <f t="shared" si="0"/>
        <v>0</v>
      </c>
      <c r="I21" s="998">
        <v>0</v>
      </c>
      <c r="J21" s="1089">
        <f t="shared" si="3"/>
        <v>0</v>
      </c>
      <c r="K21" s="1090">
        <f t="shared" si="4"/>
        <v>0</v>
      </c>
    </row>
    <row r="22" spans="1:12" s="490" customFormat="1" ht="13.8">
      <c r="A22" s="649" t="s">
        <v>742</v>
      </c>
      <c r="B22" s="999" t="s">
        <v>1102</v>
      </c>
      <c r="C22" s="586" t="s">
        <v>1103</v>
      </c>
      <c r="D22" s="998">
        <v>12932054.266801443</v>
      </c>
      <c r="E22" s="662">
        <f t="shared" si="1"/>
        <v>0.83848356206618457</v>
      </c>
      <c r="F22" s="1087">
        <f t="shared" si="2"/>
        <v>12932054.266801443</v>
      </c>
      <c r="G22" s="998">
        <v>16315980</v>
      </c>
      <c r="H22" s="662">
        <f t="shared" si="0"/>
        <v>3383925.733198557</v>
      </c>
      <c r="I22" s="998">
        <v>8612.3464347510271</v>
      </c>
      <c r="J22" s="1089">
        <f t="shared" si="3"/>
        <v>253567.9890377353</v>
      </c>
      <c r="K22" s="1090">
        <f t="shared" si="4"/>
        <v>3646106.0686710435</v>
      </c>
    </row>
    <row r="23" spans="1:12" s="490" customFormat="1" ht="13.8">
      <c r="A23" s="649"/>
      <c r="B23" s="1000"/>
      <c r="C23" s="586"/>
      <c r="D23" s="998"/>
      <c r="E23" s="662">
        <f t="shared" si="1"/>
        <v>0</v>
      </c>
      <c r="F23" s="1087">
        <f t="shared" si="2"/>
        <v>0</v>
      </c>
      <c r="G23" s="998"/>
      <c r="H23" s="662">
        <f t="shared" si="0"/>
        <v>0</v>
      </c>
      <c r="I23" s="998">
        <v>0</v>
      </c>
      <c r="J23" s="1089">
        <f t="shared" si="3"/>
        <v>0</v>
      </c>
      <c r="K23" s="1090">
        <f t="shared" si="4"/>
        <v>0</v>
      </c>
    </row>
    <row r="24" spans="1:12" s="490" customFormat="1" ht="13.8">
      <c r="A24" s="649" t="s">
        <v>743</v>
      </c>
      <c r="B24" s="999" t="s">
        <v>1104</v>
      </c>
      <c r="C24" s="989" t="s">
        <v>1105</v>
      </c>
      <c r="D24" s="998">
        <v>477832.29149927048</v>
      </c>
      <c r="E24" s="662">
        <f t="shared" si="1"/>
        <v>3.0981506385655763E-2</v>
      </c>
      <c r="F24" s="1087">
        <f t="shared" si="2"/>
        <v>477832.29149927048</v>
      </c>
      <c r="G24" s="998">
        <v>714509</v>
      </c>
      <c r="H24" s="662">
        <f t="shared" si="0"/>
        <v>236676.70850072952</v>
      </c>
      <c r="I24" s="998">
        <v>126.44734561879811</v>
      </c>
      <c r="J24" s="1089">
        <f t="shared" si="3"/>
        <v>17699.344448401353</v>
      </c>
      <c r="K24" s="1090">
        <f t="shared" si="4"/>
        <v>254502.50029474968</v>
      </c>
    </row>
    <row r="25" spans="1:12" ht="13.8">
      <c r="A25" s="649"/>
      <c r="B25" s="1000"/>
      <c r="C25" s="586"/>
      <c r="D25" s="998"/>
      <c r="E25" s="662">
        <f t="shared" si="1"/>
        <v>0</v>
      </c>
      <c r="F25" s="1087">
        <f t="shared" si="2"/>
        <v>0</v>
      </c>
      <c r="G25" s="998"/>
      <c r="H25" s="662">
        <f t="shared" si="0"/>
        <v>0</v>
      </c>
      <c r="I25" s="998">
        <v>0</v>
      </c>
      <c r="J25" s="1089">
        <f t="shared" si="3"/>
        <v>0</v>
      </c>
      <c r="K25" s="1090">
        <f t="shared" si="4"/>
        <v>0</v>
      </c>
      <c r="L25" s="490"/>
    </row>
    <row r="26" spans="1:12" ht="13.8">
      <c r="A26" s="649" t="s">
        <v>1114</v>
      </c>
      <c r="B26" s="999" t="s">
        <v>1106</v>
      </c>
      <c r="C26" s="989" t="s">
        <v>1107</v>
      </c>
      <c r="D26" s="998">
        <v>141821.50018723379</v>
      </c>
      <c r="E26" s="662">
        <f t="shared" si="1"/>
        <v>9.1953678975686647E-3</v>
      </c>
      <c r="F26" s="1087">
        <f t="shared" si="2"/>
        <v>141821.50018723379</v>
      </c>
      <c r="G26" s="998">
        <v>231227</v>
      </c>
      <c r="H26" s="662">
        <f t="shared" si="0"/>
        <v>89405.499812766211</v>
      </c>
      <c r="I26" s="998">
        <v>0</v>
      </c>
      <c r="J26" s="1089">
        <f t="shared" si="3"/>
        <v>6682.4225002913272</v>
      </c>
      <c r="K26" s="1090">
        <f t="shared" si="4"/>
        <v>96087.922313057541</v>
      </c>
      <c r="L26" s="490"/>
    </row>
    <row r="27" spans="1:12" ht="13.8">
      <c r="A27" s="649"/>
      <c r="B27" s="1000"/>
      <c r="C27" s="586"/>
      <c r="D27" s="998"/>
      <c r="E27" s="662">
        <f t="shared" si="1"/>
        <v>0</v>
      </c>
      <c r="F27" s="1087">
        <f t="shared" si="2"/>
        <v>0</v>
      </c>
      <c r="G27" s="998"/>
      <c r="H27" s="662">
        <f t="shared" si="0"/>
        <v>0</v>
      </c>
      <c r="I27" s="664">
        <v>0</v>
      </c>
      <c r="J27" s="1089">
        <f t="shared" si="3"/>
        <v>0</v>
      </c>
      <c r="K27" s="1090">
        <f t="shared" si="4"/>
        <v>0</v>
      </c>
      <c r="L27" s="490"/>
    </row>
    <row r="28" spans="1:12" ht="12.75" customHeight="1">
      <c r="A28" s="649" t="s">
        <v>1115</v>
      </c>
      <c r="B28" s="1000"/>
      <c r="C28" s="586"/>
      <c r="D28" s="998"/>
      <c r="E28" s="662">
        <f t="shared" si="1"/>
        <v>0</v>
      </c>
      <c r="F28" s="1087">
        <f t="shared" si="2"/>
        <v>0</v>
      </c>
      <c r="G28" s="998"/>
      <c r="H28" s="662">
        <f t="shared" si="0"/>
        <v>0</v>
      </c>
      <c r="I28" s="664">
        <v>0</v>
      </c>
      <c r="J28" s="1089">
        <f t="shared" si="3"/>
        <v>0</v>
      </c>
      <c r="K28" s="1090">
        <f t="shared" si="4"/>
        <v>0</v>
      </c>
      <c r="L28" s="490"/>
    </row>
    <row r="29" spans="1:12" ht="13.8">
      <c r="A29" s="649"/>
      <c r="B29" s="586"/>
      <c r="C29" s="586"/>
      <c r="D29" s="998"/>
      <c r="E29" s="662">
        <f t="shared" si="1"/>
        <v>0</v>
      </c>
      <c r="F29" s="1087">
        <f t="shared" si="2"/>
        <v>0</v>
      </c>
      <c r="G29" s="998"/>
      <c r="H29" s="662">
        <f t="shared" si="0"/>
        <v>0</v>
      </c>
      <c r="I29" s="664">
        <v>0</v>
      </c>
      <c r="J29" s="1089">
        <f t="shared" si="3"/>
        <v>0</v>
      </c>
      <c r="K29" s="1090">
        <f t="shared" si="4"/>
        <v>0</v>
      </c>
      <c r="L29" s="490"/>
    </row>
    <row r="30" spans="1:12" ht="13.8">
      <c r="A30" s="649"/>
      <c r="B30" s="586"/>
      <c r="C30" s="586"/>
      <c r="D30" s="998"/>
      <c r="E30" s="662">
        <f t="shared" si="1"/>
        <v>0</v>
      </c>
      <c r="F30" s="1087">
        <f t="shared" si="2"/>
        <v>0</v>
      </c>
      <c r="G30" s="998"/>
      <c r="H30" s="662">
        <f t="shared" si="0"/>
        <v>0</v>
      </c>
      <c r="I30" s="664">
        <v>0</v>
      </c>
      <c r="J30" s="1089">
        <f t="shared" si="3"/>
        <v>0</v>
      </c>
      <c r="K30" s="1090">
        <f t="shared" si="4"/>
        <v>0</v>
      </c>
      <c r="L30" s="490"/>
    </row>
    <row r="31" spans="1:12" ht="13.8">
      <c r="A31" s="649"/>
      <c r="B31" s="586"/>
      <c r="C31" s="586"/>
      <c r="D31" s="998"/>
      <c r="E31" s="662">
        <f t="shared" si="1"/>
        <v>0</v>
      </c>
      <c r="F31" s="1087">
        <f t="shared" si="2"/>
        <v>0</v>
      </c>
      <c r="G31" s="998"/>
      <c r="H31" s="662">
        <f t="shared" si="0"/>
        <v>0</v>
      </c>
      <c r="I31" s="664">
        <v>0</v>
      </c>
      <c r="J31" s="1089">
        <f t="shared" si="3"/>
        <v>0</v>
      </c>
      <c r="K31" s="1090">
        <f t="shared" si="4"/>
        <v>0</v>
      </c>
      <c r="L31" s="490"/>
    </row>
    <row r="32" spans="1:12" ht="13.8">
      <c r="A32" s="649"/>
      <c r="B32" s="586"/>
      <c r="C32" s="586"/>
      <c r="D32" s="998"/>
      <c r="E32" s="662">
        <f t="shared" si="1"/>
        <v>0</v>
      </c>
      <c r="F32" s="1087">
        <f t="shared" si="2"/>
        <v>0</v>
      </c>
      <c r="G32" s="998"/>
      <c r="H32" s="662">
        <f t="shared" si="0"/>
        <v>0</v>
      </c>
      <c r="I32" s="664">
        <v>0</v>
      </c>
      <c r="J32" s="1089">
        <f t="shared" si="3"/>
        <v>0</v>
      </c>
      <c r="K32" s="1090">
        <f t="shared" si="4"/>
        <v>0</v>
      </c>
      <c r="L32" s="490"/>
    </row>
    <row r="33" spans="1:12" ht="13.8">
      <c r="A33" s="649"/>
      <c r="B33" s="586"/>
      <c r="C33" s="586"/>
      <c r="D33" s="998"/>
      <c r="E33" s="662">
        <f t="shared" si="1"/>
        <v>0</v>
      </c>
      <c r="F33" s="1087">
        <f t="shared" si="2"/>
        <v>0</v>
      </c>
      <c r="G33" s="998"/>
      <c r="H33" s="662">
        <f t="shared" si="0"/>
        <v>0</v>
      </c>
      <c r="I33" s="664">
        <v>0</v>
      </c>
      <c r="J33" s="1089">
        <f t="shared" si="3"/>
        <v>0</v>
      </c>
      <c r="K33" s="1090">
        <f t="shared" si="4"/>
        <v>0</v>
      </c>
      <c r="L33" s="490"/>
    </row>
    <row r="34" spans="1:12" ht="13.8">
      <c r="A34" s="649"/>
      <c r="B34" s="586"/>
      <c r="C34" s="586"/>
      <c r="D34" s="998"/>
      <c r="E34" s="662">
        <f t="shared" si="1"/>
        <v>0</v>
      </c>
      <c r="F34" s="1087">
        <f t="shared" si="2"/>
        <v>0</v>
      </c>
      <c r="G34" s="998"/>
      <c r="H34" s="662">
        <f t="shared" si="0"/>
        <v>0</v>
      </c>
      <c r="I34" s="664">
        <v>0</v>
      </c>
      <c r="J34" s="1089">
        <f t="shared" si="3"/>
        <v>0</v>
      </c>
      <c r="K34" s="1090">
        <f t="shared" si="4"/>
        <v>0</v>
      </c>
      <c r="L34" s="490"/>
    </row>
    <row r="35" spans="1:12" ht="13.5" customHeight="1">
      <c r="A35" s="649"/>
      <c r="B35" s="586"/>
      <c r="C35" s="586"/>
      <c r="D35" s="998"/>
      <c r="E35" s="662">
        <f t="shared" si="1"/>
        <v>0</v>
      </c>
      <c r="F35" s="1087">
        <f t="shared" si="2"/>
        <v>0</v>
      </c>
      <c r="G35" s="998"/>
      <c r="H35" s="662">
        <f t="shared" si="0"/>
        <v>0</v>
      </c>
      <c r="I35" s="664">
        <v>0</v>
      </c>
      <c r="J35" s="1089">
        <f t="shared" si="3"/>
        <v>0</v>
      </c>
      <c r="K35" s="1090">
        <f t="shared" si="4"/>
        <v>0</v>
      </c>
      <c r="L35" s="490"/>
    </row>
    <row r="36" spans="1:12" ht="13.5" customHeight="1">
      <c r="A36" s="649"/>
      <c r="B36" s="586"/>
      <c r="C36" s="586"/>
      <c r="D36" s="998"/>
      <c r="E36" s="662">
        <f t="shared" si="1"/>
        <v>0</v>
      </c>
      <c r="F36" s="1087">
        <f t="shared" si="2"/>
        <v>0</v>
      </c>
      <c r="G36" s="998"/>
      <c r="H36" s="662">
        <f t="shared" si="0"/>
        <v>0</v>
      </c>
      <c r="I36" s="664">
        <v>0</v>
      </c>
      <c r="J36" s="1089">
        <f t="shared" si="3"/>
        <v>0</v>
      </c>
      <c r="K36" s="1090">
        <f t="shared" si="4"/>
        <v>0</v>
      </c>
      <c r="L36" s="490"/>
    </row>
    <row r="37" spans="1:12" ht="13.8">
      <c r="A37" s="649"/>
      <c r="B37" s="586"/>
      <c r="C37" s="586"/>
      <c r="D37" s="998"/>
      <c r="E37" s="662">
        <f t="shared" si="1"/>
        <v>0</v>
      </c>
      <c r="F37" s="1087">
        <f t="shared" si="2"/>
        <v>0</v>
      </c>
      <c r="G37" s="998"/>
      <c r="H37" s="662">
        <f t="shared" si="0"/>
        <v>0</v>
      </c>
      <c r="I37" s="664">
        <v>0</v>
      </c>
      <c r="J37" s="1089">
        <f t="shared" si="3"/>
        <v>0</v>
      </c>
      <c r="K37" s="1090">
        <f t="shared" si="4"/>
        <v>0</v>
      </c>
      <c r="L37" s="490"/>
    </row>
    <row r="38" spans="1:12">
      <c r="A38" s="649"/>
      <c r="B38" s="565"/>
      <c r="C38" s="565"/>
      <c r="D38" s="665"/>
      <c r="E38" s="666"/>
      <c r="F38" s="1088"/>
      <c r="G38" s="567"/>
      <c r="H38" s="565"/>
      <c r="I38" s="565"/>
      <c r="J38" s="1091"/>
      <c r="K38" s="1091"/>
    </row>
    <row r="39" spans="1:12">
      <c r="A39" s="649">
        <v>4</v>
      </c>
      <c r="B39" s="324" t="s">
        <v>689</v>
      </c>
      <c r="C39" s="324"/>
      <c r="D39" s="1018">
        <f t="shared" ref="D39:F39" si="5">SUM(D18:D38)</f>
        <v>15423145.845500389</v>
      </c>
      <c r="E39" s="1018">
        <f t="shared" si="5"/>
        <v>1</v>
      </c>
      <c r="F39" s="1018">
        <f t="shared" si="5"/>
        <v>15423145.845500389</v>
      </c>
      <c r="G39" s="1018">
        <f>SUM(G18:G38)</f>
        <v>19607712</v>
      </c>
      <c r="H39" s="1018">
        <f>SUM(H18:H38)</f>
        <v>4184566.154499609</v>
      </c>
      <c r="I39" s="1018"/>
      <c r="J39" s="1018">
        <f>SUM(J18:J38)</f>
        <v>313607.55350013572</v>
      </c>
      <c r="K39" s="1018">
        <f>SUM(K18:K38)</f>
        <v>4509427.2677603606</v>
      </c>
    </row>
    <row r="40" spans="1:12">
      <c r="A40" s="649"/>
      <c r="B40" s="324"/>
      <c r="C40" s="324"/>
      <c r="D40" s="667"/>
      <c r="E40" s="667"/>
      <c r="F40" s="667"/>
      <c r="G40" s="667"/>
      <c r="H40" s="667"/>
      <c r="I40" s="667"/>
      <c r="J40" s="667"/>
      <c r="K40" s="667"/>
    </row>
    <row r="41" spans="1:12">
      <c r="A41" s="649"/>
      <c r="B41" s="324"/>
      <c r="C41" s="324"/>
      <c r="D41" s="667"/>
      <c r="E41" s="667"/>
      <c r="F41" s="667"/>
      <c r="G41" s="667" t="s">
        <v>640</v>
      </c>
      <c r="H41" s="667"/>
      <c r="I41" s="667"/>
      <c r="J41" s="1001">
        <v>3.7371428571428576E-2</v>
      </c>
      <c r="K41" s="667"/>
    </row>
    <row r="42" spans="1:12">
      <c r="A42" s="649"/>
      <c r="B42" s="324"/>
      <c r="C42" s="324"/>
      <c r="D42" s="667"/>
      <c r="E42" s="667"/>
      <c r="F42" s="667"/>
      <c r="G42" s="667" t="s">
        <v>641</v>
      </c>
      <c r="H42" s="667"/>
      <c r="I42" s="667"/>
      <c r="J42" s="1018">
        <f>+J39</f>
        <v>313607.55350013572</v>
      </c>
      <c r="K42" s="667"/>
    </row>
    <row r="43" spans="1:12">
      <c r="A43" s="649"/>
      <c r="B43" s="324" t="s">
        <v>274</v>
      </c>
      <c r="C43" s="324"/>
      <c r="D43" s="324"/>
      <c r="E43" s="324"/>
      <c r="F43" s="324"/>
      <c r="G43" s="324"/>
      <c r="H43" s="324"/>
      <c r="I43" s="324"/>
      <c r="J43" s="324"/>
      <c r="K43" s="324"/>
      <c r="L43" s="324"/>
    </row>
    <row r="44" spans="1:12">
      <c r="A44" s="649"/>
      <c r="B44" s="324" t="s">
        <v>879</v>
      </c>
      <c r="C44" s="324"/>
      <c r="D44" s="324"/>
      <c r="E44" s="324"/>
      <c r="F44" s="324"/>
      <c r="G44" s="324"/>
      <c r="H44" s="324"/>
      <c r="I44" s="324"/>
      <c r="J44" s="324"/>
      <c r="K44" s="324"/>
      <c r="L44" s="324"/>
    </row>
    <row r="45" spans="1:12">
      <c r="A45" s="649"/>
      <c r="B45" s="326" t="s">
        <v>935</v>
      </c>
      <c r="C45" s="324"/>
      <c r="D45" s="324"/>
      <c r="E45" s="324"/>
      <c r="F45" s="324"/>
      <c r="G45" s="324"/>
      <c r="H45" s="324"/>
      <c r="I45" s="324"/>
      <c r="J45" s="324"/>
      <c r="K45" s="324"/>
      <c r="L45" s="324"/>
    </row>
    <row r="46" spans="1:12">
      <c r="A46" s="649"/>
      <c r="B46" s="324" t="s">
        <v>885</v>
      </c>
      <c r="C46" s="324"/>
      <c r="D46" s="324"/>
      <c r="E46" s="324"/>
      <c r="F46" s="324"/>
      <c r="G46" s="324"/>
      <c r="H46" s="324"/>
      <c r="I46" s="324"/>
      <c r="J46" s="324"/>
      <c r="K46" s="324"/>
      <c r="L46" s="324"/>
    </row>
    <row r="47" spans="1:12">
      <c r="A47" s="649"/>
      <c r="B47" s="25" t="s">
        <v>886</v>
      </c>
      <c r="C47" s="324"/>
      <c r="D47" s="324"/>
      <c r="E47" s="324"/>
      <c r="F47" s="324"/>
      <c r="G47" s="324"/>
      <c r="H47" s="324"/>
      <c r="I47" s="324"/>
      <c r="J47" s="324"/>
      <c r="K47" s="324"/>
      <c r="L47" s="324"/>
    </row>
    <row r="48" spans="1:12">
      <c r="A48" s="649"/>
      <c r="B48" s="324" t="s">
        <v>855</v>
      </c>
      <c r="C48" s="324"/>
      <c r="D48" s="324"/>
      <c r="E48" s="324"/>
      <c r="F48" s="324"/>
      <c r="G48" s="324"/>
      <c r="H48" s="324"/>
      <c r="I48" s="324"/>
      <c r="J48" s="324"/>
      <c r="K48" s="324"/>
      <c r="L48" s="324"/>
    </row>
    <row r="49" spans="1:12">
      <c r="A49" s="649"/>
      <c r="B49" s="568" t="s">
        <v>887</v>
      </c>
      <c r="C49" s="324"/>
      <c r="D49" s="324"/>
      <c r="E49" s="324"/>
      <c r="F49" s="324"/>
      <c r="G49" s="324"/>
      <c r="H49" s="324"/>
      <c r="I49" s="324"/>
      <c r="J49" s="324"/>
      <c r="K49" s="324"/>
      <c r="L49" s="324"/>
    </row>
    <row r="50" spans="1:12">
      <c r="A50" s="649"/>
      <c r="B50" s="324"/>
      <c r="C50" s="324"/>
      <c r="D50" s="324"/>
      <c r="E50" s="324"/>
      <c r="F50" s="324"/>
      <c r="G50" s="324"/>
      <c r="H50" s="324"/>
      <c r="I50" s="324"/>
      <c r="J50" s="324"/>
      <c r="K50" s="324"/>
      <c r="L50" s="324"/>
    </row>
    <row r="51" spans="1:12">
      <c r="A51" s="649"/>
      <c r="J51" s="324"/>
      <c r="K51" s="324"/>
      <c r="L51" s="324"/>
    </row>
    <row r="52" spans="1:12">
      <c r="A52" s="649"/>
      <c r="C52" s="324"/>
      <c r="D52" s="324"/>
      <c r="E52" s="324"/>
      <c r="F52" s="324"/>
      <c r="G52" s="324"/>
      <c r="H52" s="326"/>
      <c r="I52" s="324"/>
      <c r="J52" s="324"/>
      <c r="K52" s="324"/>
      <c r="L52" s="324"/>
    </row>
    <row r="53" spans="1:12">
      <c r="A53" s="649"/>
      <c r="C53" s="324"/>
      <c r="D53" s="324"/>
      <c r="E53" s="324"/>
      <c r="F53" s="324"/>
      <c r="G53" s="324"/>
      <c r="H53" s="326"/>
      <c r="I53" s="324"/>
      <c r="J53" s="324"/>
      <c r="K53" s="324"/>
      <c r="L53" s="324"/>
    </row>
    <row r="54" spans="1:12">
      <c r="A54" s="649"/>
      <c r="B54" s="569"/>
      <c r="C54" s="569"/>
      <c r="D54" s="27"/>
      <c r="E54" s="27"/>
      <c r="F54" s="27"/>
      <c r="G54" s="27"/>
      <c r="H54" s="27"/>
      <c r="I54" s="569"/>
      <c r="J54" s="569"/>
    </row>
    <row r="55" spans="1:12">
      <c r="A55" s="669" t="s">
        <v>744</v>
      </c>
      <c r="C55" s="569"/>
      <c r="D55" s="27"/>
      <c r="E55" s="27"/>
      <c r="F55" s="27"/>
      <c r="G55" s="27"/>
      <c r="H55" s="27"/>
      <c r="I55" s="569"/>
      <c r="J55" s="569"/>
    </row>
    <row r="56" spans="1:12">
      <c r="A56" s="670"/>
      <c r="B56" s="56" t="s">
        <v>292</v>
      </c>
      <c r="C56" s="571" t="s">
        <v>293</v>
      </c>
      <c r="D56" s="570" t="s">
        <v>294</v>
      </c>
      <c r="E56" s="570" t="s">
        <v>295</v>
      </c>
      <c r="F56" s="56"/>
      <c r="J56" s="569"/>
    </row>
    <row r="57" spans="1:12">
      <c r="A57" s="670"/>
      <c r="B57" s="572" t="str">
        <f>+A55</f>
        <v>Prior Period Adjustment</v>
      </c>
      <c r="C57" s="573" t="s">
        <v>19</v>
      </c>
      <c r="D57" s="574" t="s">
        <v>502</v>
      </c>
      <c r="E57" s="574" t="s">
        <v>21</v>
      </c>
      <c r="J57" s="569"/>
    </row>
    <row r="58" spans="1:12">
      <c r="A58" s="670"/>
      <c r="B58" s="575" t="s">
        <v>745</v>
      </c>
      <c r="C58" s="576" t="s">
        <v>642</v>
      </c>
      <c r="D58" s="576" t="s">
        <v>602</v>
      </c>
      <c r="E58" s="576" t="s">
        <v>643</v>
      </c>
      <c r="J58" s="569"/>
    </row>
    <row r="59" spans="1:12">
      <c r="A59" s="670" t="s">
        <v>216</v>
      </c>
      <c r="B59" s="577" t="s">
        <v>1138</v>
      </c>
      <c r="C59" s="1093">
        <v>10677.55976061523</v>
      </c>
      <c r="D59" s="1093">
        <v>576</v>
      </c>
      <c r="E59" s="579">
        <f>+C59+D59</f>
        <v>11253.55976061523</v>
      </c>
      <c r="J59" s="569"/>
    </row>
    <row r="60" spans="1:12">
      <c r="A60" s="670"/>
      <c r="B60" s="580"/>
      <c r="C60" s="51"/>
      <c r="D60" s="51"/>
      <c r="E60" s="453"/>
      <c r="J60" s="569"/>
    </row>
    <row r="61" spans="1:12">
      <c r="A61" s="670"/>
      <c r="C61" s="569"/>
      <c r="D61" s="569"/>
      <c r="E61" s="569"/>
      <c r="F61" s="569"/>
      <c r="G61" s="569"/>
      <c r="H61" s="18"/>
      <c r="J61" s="569"/>
    </row>
    <row r="62" spans="1:12" ht="66" customHeight="1">
      <c r="A62" s="670"/>
      <c r="C62" s="639"/>
      <c r="D62" s="581"/>
      <c r="E62" s="581"/>
      <c r="F62" s="581"/>
      <c r="G62" s="581"/>
      <c r="H62" s="581"/>
      <c r="I62" s="581"/>
      <c r="J62" s="569"/>
    </row>
    <row r="63" spans="1:12" ht="56.25" customHeight="1">
      <c r="A63" s="671" t="s">
        <v>274</v>
      </c>
      <c r="B63" s="124" t="s">
        <v>75</v>
      </c>
      <c r="C63" s="1123" t="s">
        <v>892</v>
      </c>
      <c r="D63" s="1123"/>
      <c r="E63" s="1123"/>
      <c r="F63" s="1123"/>
      <c r="G63" s="1123"/>
      <c r="H63" s="1123"/>
      <c r="I63" s="1123"/>
      <c r="J63" s="1123"/>
    </row>
    <row r="64" spans="1:12" ht="27" customHeight="1">
      <c r="A64" s="670"/>
      <c r="B64" s="548" t="s">
        <v>76</v>
      </c>
      <c r="C64" s="1118" t="s">
        <v>746</v>
      </c>
      <c r="D64" s="1118"/>
      <c r="E64" s="1118"/>
      <c r="F64" s="1118"/>
      <c r="G64" s="1118"/>
      <c r="H64" s="1118"/>
      <c r="I64" s="1118"/>
      <c r="J64" s="569"/>
    </row>
    <row r="68" ht="24" customHeight="1"/>
  </sheetData>
  <mergeCells count="4">
    <mergeCell ref="C64:I64"/>
    <mergeCell ref="D10:E10"/>
    <mergeCell ref="D11:E11"/>
    <mergeCell ref="C63:J63"/>
  </mergeCells>
  <phoneticPr fontId="0" type="noConversion"/>
  <pageMargins left="0.25" right="0.25" top="0.75" bottom="0.75" header="0.3" footer="0.3"/>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view="pageBreakPreview" topLeftCell="A34" zoomScale="86" zoomScaleNormal="85" zoomScaleSheetLayoutView="86" workbookViewId="0">
      <selection activeCell="F80" sqref="F80"/>
    </sheetView>
  </sheetViews>
  <sheetFormatPr defaultColWidth="8.90625" defaultRowHeight="13.2"/>
  <cols>
    <col min="1" max="1" width="4.90625" style="13" customWidth="1"/>
    <col min="2" max="2" width="29" style="15" bestFit="1" customWidth="1"/>
    <col min="3" max="3" width="20" style="15" customWidth="1"/>
    <col min="4" max="4" width="19.1796875" style="15" customWidth="1"/>
    <col min="5" max="5" width="16" style="15" customWidth="1"/>
    <col min="6" max="6" width="18.6328125" style="15" customWidth="1"/>
    <col min="7" max="7" width="21.36328125" style="15" customWidth="1"/>
    <col min="8" max="8" width="18" style="15" customWidth="1"/>
    <col min="9" max="9" width="20.81640625" style="15" customWidth="1"/>
    <col min="10" max="10" width="25.1796875" style="15" customWidth="1"/>
    <col min="11" max="14" width="11.81640625" style="15" customWidth="1"/>
    <col min="15" max="16384" width="8.90625" style="15"/>
  </cols>
  <sheetData>
    <row r="1" spans="1:12">
      <c r="C1" s="1"/>
      <c r="D1" s="1"/>
      <c r="E1" s="1"/>
      <c r="G1" s="20" t="s">
        <v>283</v>
      </c>
      <c r="H1" s="1"/>
      <c r="I1" s="1"/>
      <c r="J1" s="7" t="s">
        <v>947</v>
      </c>
    </row>
    <row r="2" spans="1:12">
      <c r="A2" s="371"/>
      <c r="C2" s="363"/>
      <c r="D2" s="1"/>
      <c r="E2" s="1"/>
      <c r="F2" s="1"/>
      <c r="G2" s="414" t="s">
        <v>415</v>
      </c>
      <c r="H2" s="1"/>
      <c r="I2" s="1"/>
      <c r="J2" s="1"/>
      <c r="L2" s="364"/>
    </row>
    <row r="3" spans="1:12">
      <c r="A3" s="371"/>
      <c r="C3" s="1"/>
      <c r="D3" s="1"/>
      <c r="E3" s="1"/>
      <c r="F3" s="1"/>
      <c r="G3" s="294" t="str">
        <f>+'Attachment H'!D5</f>
        <v>Gridliance High Plains LLC</v>
      </c>
      <c r="H3" s="1"/>
      <c r="I3" s="1"/>
      <c r="J3" s="1"/>
    </row>
    <row r="4" spans="1:12">
      <c r="A4" s="371"/>
      <c r="C4" s="1"/>
      <c r="D4" s="1"/>
      <c r="E4" s="1"/>
      <c r="F4" s="1"/>
      <c r="G4" s="1"/>
      <c r="H4" s="1"/>
      <c r="I4" s="1"/>
      <c r="J4" s="1"/>
    </row>
    <row r="5" spans="1:12">
      <c r="A5" s="371"/>
      <c r="B5" s="2"/>
      <c r="C5" s="2"/>
      <c r="D5" s="2"/>
      <c r="E5" s="2"/>
      <c r="F5" s="2"/>
      <c r="G5" s="2"/>
      <c r="H5" s="2"/>
      <c r="I5" s="2"/>
      <c r="J5" s="2"/>
    </row>
    <row r="6" spans="1:12">
      <c r="A6" s="371"/>
      <c r="B6" s="2"/>
      <c r="C6" s="1126" t="s">
        <v>304</v>
      </c>
      <c r="D6" s="1126"/>
      <c r="E6" s="11" t="s">
        <v>306</v>
      </c>
      <c r="F6" s="11" t="s">
        <v>307</v>
      </c>
      <c r="G6" s="1126" t="s">
        <v>305</v>
      </c>
      <c r="H6" s="1126"/>
      <c r="I6" s="1125" t="s">
        <v>303</v>
      </c>
      <c r="J6" s="1125"/>
    </row>
    <row r="7" spans="1:12" s="12" customFormat="1" ht="26.4">
      <c r="A7" s="372" t="s">
        <v>291</v>
      </c>
      <c r="B7" s="3" t="s">
        <v>252</v>
      </c>
      <c r="C7" s="551" t="s">
        <v>25</v>
      </c>
      <c r="D7" s="551" t="s">
        <v>262</v>
      </c>
      <c r="E7" s="551" t="s">
        <v>747</v>
      </c>
      <c r="F7" s="551" t="s">
        <v>253</v>
      </c>
      <c r="G7" s="551" t="s">
        <v>254</v>
      </c>
      <c r="H7" s="551" t="s">
        <v>255</v>
      </c>
      <c r="I7" s="551" t="s">
        <v>25</v>
      </c>
      <c r="J7" s="3" t="s">
        <v>262</v>
      </c>
    </row>
    <row r="8" spans="1:12" s="14" customFormat="1">
      <c r="A8" s="371"/>
      <c r="B8" s="11" t="s">
        <v>292</v>
      </c>
      <c r="C8" s="11" t="s">
        <v>293</v>
      </c>
      <c r="D8" s="11" t="s">
        <v>294</v>
      </c>
      <c r="E8" s="3" t="s">
        <v>295</v>
      </c>
      <c r="F8" s="3" t="s">
        <v>297</v>
      </c>
      <c r="G8" s="3" t="s">
        <v>296</v>
      </c>
      <c r="H8" s="3" t="s">
        <v>298</v>
      </c>
      <c r="I8" s="4" t="s">
        <v>299</v>
      </c>
      <c r="J8" s="4" t="s">
        <v>300</v>
      </c>
    </row>
    <row r="9" spans="1:12" s="14" customFormat="1">
      <c r="A9" s="642"/>
      <c r="B9" s="626" t="s">
        <v>749</v>
      </c>
      <c r="C9" s="414">
        <v>2</v>
      </c>
      <c r="D9" s="414">
        <v>4</v>
      </c>
      <c r="E9" s="415">
        <v>27</v>
      </c>
      <c r="F9" s="415">
        <v>31</v>
      </c>
      <c r="G9" s="415">
        <v>34</v>
      </c>
      <c r="H9" s="415">
        <v>35</v>
      </c>
      <c r="I9" s="416">
        <v>9</v>
      </c>
      <c r="J9" s="416">
        <v>11</v>
      </c>
    </row>
    <row r="10" spans="1:12" s="14" customFormat="1" ht="39.6">
      <c r="A10" s="371"/>
      <c r="B10" s="11"/>
      <c r="C10" s="489" t="s">
        <v>548</v>
      </c>
      <c r="D10" s="550" t="s">
        <v>596</v>
      </c>
      <c r="E10" s="672" t="s">
        <v>179</v>
      </c>
      <c r="F10" s="489" t="s">
        <v>878</v>
      </c>
      <c r="G10" s="489" t="s">
        <v>552</v>
      </c>
      <c r="H10" s="489" t="s">
        <v>551</v>
      </c>
      <c r="I10" s="489" t="s">
        <v>549</v>
      </c>
      <c r="J10" s="489" t="s">
        <v>550</v>
      </c>
    </row>
    <row r="11" spans="1:12">
      <c r="A11" s="371">
        <v>1</v>
      </c>
      <c r="B11" s="5" t="s">
        <v>289</v>
      </c>
      <c r="C11" s="1002">
        <v>100935722.90572566</v>
      </c>
      <c r="D11" s="6">
        <v>0</v>
      </c>
      <c r="E11" s="6">
        <v>0</v>
      </c>
      <c r="F11" s="6">
        <v>0</v>
      </c>
      <c r="G11" s="6">
        <v>356836.25769141346</v>
      </c>
      <c r="H11" s="643">
        <v>288994.69067001459</v>
      </c>
      <c r="I11" s="1002">
        <v>17180271.591884591</v>
      </c>
      <c r="J11" s="6">
        <v>0</v>
      </c>
    </row>
    <row r="12" spans="1:12">
      <c r="A12" s="371">
        <v>2</v>
      </c>
      <c r="B12" s="5" t="s">
        <v>105</v>
      </c>
      <c r="C12" s="6">
        <v>100935722.90572566</v>
      </c>
      <c r="D12" s="6">
        <v>0</v>
      </c>
      <c r="E12" s="6">
        <v>0</v>
      </c>
      <c r="F12" s="6">
        <v>0</v>
      </c>
      <c r="G12" s="6">
        <v>355132.85054440307</v>
      </c>
      <c r="H12" s="6">
        <v>254580.99229732787</v>
      </c>
      <c r="I12" s="643">
        <v>17363638.155163329</v>
      </c>
      <c r="J12" s="6">
        <v>0</v>
      </c>
      <c r="K12" s="772"/>
    </row>
    <row r="13" spans="1:12">
      <c r="A13" s="371">
        <v>3</v>
      </c>
      <c r="B13" s="1" t="s">
        <v>104</v>
      </c>
      <c r="C13" s="6">
        <v>100935722.90572566</v>
      </c>
      <c r="D13" s="6">
        <v>0</v>
      </c>
      <c r="E13" s="6">
        <v>0</v>
      </c>
      <c r="F13" s="6">
        <v>0</v>
      </c>
      <c r="G13" s="6">
        <v>355132.85054440307</v>
      </c>
      <c r="H13" s="6">
        <v>221546.8499841071</v>
      </c>
      <c r="I13" s="643">
        <v>17547004.718442064</v>
      </c>
      <c r="J13" s="6">
        <v>0</v>
      </c>
      <c r="K13" s="772"/>
    </row>
    <row r="14" spans="1:12">
      <c r="A14" s="371">
        <v>4</v>
      </c>
      <c r="B14" s="1" t="s">
        <v>256</v>
      </c>
      <c r="C14" s="6">
        <v>100935722.90572566</v>
      </c>
      <c r="D14" s="6">
        <v>0</v>
      </c>
      <c r="E14" s="6">
        <v>0</v>
      </c>
      <c r="F14" s="6">
        <v>0</v>
      </c>
      <c r="G14" s="6">
        <v>355132.85054440307</v>
      </c>
      <c r="H14" s="6">
        <v>188512.70767088636</v>
      </c>
      <c r="I14" s="643">
        <v>17730371.281720798</v>
      </c>
      <c r="J14" s="6">
        <v>0</v>
      </c>
      <c r="K14" s="772"/>
    </row>
    <row r="15" spans="1:12">
      <c r="A15" s="371">
        <v>5</v>
      </c>
      <c r="B15" s="1" t="s">
        <v>95</v>
      </c>
      <c r="C15" s="6">
        <v>100935722.90572566</v>
      </c>
      <c r="D15" s="6">
        <v>0</v>
      </c>
      <c r="E15" s="6">
        <v>0</v>
      </c>
      <c r="F15" s="6">
        <v>0</v>
      </c>
      <c r="G15" s="6">
        <v>355132.85054440307</v>
      </c>
      <c r="H15" s="6">
        <v>155478.56535766556</v>
      </c>
      <c r="I15" s="643">
        <v>17913737.844999537</v>
      </c>
      <c r="J15" s="6">
        <v>0</v>
      </c>
      <c r="K15" s="772"/>
    </row>
    <row r="16" spans="1:12">
      <c r="A16" s="371">
        <v>6</v>
      </c>
      <c r="B16" s="1" t="s">
        <v>92</v>
      </c>
      <c r="C16" s="6">
        <v>100935722.90572566</v>
      </c>
      <c r="D16" s="6">
        <v>0</v>
      </c>
      <c r="E16" s="6">
        <v>0</v>
      </c>
      <c r="F16" s="6">
        <v>0</v>
      </c>
      <c r="G16" s="6">
        <v>355132.85054440307</v>
      </c>
      <c r="H16" s="6">
        <v>122444.42304444483</v>
      </c>
      <c r="I16" s="643">
        <v>18097104.408278272</v>
      </c>
      <c r="J16" s="6">
        <v>0</v>
      </c>
      <c r="K16" s="772"/>
    </row>
    <row r="17" spans="1:11">
      <c r="A17" s="371">
        <v>7</v>
      </c>
      <c r="B17" s="1" t="s">
        <v>145</v>
      </c>
      <c r="C17" s="6">
        <v>100935722.90572566</v>
      </c>
      <c r="D17" s="6">
        <v>0</v>
      </c>
      <c r="E17" s="6">
        <v>0</v>
      </c>
      <c r="F17" s="6">
        <v>0</v>
      </c>
      <c r="G17" s="6">
        <v>355132.85054440307</v>
      </c>
      <c r="H17" s="6">
        <v>89410.280731224091</v>
      </c>
      <c r="I17" s="643">
        <v>18280470.97155701</v>
      </c>
      <c r="J17" s="6">
        <v>0</v>
      </c>
      <c r="K17" s="772"/>
    </row>
    <row r="18" spans="1:11">
      <c r="A18" s="371">
        <v>8</v>
      </c>
      <c r="B18" s="1" t="s">
        <v>102</v>
      </c>
      <c r="C18" s="6">
        <v>101585080.91748714</v>
      </c>
      <c r="D18" s="6">
        <v>0</v>
      </c>
      <c r="E18" s="6">
        <v>0</v>
      </c>
      <c r="F18" s="6">
        <v>0</v>
      </c>
      <c r="G18" s="6">
        <v>355132.85054440307</v>
      </c>
      <c r="H18" s="6">
        <v>56376.138418003342</v>
      </c>
      <c r="I18" s="643">
        <v>18465017.201890446</v>
      </c>
      <c r="J18" s="6">
        <v>0</v>
      </c>
      <c r="K18" s="772"/>
    </row>
    <row r="19" spans="1:11">
      <c r="A19" s="371">
        <v>9</v>
      </c>
      <c r="B19" s="1" t="s">
        <v>257</v>
      </c>
      <c r="C19" s="6">
        <v>101615080.91748714</v>
      </c>
      <c r="D19" s="6">
        <v>0</v>
      </c>
      <c r="E19" s="6">
        <v>0</v>
      </c>
      <c r="F19" s="6">
        <v>0</v>
      </c>
      <c r="G19" s="6">
        <v>355132.85054440307</v>
      </c>
      <c r="H19" s="6">
        <v>23341.996104782596</v>
      </c>
      <c r="I19" s="643">
        <v>18649617.932223871</v>
      </c>
      <c r="J19" s="6">
        <v>0</v>
      </c>
      <c r="K19" s="772"/>
    </row>
    <row r="20" spans="1:11">
      <c r="A20" s="371">
        <v>10</v>
      </c>
      <c r="B20" s="1" t="s">
        <v>100</v>
      </c>
      <c r="C20" s="6">
        <v>101615080.91748714</v>
      </c>
      <c r="D20" s="6">
        <v>0</v>
      </c>
      <c r="E20" s="6">
        <v>0</v>
      </c>
      <c r="F20" s="6">
        <v>0</v>
      </c>
      <c r="G20" s="6">
        <v>355132.85054440307</v>
      </c>
      <c r="H20" s="6">
        <v>263684.02486543352</v>
      </c>
      <c r="I20" s="643">
        <v>18834218.662557315</v>
      </c>
      <c r="J20" s="6">
        <v>0</v>
      </c>
      <c r="K20" s="772"/>
    </row>
    <row r="21" spans="1:11">
      <c r="A21" s="371">
        <v>11</v>
      </c>
      <c r="B21" s="1" t="s">
        <v>106</v>
      </c>
      <c r="C21" s="6">
        <v>101615080.91748714</v>
      </c>
      <c r="D21" s="6">
        <v>0</v>
      </c>
      <c r="E21" s="6">
        <v>0</v>
      </c>
      <c r="F21" s="6">
        <v>0</v>
      </c>
      <c r="G21" s="6">
        <v>355132.85054440307</v>
      </c>
      <c r="H21" s="6">
        <v>347811.09872672916</v>
      </c>
      <c r="I21" s="643">
        <v>19018819.392890751</v>
      </c>
      <c r="J21" s="6">
        <v>0</v>
      </c>
      <c r="K21" s="772"/>
    </row>
    <row r="22" spans="1:11">
      <c r="A22" s="371">
        <v>12</v>
      </c>
      <c r="B22" s="1" t="s">
        <v>99</v>
      </c>
      <c r="C22" s="6">
        <v>101615080.91748714</v>
      </c>
      <c r="D22" s="6">
        <v>0</v>
      </c>
      <c r="E22" s="6">
        <v>0</v>
      </c>
      <c r="F22" s="6">
        <v>0</v>
      </c>
      <c r="G22" s="6">
        <v>355132.85054440307</v>
      </c>
      <c r="H22" s="6">
        <v>314776.95641350839</v>
      </c>
      <c r="I22" s="643">
        <v>19203420.123224184</v>
      </c>
      <c r="J22" s="6">
        <v>0</v>
      </c>
      <c r="K22" s="772"/>
    </row>
    <row r="23" spans="1:11">
      <c r="A23" s="371">
        <v>13</v>
      </c>
      <c r="B23" s="1" t="s">
        <v>290</v>
      </c>
      <c r="C23" s="1002">
        <v>101918264.3029561</v>
      </c>
      <c r="D23" s="6">
        <v>0</v>
      </c>
      <c r="E23" s="6">
        <v>0</v>
      </c>
      <c r="F23" s="6">
        <v>0</v>
      </c>
      <c r="G23" s="6">
        <v>355132.85054440307</v>
      </c>
      <c r="H23" s="6">
        <v>281742.81410028768</v>
      </c>
      <c r="I23" s="1003">
        <v>19388571.636707887</v>
      </c>
      <c r="J23" s="6">
        <v>0</v>
      </c>
      <c r="K23" s="772"/>
    </row>
    <row r="24" spans="1:11" ht="13.8" thickBot="1">
      <c r="A24" s="371">
        <v>14</v>
      </c>
      <c r="B24" s="7" t="s">
        <v>416</v>
      </c>
      <c r="C24" s="804">
        <f t="shared" ref="C24:H24" si="0">SUM(C11:C23)/13</f>
        <v>101270286.86388241</v>
      </c>
      <c r="D24" s="804">
        <f>SUM(D11:D23)/13</f>
        <v>0</v>
      </c>
      <c r="E24" s="804">
        <f t="shared" si="0"/>
        <v>0</v>
      </c>
      <c r="F24" s="804">
        <f t="shared" si="0"/>
        <v>0</v>
      </c>
      <c r="G24" s="804">
        <f t="shared" si="0"/>
        <v>355263.88186340401</v>
      </c>
      <c r="H24" s="804">
        <f t="shared" si="0"/>
        <v>200669.34910649346</v>
      </c>
      <c r="I24" s="804">
        <f>SUM(I11:I23)/13</f>
        <v>18282481.840118468</v>
      </c>
      <c r="J24" s="804">
        <f>SUM(J11:J23)/13</f>
        <v>0</v>
      </c>
    </row>
    <row r="25" spans="1:11" ht="13.8" thickTop="1">
      <c r="A25" s="371"/>
      <c r="B25" s="1"/>
      <c r="C25" s="9"/>
      <c r="D25" s="16"/>
      <c r="E25" s="16"/>
      <c r="F25" s="16"/>
      <c r="G25" s="9"/>
      <c r="H25" s="9"/>
      <c r="I25" s="9"/>
    </row>
    <row r="26" spans="1:11">
      <c r="A26" s="371"/>
      <c r="B26" s="10"/>
      <c r="C26" s="1125" t="s">
        <v>308</v>
      </c>
      <c r="D26" s="1125"/>
      <c r="E26" s="1125"/>
      <c r="F26" s="1125"/>
      <c r="G26" s="1125"/>
      <c r="H26" s="1125"/>
      <c r="I26" s="1125"/>
    </row>
    <row r="27" spans="1:11" ht="72" customHeight="1">
      <c r="A27" s="371" t="s">
        <v>291</v>
      </c>
      <c r="B27" s="11" t="s">
        <v>252</v>
      </c>
      <c r="C27" s="4" t="s">
        <v>258</v>
      </c>
      <c r="D27" s="4" t="s">
        <v>259</v>
      </c>
      <c r="E27" s="4" t="s">
        <v>626</v>
      </c>
      <c r="F27" s="4" t="s">
        <v>627</v>
      </c>
      <c r="G27" s="4" t="s">
        <v>628</v>
      </c>
      <c r="H27" s="4" t="s">
        <v>748</v>
      </c>
      <c r="I27" s="4" t="s">
        <v>418</v>
      </c>
    </row>
    <row r="28" spans="1:11" s="14" customFormat="1">
      <c r="A28" s="371"/>
      <c r="B28" s="11" t="s">
        <v>292</v>
      </c>
      <c r="C28" s="4" t="s">
        <v>293</v>
      </c>
      <c r="D28" s="4" t="s">
        <v>294</v>
      </c>
      <c r="E28" s="4" t="s">
        <v>295</v>
      </c>
      <c r="F28" s="4" t="s">
        <v>297</v>
      </c>
      <c r="G28" s="4" t="s">
        <v>296</v>
      </c>
      <c r="H28" s="4" t="s">
        <v>298</v>
      </c>
      <c r="I28" s="4" t="s">
        <v>299</v>
      </c>
    </row>
    <row r="29" spans="1:11" s="14" customFormat="1">
      <c r="A29" s="642"/>
      <c r="B29" s="626" t="s">
        <v>749</v>
      </c>
      <c r="C29" s="416">
        <v>28</v>
      </c>
      <c r="D29" s="416">
        <v>29</v>
      </c>
      <c r="E29" s="416">
        <v>22</v>
      </c>
      <c r="F29" s="416">
        <v>23</v>
      </c>
      <c r="G29" s="416">
        <v>24</v>
      </c>
      <c r="H29" s="416">
        <v>25</v>
      </c>
      <c r="I29" s="416">
        <v>26</v>
      </c>
    </row>
    <row r="30" spans="1:11" s="14" customFormat="1" ht="26.4">
      <c r="A30" s="371"/>
      <c r="B30" s="11"/>
      <c r="C30" s="551" t="s">
        <v>622</v>
      </c>
      <c r="D30" s="4" t="s">
        <v>623</v>
      </c>
      <c r="E30" s="4" t="s">
        <v>624</v>
      </c>
      <c r="F30" s="4" t="s">
        <v>1068</v>
      </c>
      <c r="G30" s="4" t="s">
        <v>1068</v>
      </c>
      <c r="H30" s="4" t="s">
        <v>1068</v>
      </c>
      <c r="I30" s="4" t="s">
        <v>625</v>
      </c>
    </row>
    <row r="31" spans="1:11">
      <c r="A31" s="371">
        <v>15</v>
      </c>
      <c r="B31" s="5" t="s">
        <v>289</v>
      </c>
      <c r="C31" s="6">
        <v>0</v>
      </c>
      <c r="D31" s="6">
        <v>0</v>
      </c>
      <c r="E31" s="6">
        <v>0</v>
      </c>
      <c r="F31" s="514"/>
      <c r="G31" s="514"/>
      <c r="H31" s="514"/>
      <c r="I31" s="6">
        <v>0</v>
      </c>
    </row>
    <row r="32" spans="1:11">
      <c r="A32" s="371">
        <v>16</v>
      </c>
      <c r="B32" s="5" t="s">
        <v>105</v>
      </c>
      <c r="C32" s="6">
        <v>0</v>
      </c>
      <c r="D32" s="6">
        <v>0</v>
      </c>
      <c r="E32" s="514"/>
      <c r="F32" s="514"/>
      <c r="G32" s="514"/>
      <c r="H32" s="514"/>
      <c r="I32" s="6">
        <v>0</v>
      </c>
      <c r="K32" s="772"/>
    </row>
    <row r="33" spans="1:15">
      <c r="A33" s="371">
        <v>17</v>
      </c>
      <c r="B33" s="1" t="s">
        <v>104</v>
      </c>
      <c r="C33" s="6">
        <v>0</v>
      </c>
      <c r="D33" s="6">
        <v>0</v>
      </c>
      <c r="E33" s="514"/>
      <c r="F33" s="514"/>
      <c r="G33" s="514"/>
      <c r="H33" s="514"/>
      <c r="I33" s="6">
        <v>0</v>
      </c>
      <c r="K33" s="772"/>
    </row>
    <row r="34" spans="1:15">
      <c r="A34" s="371">
        <v>18</v>
      </c>
      <c r="B34" s="1" t="s">
        <v>256</v>
      </c>
      <c r="C34" s="6">
        <v>0</v>
      </c>
      <c r="D34" s="6">
        <v>0</v>
      </c>
      <c r="E34" s="514"/>
      <c r="F34" s="514"/>
      <c r="G34" s="514"/>
      <c r="H34" s="514"/>
      <c r="I34" s="6">
        <v>0</v>
      </c>
      <c r="K34" s="772"/>
    </row>
    <row r="35" spans="1:15">
      <c r="A35" s="371">
        <v>19</v>
      </c>
      <c r="B35" s="1" t="s">
        <v>95</v>
      </c>
      <c r="C35" s="6">
        <v>0</v>
      </c>
      <c r="D35" s="6">
        <v>0</v>
      </c>
      <c r="E35" s="514"/>
      <c r="F35" s="514"/>
      <c r="G35" s="514"/>
      <c r="H35" s="514"/>
      <c r="I35" s="6">
        <v>0</v>
      </c>
      <c r="K35" s="772"/>
    </row>
    <row r="36" spans="1:15">
      <c r="A36" s="371">
        <v>20</v>
      </c>
      <c r="B36" s="1" t="s">
        <v>92</v>
      </c>
      <c r="C36" s="6">
        <v>0</v>
      </c>
      <c r="D36" s="6">
        <v>0</v>
      </c>
      <c r="E36" s="514"/>
      <c r="F36" s="514"/>
      <c r="G36" s="514"/>
      <c r="H36" s="514"/>
      <c r="I36" s="6">
        <v>0</v>
      </c>
      <c r="K36" s="772"/>
    </row>
    <row r="37" spans="1:15">
      <c r="A37" s="371">
        <v>21</v>
      </c>
      <c r="B37" s="1" t="s">
        <v>145</v>
      </c>
      <c r="C37" s="6">
        <v>0</v>
      </c>
      <c r="D37" s="6">
        <v>0</v>
      </c>
      <c r="E37" s="514"/>
      <c r="F37" s="514"/>
      <c r="G37" s="514"/>
      <c r="H37" s="514"/>
      <c r="I37" s="6">
        <v>0</v>
      </c>
      <c r="K37" s="772"/>
    </row>
    <row r="38" spans="1:15">
      <c r="A38" s="371">
        <v>22</v>
      </c>
      <c r="B38" s="1" t="s">
        <v>102</v>
      </c>
      <c r="C38" s="6">
        <v>0</v>
      </c>
      <c r="D38" s="6">
        <v>0</v>
      </c>
      <c r="E38" s="514"/>
      <c r="F38" s="514"/>
      <c r="G38" s="514"/>
      <c r="H38" s="514"/>
      <c r="I38" s="6">
        <v>0</v>
      </c>
      <c r="K38" s="772"/>
    </row>
    <row r="39" spans="1:15">
      <c r="A39" s="371">
        <v>23</v>
      </c>
      <c r="B39" s="1" t="s">
        <v>257</v>
      </c>
      <c r="C39" s="6">
        <v>0</v>
      </c>
      <c r="D39" s="6">
        <v>0</v>
      </c>
      <c r="E39" s="514"/>
      <c r="F39" s="514"/>
      <c r="G39" s="514"/>
      <c r="H39" s="514"/>
      <c r="I39" s="6">
        <v>0</v>
      </c>
      <c r="K39" s="772"/>
    </row>
    <row r="40" spans="1:15">
      <c r="A40" s="371">
        <v>24</v>
      </c>
      <c r="B40" s="1" t="s">
        <v>100</v>
      </c>
      <c r="C40" s="6">
        <v>0</v>
      </c>
      <c r="D40" s="6">
        <v>0</v>
      </c>
      <c r="E40" s="514"/>
      <c r="F40" s="514"/>
      <c r="G40" s="514"/>
      <c r="H40" s="514"/>
      <c r="I40" s="6">
        <v>0</v>
      </c>
      <c r="K40" s="772"/>
    </row>
    <row r="41" spans="1:15">
      <c r="A41" s="371">
        <v>25</v>
      </c>
      <c r="B41" s="1" t="s">
        <v>106</v>
      </c>
      <c r="C41" s="6">
        <v>0</v>
      </c>
      <c r="D41" s="6">
        <v>0</v>
      </c>
      <c r="E41" s="514"/>
      <c r="F41" s="514"/>
      <c r="G41" s="514"/>
      <c r="H41" s="514"/>
      <c r="I41" s="6">
        <v>0</v>
      </c>
      <c r="K41" s="772"/>
    </row>
    <row r="42" spans="1:15">
      <c r="A42" s="371">
        <v>26</v>
      </c>
      <c r="B42" s="1" t="s">
        <v>99</v>
      </c>
      <c r="C42" s="6">
        <v>0</v>
      </c>
      <c r="D42" s="6">
        <v>0</v>
      </c>
      <c r="E42" s="514"/>
      <c r="F42" s="514"/>
      <c r="G42" s="514"/>
      <c r="H42" s="514"/>
      <c r="I42" s="6">
        <v>0</v>
      </c>
      <c r="K42" s="772"/>
    </row>
    <row r="43" spans="1:15">
      <c r="A43" s="371">
        <v>27</v>
      </c>
      <c r="B43" s="1" t="s">
        <v>290</v>
      </c>
      <c r="C43" s="6">
        <f>+C42</f>
        <v>0</v>
      </c>
      <c r="D43" s="6">
        <v>0</v>
      </c>
      <c r="E43" s="6">
        <v>0</v>
      </c>
      <c r="F43" s="514"/>
      <c r="G43" s="514"/>
      <c r="H43" s="514"/>
      <c r="I43" s="6">
        <v>0</v>
      </c>
      <c r="K43" s="772"/>
    </row>
    <row r="44" spans="1:15" ht="13.8" thickBot="1">
      <c r="A44" s="371">
        <v>28</v>
      </c>
      <c r="B44" s="7" t="s">
        <v>417</v>
      </c>
      <c r="C44" s="804">
        <f t="shared" ref="C44:I44" si="1">SUM(C31:C43)/13</f>
        <v>0</v>
      </c>
      <c r="D44" s="8">
        <f t="shared" si="1"/>
        <v>0</v>
      </c>
      <c r="E44" s="8">
        <f>(E31+E43)/2</f>
        <v>0</v>
      </c>
      <c r="F44" s="953">
        <f>'4a-ADIT Projection'!I15</f>
        <v>-1239642.779502745</v>
      </c>
      <c r="G44" s="953">
        <f>'4a-ADIT Projection'!I25</f>
        <v>0</v>
      </c>
      <c r="H44" s="953">
        <f>'4a-ADIT Projection'!I35</f>
        <v>0</v>
      </c>
      <c r="I44" s="8">
        <f t="shared" si="1"/>
        <v>0</v>
      </c>
      <c r="K44" s="772"/>
    </row>
    <row r="45" spans="1:15" ht="13.8" thickTop="1">
      <c r="A45" s="371"/>
      <c r="B45" s="1"/>
      <c r="I45" s="16"/>
    </row>
    <row r="46" spans="1:15">
      <c r="A46" s="371"/>
    </row>
    <row r="47" spans="1:15">
      <c r="F47" s="829" t="s">
        <v>283</v>
      </c>
    </row>
    <row r="48" spans="1:15">
      <c r="A48" s="529"/>
      <c r="B48" s="362"/>
      <c r="C48" s="530"/>
      <c r="D48" s="530"/>
      <c r="E48" s="530"/>
      <c r="F48" s="414" t="s">
        <v>415</v>
      </c>
      <c r="G48" s="530"/>
      <c r="L48" s="14"/>
      <c r="M48" s="14"/>
      <c r="N48" s="14"/>
      <c r="O48" s="14"/>
    </row>
    <row r="49" spans="1:16">
      <c r="A49" s="529"/>
      <c r="C49" s="530"/>
      <c r="D49" s="530"/>
      <c r="E49" s="530"/>
      <c r="F49" s="828" t="s">
        <v>862</v>
      </c>
      <c r="G49" s="531"/>
      <c r="H49" s="325"/>
      <c r="I49" s="325"/>
      <c r="K49" s="14"/>
      <c r="L49" s="14"/>
      <c r="M49" s="14"/>
      <c r="N49" s="14"/>
      <c r="O49" s="14"/>
    </row>
    <row r="50" spans="1:16" s="772" customFormat="1">
      <c r="A50" s="830"/>
      <c r="B50" s="447" t="s">
        <v>750</v>
      </c>
      <c r="C50" s="530"/>
      <c r="D50" s="530"/>
      <c r="E50" s="530"/>
      <c r="F50" s="828"/>
      <c r="G50" s="531"/>
      <c r="H50" s="325"/>
      <c r="I50" s="325"/>
      <c r="K50" s="14"/>
      <c r="L50" s="14"/>
      <c r="M50" s="14"/>
      <c r="N50" s="14"/>
      <c r="O50" s="14"/>
    </row>
    <row r="51" spans="1:16">
      <c r="A51" s="529"/>
      <c r="B51" s="362" t="s">
        <v>292</v>
      </c>
      <c r="C51" s="362" t="s">
        <v>293</v>
      </c>
      <c r="D51" s="362" t="s">
        <v>294</v>
      </c>
      <c r="E51" s="362" t="s">
        <v>295</v>
      </c>
      <c r="F51" s="447" t="s">
        <v>297</v>
      </c>
      <c r="G51" s="447" t="s">
        <v>296</v>
      </c>
      <c r="H51" s="447" t="s">
        <v>298</v>
      </c>
      <c r="I51" s="447" t="s">
        <v>299</v>
      </c>
      <c r="J51" s="364" t="s">
        <v>238</v>
      </c>
      <c r="K51" s="325"/>
      <c r="L51" s="14"/>
      <c r="M51" s="14"/>
      <c r="N51" s="14"/>
      <c r="O51" s="14"/>
      <c r="P51" s="14"/>
    </row>
    <row r="52" spans="1:16" ht="79.2">
      <c r="A52" s="529">
        <v>29</v>
      </c>
      <c r="B52" s="532" t="s">
        <v>604</v>
      </c>
      <c r="C52" s="305"/>
      <c r="D52" s="533" t="s">
        <v>19</v>
      </c>
      <c r="E52" s="533" t="s">
        <v>605</v>
      </c>
      <c r="F52" s="533" t="s">
        <v>606</v>
      </c>
      <c r="G52" s="533" t="s">
        <v>607</v>
      </c>
      <c r="H52" s="534" t="s">
        <v>608</v>
      </c>
      <c r="I52" s="534" t="s">
        <v>609</v>
      </c>
      <c r="J52" s="532"/>
      <c r="K52" s="532"/>
      <c r="L52" s="532"/>
      <c r="M52" s="535"/>
      <c r="N52" s="14"/>
      <c r="O52" s="14"/>
      <c r="P52" s="14"/>
    </row>
    <row r="53" spans="1:16">
      <c r="A53" s="529" t="s">
        <v>610</v>
      </c>
      <c r="B53" s="505"/>
      <c r="C53" s="536" t="s">
        <v>611</v>
      </c>
      <c r="D53" s="537">
        <v>0</v>
      </c>
      <c r="E53" s="537">
        <v>0</v>
      </c>
      <c r="F53" s="538"/>
      <c r="G53" s="538"/>
      <c r="H53" s="537"/>
      <c r="I53" s="539">
        <f t="shared" ref="I53:I58" si="2">+H53*E53*D53*F53*G53</f>
        <v>0</v>
      </c>
      <c r="J53" s="505"/>
      <c r="K53" s="505"/>
      <c r="L53" s="505"/>
      <c r="M53" s="535"/>
      <c r="N53" s="14"/>
      <c r="O53" s="14"/>
      <c r="P53" s="14"/>
    </row>
    <row r="54" spans="1:16">
      <c r="A54" s="529" t="s">
        <v>612</v>
      </c>
      <c r="B54" s="505"/>
      <c r="C54" s="536" t="s">
        <v>613</v>
      </c>
      <c r="D54" s="540">
        <v>0</v>
      </c>
      <c r="E54" s="537">
        <v>0</v>
      </c>
      <c r="F54" s="538"/>
      <c r="G54" s="538"/>
      <c r="H54" s="537"/>
      <c r="I54" s="539">
        <f t="shared" si="2"/>
        <v>0</v>
      </c>
      <c r="J54" s="505"/>
      <c r="K54" s="505"/>
      <c r="L54" s="505"/>
      <c r="M54" s="535"/>
      <c r="N54" s="14"/>
      <c r="O54" s="14"/>
      <c r="P54" s="14"/>
    </row>
    <row r="55" spans="1:16">
      <c r="A55" s="529" t="s">
        <v>614</v>
      </c>
      <c r="B55" s="505"/>
      <c r="C55" s="536" t="s">
        <v>615</v>
      </c>
      <c r="D55" s="540"/>
      <c r="E55" s="537"/>
      <c r="F55" s="538"/>
      <c r="G55" s="538"/>
      <c r="H55" s="537"/>
      <c r="I55" s="539">
        <f t="shared" si="2"/>
        <v>0</v>
      </c>
      <c r="J55" s="505"/>
      <c r="K55" s="505"/>
      <c r="L55" s="505"/>
      <c r="M55" s="535"/>
      <c r="N55" s="14"/>
      <c r="O55" s="14"/>
      <c r="P55" s="14"/>
    </row>
    <row r="56" spans="1:16">
      <c r="A56" s="529" t="s">
        <v>616</v>
      </c>
      <c r="B56" s="505"/>
      <c r="C56" s="536" t="s">
        <v>617</v>
      </c>
      <c r="D56" s="540"/>
      <c r="E56" s="537"/>
      <c r="F56" s="538"/>
      <c r="G56" s="538"/>
      <c r="H56" s="537"/>
      <c r="I56" s="539">
        <f t="shared" si="2"/>
        <v>0</v>
      </c>
      <c r="J56" s="505"/>
      <c r="K56" s="505"/>
      <c r="L56" s="505"/>
      <c r="M56" s="535"/>
      <c r="N56" s="14"/>
      <c r="O56" s="14"/>
      <c r="P56" s="14"/>
    </row>
    <row r="57" spans="1:16">
      <c r="A57" s="529" t="s">
        <v>618</v>
      </c>
      <c r="B57" s="505"/>
      <c r="C57" s="536" t="s">
        <v>501</v>
      </c>
      <c r="D57" s="540"/>
      <c r="E57" s="537"/>
      <c r="F57" s="538"/>
      <c r="G57" s="538"/>
      <c r="H57" s="537"/>
      <c r="I57" s="539">
        <f t="shared" si="2"/>
        <v>0</v>
      </c>
      <c r="J57" s="505"/>
      <c r="K57" s="505"/>
      <c r="L57" s="505"/>
      <c r="M57" s="535"/>
      <c r="N57" s="14"/>
      <c r="O57" s="14"/>
      <c r="P57" s="14"/>
    </row>
    <row r="58" spans="1:16">
      <c r="A58" s="529" t="s">
        <v>619</v>
      </c>
      <c r="B58" s="505"/>
      <c r="C58" s="541" t="s">
        <v>501</v>
      </c>
      <c r="D58" s="542">
        <v>0</v>
      </c>
      <c r="E58" s="543">
        <v>0</v>
      </c>
      <c r="F58" s="544"/>
      <c r="G58" s="544"/>
      <c r="H58" s="543"/>
      <c r="I58" s="545">
        <f t="shared" si="2"/>
        <v>0</v>
      </c>
      <c r="J58" s="505"/>
      <c r="K58" s="505"/>
      <c r="L58" s="505"/>
      <c r="M58" s="535"/>
      <c r="N58" s="14"/>
      <c r="O58" s="14"/>
      <c r="P58" s="14"/>
    </row>
    <row r="59" spans="1:16">
      <c r="A59" s="529">
        <v>31</v>
      </c>
      <c r="B59" s="505"/>
      <c r="C59" s="532" t="s">
        <v>21</v>
      </c>
      <c r="D59" s="546">
        <f>SUM(D53:D58)</f>
        <v>0</v>
      </c>
      <c r="E59" s="121"/>
      <c r="F59" s="14"/>
      <c r="G59" s="14"/>
      <c r="H59" s="121"/>
      <c r="I59" s="539">
        <f>SUM(I53:I58)</f>
        <v>0</v>
      </c>
      <c r="J59" s="505"/>
      <c r="K59" s="505"/>
      <c r="L59" s="505"/>
      <c r="M59" s="535"/>
      <c r="N59" s="14"/>
      <c r="O59" s="14"/>
      <c r="P59" s="14"/>
    </row>
    <row r="60" spans="1:16">
      <c r="A60" s="373"/>
      <c r="B60" s="374"/>
      <c r="C60" s="375"/>
      <c r="D60" s="375"/>
      <c r="E60" s="375"/>
      <c r="F60" s="375"/>
      <c r="G60" s="375"/>
      <c r="I60" s="547"/>
      <c r="J60" s="547"/>
      <c r="K60" s="547"/>
    </row>
    <row r="61" spans="1:16">
      <c r="A61" s="373"/>
      <c r="B61" s="374"/>
      <c r="C61" s="375"/>
      <c r="D61" s="375"/>
      <c r="E61" s="375"/>
      <c r="F61" s="375"/>
      <c r="G61" s="375"/>
      <c r="L61" s="14"/>
      <c r="M61" s="14"/>
      <c r="N61" s="14"/>
      <c r="O61" s="14"/>
      <c r="P61" s="14"/>
    </row>
    <row r="62" spans="1:16">
      <c r="A62" s="373"/>
      <c r="B62" s="374"/>
      <c r="C62" s="375"/>
      <c r="D62" s="375"/>
      <c r="E62" s="375"/>
      <c r="F62" s="375"/>
      <c r="G62" s="375"/>
      <c r="L62" s="14"/>
      <c r="M62" s="14"/>
      <c r="N62" s="14"/>
      <c r="O62" s="14"/>
      <c r="P62" s="14"/>
    </row>
    <row r="63" spans="1:16">
      <c r="A63" s="529" t="s">
        <v>274</v>
      </c>
    </row>
    <row r="64" spans="1:16" ht="12.75" customHeight="1">
      <c r="A64" s="642" t="s">
        <v>75</v>
      </c>
      <c r="B64" s="1127" t="s">
        <v>620</v>
      </c>
      <c r="C64" s="1127"/>
      <c r="D64" s="1127"/>
      <c r="E64" s="1127"/>
      <c r="F64" s="1127"/>
      <c r="G64" s="1127"/>
      <c r="H64" s="1127"/>
      <c r="I64" s="1127"/>
      <c r="J64" s="1127"/>
      <c r="K64" s="1127"/>
    </row>
    <row r="65" spans="1:12" ht="12.75" customHeight="1">
      <c r="A65" s="642" t="s">
        <v>76</v>
      </c>
      <c r="B65" s="1127" t="s">
        <v>751</v>
      </c>
      <c r="C65" s="1127"/>
      <c r="D65" s="1127"/>
      <c r="E65" s="1127"/>
      <c r="F65" s="1127"/>
      <c r="G65" s="1127"/>
      <c r="H65" s="1127"/>
      <c r="I65" s="1127"/>
      <c r="J65" s="1127"/>
      <c r="K65" s="1127"/>
      <c r="L65" s="364"/>
    </row>
    <row r="66" spans="1:12" ht="12.75" customHeight="1">
      <c r="A66" s="549" t="s">
        <v>77</v>
      </c>
      <c r="B66" s="325" t="s">
        <v>752</v>
      </c>
      <c r="C66" s="673"/>
      <c r="D66" s="673"/>
      <c r="E66" s="673"/>
      <c r="F66" s="673"/>
      <c r="G66" s="673"/>
      <c r="H66" s="673"/>
      <c r="I66" s="673"/>
      <c r="J66" s="673"/>
      <c r="K66" s="673"/>
    </row>
    <row r="67" spans="1:12">
      <c r="A67" s="549"/>
      <c r="B67" s="674" t="s">
        <v>753</v>
      </c>
      <c r="C67" s="638"/>
      <c r="D67" s="638"/>
      <c r="E67" s="638"/>
      <c r="F67" s="638"/>
      <c r="G67" s="638"/>
      <c r="H67" s="638"/>
      <c r="I67" s="638"/>
      <c r="J67" s="638"/>
      <c r="K67" s="638"/>
    </row>
    <row r="68" spans="1:12" ht="27.45" customHeight="1">
      <c r="A68" s="548" t="s">
        <v>78</v>
      </c>
      <c r="B68" s="1123" t="s">
        <v>1099</v>
      </c>
      <c r="C68" s="1123"/>
      <c r="D68" s="1123"/>
      <c r="E68" s="1123"/>
      <c r="F68" s="1123"/>
      <c r="G68" s="1123"/>
      <c r="H68" s="1123"/>
      <c r="I68" s="1123"/>
      <c r="J68" s="1123"/>
      <c r="K68" s="325"/>
    </row>
    <row r="69" spans="1:12" ht="28.5" customHeight="1">
      <c r="A69" s="548" t="s">
        <v>79</v>
      </c>
      <c r="B69" s="1124" t="s">
        <v>754</v>
      </c>
      <c r="C69" s="1124"/>
      <c r="D69" s="1124"/>
      <c r="E69" s="1124"/>
      <c r="F69" s="1124"/>
      <c r="G69" s="1124"/>
      <c r="H69" s="1124"/>
      <c r="I69" s="1124"/>
      <c r="J69" s="1124"/>
      <c r="K69" s="637"/>
    </row>
    <row r="70" spans="1:12" ht="12.75" customHeight="1">
      <c r="A70" s="642" t="s">
        <v>80</v>
      </c>
      <c r="B70" s="1128" t="s">
        <v>621</v>
      </c>
      <c r="C70" s="1124"/>
      <c r="D70" s="1124"/>
      <c r="E70" s="1124"/>
      <c r="F70" s="1124"/>
      <c r="G70" s="1124"/>
      <c r="H70" s="1124"/>
      <c r="I70" s="1124"/>
      <c r="J70" s="1124"/>
      <c r="K70" s="1124"/>
    </row>
    <row r="71" spans="1:12" ht="43.5" customHeight="1">
      <c r="A71" s="582" t="s">
        <v>81</v>
      </c>
      <c r="B71" s="1124" t="s">
        <v>755</v>
      </c>
      <c r="C71" s="1124"/>
      <c r="D71" s="1124"/>
      <c r="E71" s="1124"/>
      <c r="F71" s="1124"/>
      <c r="G71" s="1124"/>
      <c r="H71" s="1124"/>
      <c r="I71" s="1124"/>
      <c r="J71" s="1124"/>
      <c r="K71" s="637"/>
    </row>
    <row r="72" spans="1:12">
      <c r="A72" s="642" t="s">
        <v>83</v>
      </c>
      <c r="B72" s="675" t="s">
        <v>1071</v>
      </c>
      <c r="C72" s="639"/>
      <c r="D72" s="639"/>
      <c r="E72" s="639"/>
      <c r="F72" s="639"/>
      <c r="G72" s="639"/>
      <c r="H72" s="639"/>
      <c r="I72" s="639"/>
      <c r="J72" s="639"/>
      <c r="K72" s="639"/>
    </row>
    <row r="75" spans="1:12">
      <c r="B75" s="761"/>
    </row>
    <row r="76" spans="1:12">
      <c r="B76" s="756"/>
    </row>
    <row r="77" spans="1:12">
      <c r="B77" s="75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8"/>
  <sheetViews>
    <sheetView view="pageBreakPreview" zoomScale="85" zoomScaleNormal="80" zoomScaleSheetLayoutView="85" workbookViewId="0">
      <selection activeCell="Q60" sqref="Q60"/>
    </sheetView>
  </sheetViews>
  <sheetFormatPr defaultColWidth="8.90625" defaultRowHeight="13.2"/>
  <cols>
    <col min="1" max="1" width="5.6328125" style="845" customWidth="1"/>
    <col min="2" max="2" width="31.453125" style="852" customWidth="1"/>
    <col min="3" max="3" width="10.6328125" style="845" customWidth="1"/>
    <col min="4" max="4" width="9.90625" style="845" customWidth="1"/>
    <col min="5" max="5" width="16.36328125" style="845" customWidth="1"/>
    <col min="6" max="6" width="12.08984375" style="845" customWidth="1"/>
    <col min="7" max="7" width="11.90625" style="845" customWidth="1"/>
    <col min="8" max="8" width="12" style="845" customWidth="1"/>
    <col min="9" max="9" width="17.08984375" style="845" customWidth="1"/>
    <col min="10" max="10" width="39.81640625" style="845" bestFit="1" customWidth="1"/>
    <col min="11" max="11" width="8.90625" style="845"/>
    <col min="12" max="12" width="12.08984375" style="845" customWidth="1"/>
    <col min="13" max="13" width="12.90625" style="845" customWidth="1"/>
    <col min="14" max="16384" width="8.90625" style="845"/>
  </cols>
  <sheetData>
    <row r="1" spans="1:18" ht="18" customHeight="1">
      <c r="A1" s="1129" t="s">
        <v>991</v>
      </c>
      <c r="B1" s="1129"/>
      <c r="C1" s="1129"/>
      <c r="D1" s="1129"/>
      <c r="E1" s="1129"/>
      <c r="F1" s="1129"/>
      <c r="G1" s="1129"/>
      <c r="H1" s="1129"/>
      <c r="I1" s="1129"/>
      <c r="J1" s="1129"/>
      <c r="K1" s="844"/>
      <c r="L1" s="844"/>
      <c r="M1" s="844"/>
    </row>
    <row r="2" spans="1:18" ht="18" customHeight="1">
      <c r="A2" s="1129" t="str">
        <f>+'Attachment H'!D5</f>
        <v>Gridliance High Plains LLC</v>
      </c>
      <c r="B2" s="1129"/>
      <c r="C2" s="1129"/>
      <c r="D2" s="1129"/>
      <c r="E2" s="1129"/>
      <c r="F2" s="1129"/>
      <c r="G2" s="1129"/>
      <c r="H2" s="1129"/>
      <c r="I2" s="1129"/>
      <c r="J2" s="1129"/>
      <c r="K2" s="846"/>
      <c r="L2" s="846"/>
      <c r="M2" s="846"/>
    </row>
    <row r="3" spans="1:18" ht="18" customHeight="1">
      <c r="A3" s="1129" t="s">
        <v>1140</v>
      </c>
      <c r="B3" s="1129"/>
      <c r="C3" s="1129"/>
      <c r="D3" s="1129"/>
      <c r="E3" s="1129"/>
      <c r="F3" s="1129"/>
      <c r="G3" s="1129"/>
      <c r="H3" s="1130"/>
      <c r="I3" s="1130"/>
      <c r="J3" s="1129"/>
      <c r="K3" s="844"/>
      <c r="L3" s="844"/>
      <c r="M3" s="844"/>
    </row>
    <row r="4" spans="1:18" ht="18" customHeight="1">
      <c r="A4" s="847"/>
      <c r="B4" s="847"/>
      <c r="C4" s="847"/>
      <c r="D4" s="847"/>
      <c r="E4" s="847"/>
      <c r="F4" s="847"/>
      <c r="G4" s="847"/>
      <c r="H4" s="847"/>
      <c r="I4" s="847"/>
      <c r="J4" s="847"/>
      <c r="K4" s="844"/>
      <c r="L4" s="844"/>
      <c r="M4" s="844"/>
    </row>
    <row r="5" spans="1:18">
      <c r="B5" s="847" t="s">
        <v>292</v>
      </c>
      <c r="C5" s="847" t="s">
        <v>293</v>
      </c>
      <c r="D5" s="847" t="s">
        <v>294</v>
      </c>
      <c r="E5" s="847" t="s">
        <v>295</v>
      </c>
      <c r="F5" s="847" t="s">
        <v>297</v>
      </c>
      <c r="G5" s="848" t="s">
        <v>296</v>
      </c>
      <c r="H5" s="848" t="s">
        <v>298</v>
      </c>
      <c r="I5" s="849" t="s">
        <v>299</v>
      </c>
      <c r="J5" s="847"/>
    </row>
    <row r="6" spans="1:18" ht="26.4">
      <c r="A6" s="850" t="s">
        <v>992</v>
      </c>
      <c r="B6" s="851" t="s">
        <v>993</v>
      </c>
      <c r="C6" s="851" t="s">
        <v>252</v>
      </c>
      <c r="D6" s="851" t="s">
        <v>96</v>
      </c>
      <c r="E6" s="851" t="s">
        <v>994</v>
      </c>
      <c r="F6" s="851" t="s">
        <v>995</v>
      </c>
      <c r="G6" s="851" t="s">
        <v>996</v>
      </c>
      <c r="H6" s="851" t="s">
        <v>997</v>
      </c>
      <c r="I6" s="851" t="s">
        <v>998</v>
      </c>
      <c r="J6" s="851"/>
      <c r="K6" s="844"/>
      <c r="L6" s="844"/>
      <c r="M6" s="844"/>
      <c r="N6" s="844"/>
      <c r="O6" s="844"/>
      <c r="P6" s="844"/>
      <c r="Q6" s="844"/>
      <c r="R6" s="847"/>
    </row>
    <row r="7" spans="1:18">
      <c r="A7" s="845" t="s">
        <v>999</v>
      </c>
      <c r="C7" s="853"/>
      <c r="D7" s="847"/>
      <c r="E7" s="847"/>
      <c r="F7" s="847"/>
      <c r="H7" s="844"/>
      <c r="I7" s="844"/>
      <c r="J7" s="844"/>
      <c r="K7" s="844"/>
      <c r="L7" s="844"/>
      <c r="M7" s="844"/>
      <c r="N7" s="844"/>
      <c r="O7" s="844"/>
      <c r="P7" s="844"/>
      <c r="Q7" s="844"/>
      <c r="R7" s="847"/>
    </row>
    <row r="8" spans="1:18" ht="20.100000000000001" customHeight="1">
      <c r="A8" s="854">
        <v>1</v>
      </c>
      <c r="B8" s="855" t="s">
        <v>1000</v>
      </c>
      <c r="C8" s="853" t="s">
        <v>98</v>
      </c>
      <c r="D8" s="1005">
        <v>2021</v>
      </c>
      <c r="E8" s="767">
        <f>SUM(F8:H8)</f>
        <v>-604380.61580149084</v>
      </c>
      <c r="F8" s="767">
        <f>'4c- ADIT BOY'!E54</f>
        <v>-604380.61580149084</v>
      </c>
      <c r="G8" s="767">
        <f>'4c- ADIT BOY'!F54</f>
        <v>0</v>
      </c>
      <c r="H8" s="767">
        <f>'4c- ADIT BOY'!G54</f>
        <v>0</v>
      </c>
      <c r="I8" s="767"/>
      <c r="J8" s="856"/>
    </row>
    <row r="9" spans="1:18" ht="20.100000000000001" customHeight="1">
      <c r="A9" s="854">
        <f>A8+1</f>
        <v>2</v>
      </c>
      <c r="B9" s="855" t="s">
        <v>1119</v>
      </c>
      <c r="C9" s="853" t="s">
        <v>98</v>
      </c>
      <c r="D9" s="1005">
        <v>2022</v>
      </c>
      <c r="E9" s="767">
        <f t="shared" ref="E9:E11" si="0">SUM(F9:H9)</f>
        <v>0</v>
      </c>
      <c r="F9" s="767">
        <f>'4d- ADIT EOY'!E54-'4d- ADIT EOY'!E51</f>
        <v>0</v>
      </c>
      <c r="G9" s="134">
        <f>'4d- ADIT EOY'!F54-'4d- ADIT EOY'!F51</f>
        <v>0</v>
      </c>
      <c r="H9" s="134">
        <f>'4d- ADIT EOY'!G54-'4d- ADIT EOY'!G51</f>
        <v>0</v>
      </c>
      <c r="I9" s="767"/>
      <c r="J9" s="856"/>
    </row>
    <row r="10" spans="1:18" ht="20.100000000000001" customHeight="1">
      <c r="A10" s="854">
        <f>A9+1</f>
        <v>3</v>
      </c>
      <c r="B10" s="855" t="s">
        <v>1076</v>
      </c>
      <c r="C10" s="853" t="s">
        <v>98</v>
      </c>
      <c r="D10" s="1005">
        <v>2022</v>
      </c>
      <c r="E10" s="767">
        <f t="shared" si="0"/>
        <v>-1239642.779502745</v>
      </c>
      <c r="F10" s="767">
        <f>'4b-ADIT Projection Proration'!H22</f>
        <v>-1239642.779502745</v>
      </c>
      <c r="G10" s="767">
        <f>'4b-ADIT Projection Proration'!J22</f>
        <v>0</v>
      </c>
      <c r="H10" s="767">
        <f>'4b-ADIT Projection Proration'!L22</f>
        <v>0</v>
      </c>
      <c r="I10" s="767"/>
      <c r="J10" s="856"/>
    </row>
    <row r="11" spans="1:18" ht="20.100000000000001" customHeight="1">
      <c r="A11" s="854">
        <f>+A10+1</f>
        <v>4</v>
      </c>
      <c r="B11" s="855" t="s">
        <v>1077</v>
      </c>
      <c r="C11" s="853" t="s">
        <v>98</v>
      </c>
      <c r="D11" s="1005">
        <v>2022</v>
      </c>
      <c r="E11" s="767">
        <f t="shared" si="0"/>
        <v>-1239642.779502745</v>
      </c>
      <c r="F11" s="859">
        <f t="shared" ref="F11:H11" si="1">F9+F10</f>
        <v>-1239642.779502745</v>
      </c>
      <c r="G11" s="857">
        <f t="shared" si="1"/>
        <v>0</v>
      </c>
      <c r="H11" s="857">
        <f t="shared" si="1"/>
        <v>0</v>
      </c>
      <c r="I11" s="857"/>
      <c r="J11" s="857"/>
    </row>
    <row r="12" spans="1:18" ht="20.100000000000001" customHeight="1">
      <c r="A12" s="854">
        <f t="shared" ref="A12:A15" si="2">+A11+1</f>
        <v>5</v>
      </c>
      <c r="B12" s="855" t="s">
        <v>1001</v>
      </c>
      <c r="C12" s="853"/>
      <c r="D12" s="853"/>
      <c r="E12" s="857"/>
      <c r="F12" s="857">
        <v>1</v>
      </c>
      <c r="G12" s="857"/>
      <c r="H12" s="857"/>
      <c r="I12" s="857"/>
      <c r="J12" s="858">
        <v>1</v>
      </c>
    </row>
    <row r="13" spans="1:18" ht="20.100000000000001" customHeight="1">
      <c r="A13" s="854">
        <f t="shared" si="2"/>
        <v>6</v>
      </c>
      <c r="B13" s="855" t="s">
        <v>1002</v>
      </c>
      <c r="C13" s="853"/>
      <c r="D13" s="853"/>
      <c r="E13" s="857"/>
      <c r="F13" s="857"/>
      <c r="G13" s="857">
        <f>'Attachment H'!G$84</f>
        <v>1</v>
      </c>
      <c r="H13" s="857"/>
      <c r="I13" s="857"/>
      <c r="J13" s="853" t="s">
        <v>1003</v>
      </c>
    </row>
    <row r="14" spans="1:18" ht="20.100000000000001" customHeight="1">
      <c r="A14" s="854">
        <f t="shared" si="2"/>
        <v>7</v>
      </c>
      <c r="B14" s="855" t="s">
        <v>1004</v>
      </c>
      <c r="C14" s="853"/>
      <c r="D14" s="853"/>
      <c r="E14" s="857"/>
      <c r="F14" s="857"/>
      <c r="G14" s="857"/>
      <c r="H14" s="857">
        <f>'Attachment H'!I$199</f>
        <v>1</v>
      </c>
      <c r="I14" s="857"/>
      <c r="J14" s="853" t="s">
        <v>1005</v>
      </c>
    </row>
    <row r="15" spans="1:18" ht="20.100000000000001" customHeight="1">
      <c r="A15" s="854">
        <f t="shared" si="2"/>
        <v>8</v>
      </c>
      <c r="B15" s="855" t="s">
        <v>1006</v>
      </c>
      <c r="C15" s="853"/>
      <c r="D15" s="853"/>
      <c r="E15" s="767">
        <f>+E11</f>
        <v>-1239642.779502745</v>
      </c>
      <c r="F15" s="767">
        <f>+F11*F12</f>
        <v>-1239642.779502745</v>
      </c>
      <c r="G15" s="857">
        <f>+G11*G13</f>
        <v>0</v>
      </c>
      <c r="H15" s="857">
        <f>+H11*H14</f>
        <v>0</v>
      </c>
      <c r="I15" s="857">
        <f>+F15+G15+H15</f>
        <v>-1239642.779502745</v>
      </c>
      <c r="J15" s="857" t="s">
        <v>1069</v>
      </c>
    </row>
    <row r="16" spans="1:18">
      <c r="A16" s="854"/>
      <c r="B16" s="855"/>
      <c r="C16" s="853"/>
      <c r="D16" s="853"/>
      <c r="E16" s="767"/>
      <c r="F16" s="767"/>
    </row>
    <row r="17" spans="1:10">
      <c r="A17" s="845" t="s">
        <v>1007</v>
      </c>
      <c r="B17" s="855"/>
      <c r="C17" s="853"/>
      <c r="D17" s="853"/>
      <c r="E17" s="767"/>
      <c r="F17" s="767"/>
    </row>
    <row r="18" spans="1:10" ht="20.100000000000001" customHeight="1">
      <c r="A18" s="854">
        <f>A15+1</f>
        <v>9</v>
      </c>
      <c r="B18" s="855" t="s">
        <v>1008</v>
      </c>
      <c r="C18" s="853" t="s">
        <v>98</v>
      </c>
      <c r="D18" s="1005">
        <v>2021</v>
      </c>
      <c r="E18" s="767">
        <f t="shared" ref="E18:E21" si="3">SUM(F18:H18)</f>
        <v>0</v>
      </c>
      <c r="F18" s="859">
        <f>'4c- ADIT BOY'!E78</f>
        <v>0</v>
      </c>
      <c r="G18" s="767">
        <f>'4c- ADIT BOY'!F78</f>
        <v>0</v>
      </c>
      <c r="H18" s="767">
        <f>'4c- ADIT BOY'!G78</f>
        <v>0</v>
      </c>
      <c r="I18" s="767"/>
      <c r="J18" s="856"/>
    </row>
    <row r="19" spans="1:10" ht="20.100000000000001" customHeight="1">
      <c r="A19" s="854">
        <f>A18+1</f>
        <v>10</v>
      </c>
      <c r="B19" s="855" t="s">
        <v>1120</v>
      </c>
      <c r="C19" s="853" t="s">
        <v>98</v>
      </c>
      <c r="D19" s="1005">
        <v>2022</v>
      </c>
      <c r="E19" s="134">
        <f t="shared" si="3"/>
        <v>0</v>
      </c>
      <c r="F19" s="767">
        <f>'4d- ADIT EOY'!E78-'4d- ADIT EOY'!E75</f>
        <v>0</v>
      </c>
      <c r="G19" s="767">
        <f>'4d- ADIT EOY'!F78-'4d- ADIT EOY'!F75</f>
        <v>0</v>
      </c>
      <c r="H19" s="767">
        <f>'4d- ADIT EOY'!G78-'4d- ADIT EOY'!G75</f>
        <v>0</v>
      </c>
      <c r="I19" s="767"/>
      <c r="J19" s="856"/>
    </row>
    <row r="20" spans="1:10" ht="20.100000000000001" customHeight="1">
      <c r="A20" s="854">
        <f>A19+1</f>
        <v>11</v>
      </c>
      <c r="B20" s="855" t="s">
        <v>1080</v>
      </c>
      <c r="C20" s="853" t="s">
        <v>98</v>
      </c>
      <c r="D20" s="1005">
        <v>2022</v>
      </c>
      <c r="E20" s="134">
        <f t="shared" si="3"/>
        <v>0</v>
      </c>
      <c r="F20" s="767">
        <f>'4b-ADIT Projection Proration'!H38</f>
        <v>0</v>
      </c>
      <c r="G20" s="767">
        <f>'4b-ADIT Projection Proration'!J38</f>
        <v>0</v>
      </c>
      <c r="H20" s="767">
        <f>'4b-ADIT Projection Proration'!L38</f>
        <v>0</v>
      </c>
      <c r="I20" s="767"/>
      <c r="J20" s="856"/>
    </row>
    <row r="21" spans="1:10" ht="20.100000000000001" customHeight="1">
      <c r="A21" s="854">
        <f>A20+1</f>
        <v>12</v>
      </c>
      <c r="B21" s="855" t="s">
        <v>1078</v>
      </c>
      <c r="C21" s="853" t="s">
        <v>98</v>
      </c>
      <c r="D21" s="1005">
        <v>2022</v>
      </c>
      <c r="E21" s="134">
        <f t="shared" si="3"/>
        <v>0</v>
      </c>
      <c r="F21" s="767">
        <f>F19+F20</f>
        <v>0</v>
      </c>
      <c r="G21" s="767">
        <f>G19+G20</f>
        <v>0</v>
      </c>
      <c r="H21" s="767">
        <f>H19+H20</f>
        <v>0</v>
      </c>
      <c r="I21" s="767"/>
      <c r="J21" s="856"/>
    </row>
    <row r="22" spans="1:10" ht="20.100000000000001" customHeight="1">
      <c r="A22" s="854">
        <f t="shared" ref="A22:A25" si="4">A21+1</f>
        <v>13</v>
      </c>
      <c r="B22" s="855" t="s">
        <v>1001</v>
      </c>
      <c r="C22" s="853"/>
      <c r="E22" s="857"/>
      <c r="F22" s="857">
        <v>1</v>
      </c>
      <c r="G22" s="857"/>
      <c r="H22" s="857"/>
      <c r="I22" s="857"/>
      <c r="J22" s="858">
        <v>1</v>
      </c>
    </row>
    <row r="23" spans="1:10" ht="20.100000000000001" customHeight="1">
      <c r="A23" s="854">
        <f t="shared" si="4"/>
        <v>14</v>
      </c>
      <c r="B23" s="855" t="s">
        <v>1002</v>
      </c>
      <c r="C23" s="853"/>
      <c r="E23" s="857"/>
      <c r="F23" s="857"/>
      <c r="G23" s="857">
        <f>'Attachment H'!G$84</f>
        <v>1</v>
      </c>
      <c r="H23" s="857"/>
      <c r="I23" s="857"/>
      <c r="J23" s="853" t="s">
        <v>1003</v>
      </c>
    </row>
    <row r="24" spans="1:10" ht="20.100000000000001" customHeight="1">
      <c r="A24" s="854">
        <f t="shared" si="4"/>
        <v>15</v>
      </c>
      <c r="B24" s="855" t="s">
        <v>1004</v>
      </c>
      <c r="C24" s="853"/>
      <c r="E24" s="857"/>
      <c r="F24" s="857"/>
      <c r="G24" s="857"/>
      <c r="H24" s="857">
        <f>'Attachment H'!I$199</f>
        <v>1</v>
      </c>
      <c r="I24" s="857"/>
      <c r="J24" s="853" t="s">
        <v>1005</v>
      </c>
    </row>
    <row r="25" spans="1:10" ht="20.100000000000001" customHeight="1">
      <c r="A25" s="854">
        <f t="shared" si="4"/>
        <v>16</v>
      </c>
      <c r="B25" s="855" t="s">
        <v>1006</v>
      </c>
      <c r="C25" s="853"/>
      <c r="E25" s="859">
        <f>E21</f>
        <v>0</v>
      </c>
      <c r="F25" s="859">
        <f>+F21*F22</f>
        <v>0</v>
      </c>
      <c r="G25" s="857">
        <f>+G21*G23</f>
        <v>0</v>
      </c>
      <c r="H25" s="857">
        <f>+H21*H24</f>
        <v>0</v>
      </c>
      <c r="I25" s="857">
        <f>+F25+G25+H25</f>
        <v>0</v>
      </c>
      <c r="J25" s="857" t="s">
        <v>1069</v>
      </c>
    </row>
    <row r="26" spans="1:10">
      <c r="A26" s="854"/>
      <c r="B26" s="855"/>
      <c r="C26" s="853"/>
      <c r="E26" s="853"/>
      <c r="F26" s="853"/>
    </row>
    <row r="27" spans="1:10">
      <c r="A27" s="845" t="s">
        <v>1009</v>
      </c>
      <c r="B27" s="855"/>
      <c r="C27" s="853"/>
      <c r="E27" s="853"/>
      <c r="F27" s="853"/>
    </row>
    <row r="28" spans="1:10" ht="20.100000000000001" customHeight="1">
      <c r="A28" s="854">
        <f>A25+1</f>
        <v>17</v>
      </c>
      <c r="B28" s="855" t="s">
        <v>1010</v>
      </c>
      <c r="C28" s="853" t="s">
        <v>98</v>
      </c>
      <c r="D28" s="1005">
        <v>2021</v>
      </c>
      <c r="E28" s="767">
        <f t="shared" ref="E28:E31" si="5">SUM(F28:H28)</f>
        <v>0</v>
      </c>
      <c r="F28" s="767">
        <f>'4c- ADIT BOY'!E32</f>
        <v>0</v>
      </c>
      <c r="G28" s="767">
        <f>'4c- ADIT BOY'!F32</f>
        <v>0</v>
      </c>
      <c r="H28" s="767">
        <f>'4c- ADIT BOY'!G32</f>
        <v>0</v>
      </c>
      <c r="I28" s="767"/>
      <c r="J28" s="856"/>
    </row>
    <row r="29" spans="1:10" ht="20.100000000000001" customHeight="1">
      <c r="A29" s="854">
        <f>A28+1</f>
        <v>18</v>
      </c>
      <c r="B29" s="855" t="s">
        <v>1121</v>
      </c>
      <c r="C29" s="853" t="s">
        <v>98</v>
      </c>
      <c r="D29" s="1005">
        <v>2022</v>
      </c>
      <c r="E29" s="767">
        <f t="shared" si="5"/>
        <v>0</v>
      </c>
      <c r="F29" s="767">
        <f>'4d- ADIT EOY'!E32-'4d- ADIT EOY'!E29</f>
        <v>0</v>
      </c>
      <c r="G29" s="767">
        <f>'4d- ADIT EOY'!F32-'4d- ADIT EOY'!F29</f>
        <v>0</v>
      </c>
      <c r="H29" s="767">
        <f>'4d- ADIT EOY'!G32-'4d- ADIT EOY'!G29</f>
        <v>0</v>
      </c>
      <c r="I29" s="767"/>
      <c r="J29" s="856"/>
    </row>
    <row r="30" spans="1:10" ht="20.100000000000001" customHeight="1">
      <c r="A30" s="854">
        <f>A29+1</f>
        <v>19</v>
      </c>
      <c r="B30" s="855" t="s">
        <v>1081</v>
      </c>
      <c r="C30" s="853" t="s">
        <v>98</v>
      </c>
      <c r="D30" s="1005">
        <v>2022</v>
      </c>
      <c r="E30" s="767">
        <f t="shared" si="5"/>
        <v>0</v>
      </c>
      <c r="F30" s="767">
        <f>'4b-ADIT Projection Proration'!H54</f>
        <v>0</v>
      </c>
      <c r="G30" s="767">
        <f>'4b-ADIT Projection Proration'!J54</f>
        <v>0</v>
      </c>
      <c r="H30" s="767">
        <f>'4b-ADIT Projection Proration'!L54</f>
        <v>0</v>
      </c>
      <c r="I30" s="767"/>
      <c r="J30" s="856"/>
    </row>
    <row r="31" spans="1:10" ht="20.100000000000001" customHeight="1">
      <c r="A31" s="854">
        <f>A30+1</f>
        <v>20</v>
      </c>
      <c r="B31" s="855" t="s">
        <v>1079</v>
      </c>
      <c r="C31" s="853" t="s">
        <v>98</v>
      </c>
      <c r="D31" s="1005">
        <v>2022</v>
      </c>
      <c r="E31" s="767">
        <f t="shared" si="5"/>
        <v>0</v>
      </c>
      <c r="F31" s="859">
        <f>F29+F30</f>
        <v>0</v>
      </c>
      <c r="G31" s="767">
        <f>G29+G30</f>
        <v>0</v>
      </c>
      <c r="H31" s="767">
        <f>H29+H30</f>
        <v>0</v>
      </c>
      <c r="I31" s="767"/>
      <c r="J31" s="856"/>
    </row>
    <row r="32" spans="1:10" ht="20.100000000000001" customHeight="1">
      <c r="A32" s="854">
        <f t="shared" ref="A32:A35" si="6">A31+1</f>
        <v>21</v>
      </c>
      <c r="B32" s="855" t="s">
        <v>1001</v>
      </c>
      <c r="C32" s="853"/>
      <c r="D32" s="853"/>
      <c r="E32" s="857"/>
      <c r="F32" s="857">
        <v>1</v>
      </c>
      <c r="G32" s="857"/>
      <c r="H32" s="857"/>
      <c r="I32" s="857"/>
      <c r="J32" s="858">
        <v>1</v>
      </c>
    </row>
    <row r="33" spans="1:10" ht="20.100000000000001" customHeight="1">
      <c r="A33" s="854">
        <f t="shared" si="6"/>
        <v>22</v>
      </c>
      <c r="B33" s="855" t="s">
        <v>1002</v>
      </c>
      <c r="C33" s="853"/>
      <c r="D33" s="853"/>
      <c r="E33" s="857"/>
      <c r="F33" s="857"/>
      <c r="G33" s="857">
        <f>'Attachment H'!G$84</f>
        <v>1</v>
      </c>
      <c r="H33" s="857"/>
      <c r="I33" s="857"/>
      <c r="J33" s="853" t="s">
        <v>1003</v>
      </c>
    </row>
    <row r="34" spans="1:10" ht="20.100000000000001" customHeight="1">
      <c r="A34" s="854">
        <f t="shared" si="6"/>
        <v>23</v>
      </c>
      <c r="B34" s="855" t="s">
        <v>1004</v>
      </c>
      <c r="C34" s="853"/>
      <c r="D34" s="853"/>
      <c r="E34" s="857"/>
      <c r="F34" s="857"/>
      <c r="G34" s="857"/>
      <c r="H34" s="857">
        <f>'Attachment H'!I$199</f>
        <v>1</v>
      </c>
      <c r="I34" s="857"/>
      <c r="J34" s="853" t="s">
        <v>1005</v>
      </c>
    </row>
    <row r="35" spans="1:10" ht="20.100000000000001" customHeight="1">
      <c r="A35" s="854">
        <f t="shared" si="6"/>
        <v>24</v>
      </c>
      <c r="B35" s="855" t="s">
        <v>1006</v>
      </c>
      <c r="C35" s="853"/>
      <c r="D35" s="853"/>
      <c r="E35" s="859">
        <f>E31</f>
        <v>0</v>
      </c>
      <c r="F35" s="859">
        <f>+F31*F32</f>
        <v>0</v>
      </c>
      <c r="G35" s="857">
        <f>+G31*G33</f>
        <v>0</v>
      </c>
      <c r="H35" s="857">
        <f>+H31*H34</f>
        <v>0</v>
      </c>
      <c r="I35" s="857">
        <f>+F35+G35+H35</f>
        <v>0</v>
      </c>
      <c r="J35" s="857" t="s">
        <v>1069</v>
      </c>
    </row>
    <row r="36" spans="1:10">
      <c r="B36" s="861"/>
      <c r="C36" s="861"/>
      <c r="D36" s="861"/>
      <c r="E36" s="861"/>
      <c r="F36" s="861"/>
      <c r="G36" s="862"/>
    </row>
    <row r="37" spans="1:10">
      <c r="B37" s="861"/>
      <c r="C37" s="861"/>
      <c r="D37" s="863"/>
      <c r="E37" s="863"/>
      <c r="F37" s="863"/>
      <c r="G37" s="863"/>
      <c r="H37" s="864"/>
      <c r="I37" s="864"/>
    </row>
    <row r="38" spans="1:10">
      <c r="B38" s="865"/>
      <c r="C38" s="861"/>
      <c r="D38" s="866"/>
      <c r="E38" s="861"/>
      <c r="F38" s="861"/>
      <c r="G38" s="861"/>
      <c r="H38" s="862"/>
      <c r="I38" s="862"/>
    </row>
    <row r="39" spans="1:10">
      <c r="B39" s="865"/>
      <c r="C39" s="861"/>
      <c r="D39" s="546"/>
      <c r="E39" s="861"/>
      <c r="F39" s="861"/>
      <c r="G39" s="861"/>
      <c r="H39" s="862"/>
      <c r="I39" s="862"/>
    </row>
    <row r="40" spans="1:10">
      <c r="B40" s="865"/>
      <c r="C40" s="861"/>
      <c r="D40" s="546"/>
      <c r="E40" s="861"/>
      <c r="F40" s="861"/>
      <c r="G40" s="861"/>
      <c r="H40" s="862"/>
      <c r="I40" s="862"/>
    </row>
    <row r="41" spans="1:10">
      <c r="B41" s="865"/>
      <c r="C41" s="861"/>
      <c r="D41" s="546"/>
      <c r="E41" s="861"/>
      <c r="F41" s="861"/>
      <c r="G41" s="861"/>
      <c r="H41" s="862"/>
      <c r="I41" s="862"/>
    </row>
    <row r="42" spans="1:10">
      <c r="B42" s="865"/>
      <c r="C42" s="861"/>
      <c r="D42" s="546"/>
      <c r="E42" s="861"/>
      <c r="F42" s="861"/>
      <c r="G42" s="861"/>
      <c r="H42" s="862"/>
      <c r="I42" s="862"/>
    </row>
    <row r="43" spans="1:10">
      <c r="B43" s="865"/>
      <c r="C43" s="861"/>
      <c r="D43" s="546"/>
      <c r="E43" s="861"/>
      <c r="F43" s="861"/>
      <c r="G43" s="861"/>
      <c r="H43" s="862"/>
      <c r="I43" s="862"/>
    </row>
    <row r="44" spans="1:10">
      <c r="B44" s="865"/>
      <c r="C44" s="861"/>
      <c r="D44" s="546"/>
      <c r="E44" s="861"/>
      <c r="F44" s="861"/>
      <c r="G44" s="861"/>
      <c r="H44" s="862"/>
      <c r="I44" s="862"/>
    </row>
    <row r="45" spans="1:10">
      <c r="B45" s="865"/>
      <c r="C45" s="861"/>
      <c r="D45" s="546"/>
      <c r="E45" s="861"/>
      <c r="F45" s="861"/>
      <c r="G45" s="861"/>
      <c r="H45" s="862"/>
      <c r="I45" s="862"/>
    </row>
    <row r="46" spans="1:10">
      <c r="B46" s="865"/>
      <c r="C46" s="861"/>
      <c r="D46" s="546"/>
      <c r="E46" s="861"/>
      <c r="F46" s="861"/>
      <c r="G46" s="861"/>
      <c r="H46" s="862"/>
      <c r="I46" s="862"/>
    </row>
    <row r="47" spans="1:10">
      <c r="B47" s="865"/>
      <c r="C47" s="861"/>
      <c r="D47" s="546"/>
      <c r="E47" s="861"/>
      <c r="F47" s="861"/>
      <c r="G47" s="861"/>
      <c r="H47" s="862"/>
      <c r="I47" s="862"/>
    </row>
    <row r="48" spans="1:10">
      <c r="B48" s="865"/>
      <c r="C48" s="861"/>
      <c r="D48" s="546"/>
      <c r="E48" s="861"/>
      <c r="F48" s="861"/>
      <c r="G48" s="861"/>
      <c r="H48" s="862"/>
      <c r="I48" s="862"/>
    </row>
    <row r="49" spans="2:11">
      <c r="B49" s="861"/>
      <c r="C49" s="861"/>
      <c r="D49" s="546"/>
      <c r="E49" s="861"/>
      <c r="F49" s="861"/>
      <c r="G49" s="861"/>
      <c r="H49" s="862"/>
      <c r="I49" s="862"/>
    </row>
    <row r="50" spans="2:11">
      <c r="B50" s="865"/>
      <c r="C50" s="861"/>
      <c r="D50" s="546"/>
      <c r="E50" s="861"/>
      <c r="F50" s="861"/>
      <c r="G50" s="861"/>
      <c r="H50" s="862"/>
      <c r="I50" s="862"/>
    </row>
    <row r="51" spans="2:11">
      <c r="B51" s="861"/>
      <c r="C51" s="861"/>
      <c r="D51" s="546"/>
      <c r="E51" s="861"/>
      <c r="F51" s="861"/>
      <c r="G51" s="861"/>
      <c r="H51" s="862"/>
      <c r="I51" s="862"/>
    </row>
    <row r="52" spans="2:11">
      <c r="B52" s="865"/>
      <c r="C52" s="861"/>
      <c r="D52" s="861"/>
      <c r="E52" s="861"/>
      <c r="F52" s="861"/>
      <c r="G52" s="861"/>
      <c r="H52" s="862"/>
      <c r="I52" s="862"/>
    </row>
    <row r="53" spans="2:11">
      <c r="B53" s="865"/>
      <c r="C53" s="861"/>
      <c r="D53" s="861"/>
      <c r="E53" s="861"/>
      <c r="F53" s="861"/>
      <c r="G53" s="861"/>
    </row>
    <row r="54" spans="2:11">
      <c r="B54" s="865"/>
      <c r="C54" s="861"/>
      <c r="D54" s="861"/>
      <c r="E54" s="861"/>
      <c r="F54" s="861"/>
      <c r="G54" s="861"/>
    </row>
    <row r="55" spans="2:11">
      <c r="B55" s="865"/>
      <c r="C55" s="861"/>
      <c r="D55" s="861"/>
      <c r="E55" s="861"/>
      <c r="F55" s="861"/>
      <c r="G55" s="861"/>
    </row>
    <row r="56" spans="2:11">
      <c r="B56" s="865"/>
      <c r="C56" s="861"/>
      <c r="D56" s="861"/>
      <c r="E56" s="861"/>
      <c r="F56" s="861"/>
      <c r="G56" s="861"/>
    </row>
    <row r="57" spans="2:11">
      <c r="B57" s="865"/>
      <c r="C57" s="861"/>
      <c r="D57" s="861"/>
      <c r="E57" s="861"/>
      <c r="F57" s="861"/>
      <c r="G57" s="861"/>
    </row>
    <row r="58" spans="2:11">
      <c r="B58" s="865"/>
      <c r="C58" s="861"/>
      <c r="D58" s="861"/>
      <c r="E58" s="861"/>
      <c r="F58" s="861"/>
      <c r="G58" s="861"/>
    </row>
    <row r="59" spans="2:11">
      <c r="B59" s="865"/>
      <c r="C59" s="861"/>
      <c r="D59" s="861"/>
      <c r="E59" s="861"/>
      <c r="F59" s="861"/>
      <c r="G59" s="861"/>
    </row>
    <row r="60" spans="2:11">
      <c r="B60" s="865"/>
      <c r="C60" s="861"/>
      <c r="D60" s="861"/>
      <c r="E60" s="861"/>
      <c r="F60" s="861"/>
      <c r="G60" s="861"/>
    </row>
    <row r="61" spans="2:11">
      <c r="B61" s="865"/>
      <c r="C61" s="861"/>
      <c r="D61" s="861"/>
      <c r="E61" s="861"/>
      <c r="F61" s="861"/>
      <c r="G61" s="861"/>
    </row>
    <row r="62" spans="2:11">
      <c r="B62" s="865"/>
      <c r="C62" s="861"/>
      <c r="D62" s="861"/>
      <c r="E62" s="861"/>
      <c r="F62" s="861"/>
      <c r="G62" s="861"/>
    </row>
    <row r="63" spans="2:11">
      <c r="B63" s="865"/>
      <c r="C63" s="861"/>
      <c r="D63" s="861"/>
      <c r="E63" s="861"/>
      <c r="F63" s="861"/>
      <c r="G63" s="861"/>
      <c r="K63" s="861"/>
    </row>
    <row r="64" spans="2:11">
      <c r="B64" s="865"/>
      <c r="C64" s="861"/>
      <c r="D64" s="861"/>
      <c r="E64" s="861"/>
      <c r="F64" s="861"/>
      <c r="G64" s="861"/>
    </row>
    <row r="65" spans="2:7">
      <c r="B65" s="865"/>
      <c r="C65" s="861"/>
      <c r="D65" s="861"/>
      <c r="E65" s="861"/>
      <c r="F65" s="861"/>
      <c r="G65" s="861"/>
    </row>
    <row r="66" spans="2:7">
      <c r="B66" s="865"/>
      <c r="C66" s="861"/>
      <c r="D66" s="861"/>
      <c r="E66" s="861"/>
      <c r="F66" s="861"/>
      <c r="G66" s="861"/>
    </row>
    <row r="67" spans="2:7">
      <c r="B67" s="865"/>
      <c r="C67" s="861"/>
      <c r="D67" s="861"/>
      <c r="E67" s="861"/>
      <c r="F67" s="861"/>
      <c r="G67" s="861"/>
    </row>
    <row r="68" spans="2:7">
      <c r="B68" s="865"/>
      <c r="C68" s="861"/>
      <c r="D68" s="861"/>
      <c r="E68" s="861"/>
      <c r="F68" s="861"/>
      <c r="G68" s="861"/>
    </row>
    <row r="69" spans="2:7">
      <c r="B69" s="865"/>
      <c r="C69" s="861"/>
      <c r="D69" s="861"/>
      <c r="E69" s="861"/>
      <c r="F69" s="861"/>
      <c r="G69" s="861"/>
    </row>
    <row r="70" spans="2:7">
      <c r="B70" s="865"/>
      <c r="C70" s="861"/>
      <c r="D70" s="861"/>
      <c r="E70" s="861"/>
      <c r="F70" s="861"/>
      <c r="G70" s="861"/>
    </row>
    <row r="71" spans="2:7">
      <c r="B71" s="865"/>
      <c r="C71" s="861"/>
      <c r="D71" s="861"/>
      <c r="E71" s="861"/>
      <c r="F71" s="861"/>
      <c r="G71" s="861"/>
    </row>
    <row r="72" spans="2:7">
      <c r="B72" s="865"/>
      <c r="C72" s="861"/>
      <c r="D72" s="861"/>
      <c r="E72" s="861"/>
      <c r="F72" s="861"/>
      <c r="G72" s="861"/>
    </row>
    <row r="73" spans="2:7">
      <c r="B73" s="865"/>
      <c r="C73" s="861"/>
      <c r="D73" s="861"/>
      <c r="E73" s="861"/>
      <c r="F73" s="861"/>
      <c r="G73" s="861"/>
    </row>
    <row r="74" spans="2:7">
      <c r="B74" s="865"/>
      <c r="C74" s="861"/>
      <c r="D74" s="861"/>
      <c r="E74" s="861"/>
      <c r="F74" s="861"/>
      <c r="G74" s="861"/>
    </row>
    <row r="75" spans="2:7">
      <c r="B75" s="865"/>
      <c r="C75" s="861"/>
      <c r="D75" s="861"/>
      <c r="E75" s="861"/>
      <c r="F75" s="861"/>
      <c r="G75" s="861"/>
    </row>
    <row r="76" spans="2:7">
      <c r="B76" s="865"/>
      <c r="C76" s="861"/>
      <c r="D76" s="861"/>
      <c r="E76" s="861"/>
      <c r="F76" s="861"/>
      <c r="G76" s="861"/>
    </row>
    <row r="77" spans="2:7">
      <c r="B77" s="865"/>
      <c r="C77" s="861"/>
      <c r="D77" s="861"/>
      <c r="E77" s="861"/>
      <c r="F77" s="861"/>
      <c r="G77" s="861"/>
    </row>
    <row r="78" spans="2:7">
      <c r="B78" s="865"/>
      <c r="C78" s="861"/>
      <c r="D78" s="861"/>
      <c r="E78" s="861"/>
      <c r="F78" s="861"/>
      <c r="G78" s="861"/>
    </row>
    <row r="79" spans="2:7">
      <c r="B79" s="865"/>
      <c r="C79" s="861"/>
      <c r="D79" s="861"/>
      <c r="E79" s="861"/>
      <c r="F79" s="861"/>
      <c r="G79" s="861"/>
    </row>
    <row r="80" spans="2:7">
      <c r="B80" s="865"/>
      <c r="C80" s="861"/>
      <c r="D80" s="861"/>
      <c r="E80" s="861"/>
      <c r="F80" s="861"/>
      <c r="G80" s="861"/>
    </row>
    <row r="81" spans="2:7">
      <c r="B81" s="865"/>
      <c r="C81" s="861"/>
      <c r="D81" s="861"/>
      <c r="E81" s="861"/>
      <c r="F81" s="861"/>
      <c r="G81" s="861"/>
    </row>
    <row r="82" spans="2:7">
      <c r="B82" s="865"/>
      <c r="C82" s="861"/>
      <c r="D82" s="861"/>
      <c r="E82" s="861"/>
      <c r="F82" s="861"/>
      <c r="G82" s="861"/>
    </row>
    <row r="83" spans="2:7">
      <c r="B83" s="865"/>
      <c r="C83" s="861"/>
      <c r="D83" s="861"/>
      <c r="E83" s="861"/>
      <c r="F83" s="861"/>
      <c r="G83" s="861"/>
    </row>
    <row r="84" spans="2:7">
      <c r="B84" s="865"/>
      <c r="C84" s="861"/>
      <c r="D84" s="861"/>
      <c r="E84" s="861"/>
      <c r="F84" s="861"/>
      <c r="G84" s="861"/>
    </row>
    <row r="85" spans="2:7">
      <c r="B85" s="865"/>
      <c r="C85" s="861"/>
      <c r="D85" s="861"/>
      <c r="E85" s="861"/>
      <c r="F85" s="861"/>
      <c r="G85" s="861"/>
    </row>
    <row r="86" spans="2:7">
      <c r="B86" s="865"/>
      <c r="C86" s="861"/>
      <c r="D86" s="861"/>
      <c r="E86" s="861"/>
      <c r="F86" s="861"/>
      <c r="G86" s="861"/>
    </row>
    <row r="87" spans="2:7">
      <c r="B87" s="865"/>
      <c r="C87" s="861"/>
      <c r="D87" s="861"/>
      <c r="E87" s="861"/>
      <c r="F87" s="861"/>
      <c r="G87" s="861"/>
    </row>
    <row r="88" spans="2:7">
      <c r="B88" s="865"/>
      <c r="C88" s="861"/>
      <c r="D88" s="861"/>
      <c r="E88" s="861"/>
      <c r="F88" s="861"/>
      <c r="G88" s="861"/>
    </row>
    <row r="89" spans="2:7">
      <c r="B89" s="865"/>
      <c r="C89" s="861"/>
      <c r="D89" s="861"/>
      <c r="E89" s="861"/>
      <c r="F89" s="861"/>
      <c r="G89" s="861"/>
    </row>
    <row r="90" spans="2:7">
      <c r="B90" s="865"/>
      <c r="C90" s="861"/>
      <c r="D90" s="861"/>
      <c r="E90" s="861"/>
      <c r="F90" s="861"/>
      <c r="G90" s="861"/>
    </row>
    <row r="91" spans="2:7">
      <c r="B91" s="865"/>
      <c r="C91" s="861"/>
      <c r="D91" s="861"/>
      <c r="E91" s="861"/>
      <c r="F91" s="861"/>
      <c r="G91" s="861"/>
    </row>
    <row r="92" spans="2:7">
      <c r="B92" s="865"/>
      <c r="C92" s="861"/>
      <c r="D92" s="861"/>
      <c r="E92" s="861"/>
      <c r="F92" s="861"/>
      <c r="G92" s="861"/>
    </row>
    <row r="93" spans="2:7">
      <c r="B93" s="865"/>
      <c r="C93" s="861"/>
      <c r="D93" s="861"/>
      <c r="E93" s="861"/>
      <c r="F93" s="861"/>
      <c r="G93" s="861"/>
    </row>
    <row r="94" spans="2:7">
      <c r="B94" s="865"/>
      <c r="C94" s="861"/>
      <c r="D94" s="861"/>
      <c r="E94" s="861"/>
      <c r="F94" s="861"/>
      <c r="G94" s="861"/>
    </row>
    <row r="95" spans="2:7">
      <c r="B95" s="865"/>
      <c r="C95" s="861"/>
      <c r="D95" s="861"/>
      <c r="E95" s="861"/>
      <c r="F95" s="861"/>
      <c r="G95" s="861"/>
    </row>
    <row r="96" spans="2:7">
      <c r="B96" s="865"/>
      <c r="C96" s="861"/>
      <c r="D96" s="861"/>
      <c r="E96" s="861"/>
      <c r="F96" s="861"/>
      <c r="G96" s="861"/>
    </row>
    <row r="97" spans="2:7">
      <c r="B97" s="865"/>
      <c r="C97" s="861"/>
      <c r="D97" s="861"/>
      <c r="E97" s="861"/>
      <c r="F97" s="861"/>
      <c r="G97" s="861"/>
    </row>
    <row r="98" spans="2:7">
      <c r="B98" s="865"/>
      <c r="C98" s="861"/>
      <c r="D98" s="861"/>
      <c r="E98" s="861"/>
      <c r="F98" s="861"/>
      <c r="G98" s="861"/>
    </row>
    <row r="99" spans="2:7">
      <c r="B99" s="865"/>
      <c r="C99" s="861"/>
      <c r="D99" s="861"/>
      <c r="E99" s="861"/>
      <c r="F99" s="861"/>
      <c r="G99" s="861"/>
    </row>
    <row r="100" spans="2:7">
      <c r="B100" s="865"/>
      <c r="C100" s="861"/>
      <c r="D100" s="861"/>
      <c r="E100" s="861"/>
      <c r="F100" s="861"/>
      <c r="G100" s="861"/>
    </row>
    <row r="101" spans="2:7">
      <c r="B101" s="865"/>
      <c r="C101" s="861"/>
      <c r="D101" s="861"/>
      <c r="E101" s="861"/>
      <c r="F101" s="861"/>
      <c r="G101" s="861"/>
    </row>
    <row r="102" spans="2:7">
      <c r="B102" s="865"/>
      <c r="C102" s="861"/>
      <c r="D102" s="861"/>
      <c r="E102" s="861"/>
      <c r="F102" s="861"/>
      <c r="G102" s="861"/>
    </row>
    <row r="103" spans="2:7">
      <c r="B103" s="865"/>
      <c r="C103" s="861"/>
      <c r="D103" s="861"/>
      <c r="E103" s="861"/>
      <c r="F103" s="861"/>
      <c r="G103" s="861"/>
    </row>
    <row r="104" spans="2:7">
      <c r="B104" s="865"/>
      <c r="C104" s="861"/>
      <c r="D104" s="861"/>
      <c r="E104" s="861"/>
      <c r="F104" s="861"/>
      <c r="G104" s="861"/>
    </row>
    <row r="105" spans="2:7">
      <c r="B105" s="865"/>
      <c r="C105" s="861"/>
      <c r="D105" s="861"/>
      <c r="E105" s="861"/>
      <c r="F105" s="861"/>
      <c r="G105" s="861"/>
    </row>
    <row r="106" spans="2:7">
      <c r="B106" s="865"/>
      <c r="C106" s="861"/>
      <c r="D106" s="861"/>
      <c r="E106" s="861"/>
      <c r="F106" s="861"/>
      <c r="G106" s="861"/>
    </row>
    <row r="107" spans="2:7">
      <c r="B107" s="865"/>
      <c r="C107" s="861"/>
      <c r="D107" s="861"/>
      <c r="E107" s="861"/>
      <c r="F107" s="861"/>
      <c r="G107" s="861"/>
    </row>
    <row r="108" spans="2:7">
      <c r="B108" s="865"/>
      <c r="C108" s="861"/>
      <c r="D108" s="861"/>
      <c r="E108" s="861"/>
      <c r="F108" s="861"/>
      <c r="G108" s="861"/>
    </row>
    <row r="109" spans="2:7">
      <c r="B109" s="865"/>
      <c r="C109" s="861"/>
      <c r="D109" s="861"/>
      <c r="E109" s="861"/>
      <c r="F109" s="861"/>
      <c r="G109" s="861"/>
    </row>
    <row r="110" spans="2:7">
      <c r="B110" s="865"/>
      <c r="C110" s="861"/>
      <c r="D110" s="861"/>
      <c r="E110" s="861"/>
      <c r="F110" s="861"/>
      <c r="G110" s="861"/>
    </row>
    <row r="111" spans="2:7">
      <c r="B111" s="865"/>
      <c r="C111" s="861"/>
      <c r="D111" s="861"/>
      <c r="E111" s="861"/>
      <c r="F111" s="861"/>
      <c r="G111" s="861"/>
    </row>
    <row r="112" spans="2:7">
      <c r="B112" s="865"/>
      <c r="C112" s="861"/>
      <c r="D112" s="861"/>
      <c r="E112" s="861"/>
      <c r="F112" s="861"/>
      <c r="G112" s="861"/>
    </row>
    <row r="113" spans="2:7">
      <c r="B113" s="865"/>
      <c r="C113" s="861"/>
      <c r="D113" s="861"/>
      <c r="E113" s="861"/>
      <c r="F113" s="861"/>
      <c r="G113" s="861"/>
    </row>
    <row r="114" spans="2:7">
      <c r="B114" s="865"/>
      <c r="C114" s="861"/>
      <c r="D114" s="861"/>
      <c r="E114" s="861"/>
      <c r="F114" s="861"/>
      <c r="G114" s="861"/>
    </row>
    <row r="115" spans="2:7">
      <c r="B115" s="865"/>
      <c r="C115" s="861"/>
      <c r="D115" s="861"/>
      <c r="E115" s="861"/>
      <c r="F115" s="861"/>
      <c r="G115" s="861"/>
    </row>
    <row r="116" spans="2:7">
      <c r="B116" s="865"/>
      <c r="C116" s="861"/>
      <c r="D116" s="861"/>
      <c r="E116" s="861"/>
      <c r="F116" s="861"/>
      <c r="G116" s="861"/>
    </row>
    <row r="117" spans="2:7">
      <c r="B117" s="865"/>
      <c r="C117" s="861"/>
      <c r="D117" s="861"/>
      <c r="E117" s="861"/>
      <c r="F117" s="861"/>
      <c r="G117" s="861"/>
    </row>
    <row r="118" spans="2:7">
      <c r="B118" s="865"/>
      <c r="C118" s="861"/>
      <c r="D118" s="861"/>
      <c r="E118" s="861"/>
      <c r="F118" s="861"/>
      <c r="G118" s="861"/>
    </row>
    <row r="119" spans="2:7">
      <c r="B119" s="865"/>
      <c r="C119" s="861"/>
      <c r="D119" s="861"/>
      <c r="E119" s="861"/>
      <c r="F119" s="861"/>
      <c r="G119" s="861"/>
    </row>
    <row r="120" spans="2:7">
      <c r="B120" s="865"/>
      <c r="C120" s="861"/>
      <c r="D120" s="861"/>
      <c r="E120" s="861"/>
      <c r="F120" s="861"/>
      <c r="G120" s="861"/>
    </row>
    <row r="121" spans="2:7">
      <c r="B121" s="865"/>
      <c r="C121" s="861"/>
      <c r="D121" s="861"/>
      <c r="E121" s="861"/>
      <c r="F121" s="861"/>
      <c r="G121" s="861"/>
    </row>
    <row r="122" spans="2:7">
      <c r="B122" s="865"/>
      <c r="C122" s="861"/>
      <c r="D122" s="861"/>
      <c r="E122" s="861"/>
      <c r="F122" s="861"/>
      <c r="G122" s="861"/>
    </row>
    <row r="123" spans="2:7">
      <c r="B123" s="865"/>
      <c r="C123" s="861"/>
      <c r="D123" s="861"/>
      <c r="E123" s="861"/>
      <c r="F123" s="861"/>
      <c r="G123" s="861"/>
    </row>
    <row r="124" spans="2:7">
      <c r="B124" s="865"/>
      <c r="C124" s="861"/>
      <c r="D124" s="861"/>
      <c r="E124" s="861"/>
      <c r="F124" s="861"/>
      <c r="G124" s="861"/>
    </row>
    <row r="125" spans="2:7">
      <c r="B125" s="865"/>
      <c r="C125" s="861"/>
      <c r="D125" s="861"/>
      <c r="E125" s="861"/>
      <c r="F125" s="861"/>
      <c r="G125" s="861"/>
    </row>
    <row r="126" spans="2:7">
      <c r="B126" s="865"/>
      <c r="C126" s="861"/>
      <c r="D126" s="861"/>
      <c r="E126" s="861"/>
      <c r="F126" s="861"/>
      <c r="G126" s="861"/>
    </row>
    <row r="127" spans="2:7">
      <c r="B127" s="865"/>
      <c r="C127" s="861"/>
      <c r="D127" s="861"/>
      <c r="E127" s="861"/>
      <c r="F127" s="861"/>
      <c r="G127" s="861"/>
    </row>
    <row r="128" spans="2:7">
      <c r="B128" s="865"/>
      <c r="C128" s="861"/>
      <c r="D128" s="861"/>
      <c r="E128" s="861"/>
      <c r="F128" s="861"/>
      <c r="G128" s="861"/>
    </row>
    <row r="129" spans="2:7">
      <c r="B129" s="865"/>
      <c r="C129" s="861"/>
      <c r="D129" s="861"/>
      <c r="E129" s="861"/>
      <c r="F129" s="861"/>
      <c r="G129" s="861"/>
    </row>
    <row r="130" spans="2:7">
      <c r="B130" s="865"/>
      <c r="C130" s="861"/>
      <c r="D130" s="861"/>
      <c r="E130" s="861"/>
      <c r="F130" s="861"/>
      <c r="G130" s="861"/>
    </row>
    <row r="131" spans="2:7">
      <c r="B131" s="865"/>
      <c r="C131" s="861"/>
      <c r="D131" s="861"/>
      <c r="E131" s="861"/>
      <c r="F131" s="861"/>
      <c r="G131" s="861"/>
    </row>
    <row r="132" spans="2:7">
      <c r="B132" s="865"/>
      <c r="C132" s="861"/>
      <c r="D132" s="861"/>
      <c r="E132" s="861"/>
      <c r="F132" s="861"/>
      <c r="G132" s="861"/>
    </row>
    <row r="133" spans="2:7">
      <c r="B133" s="865"/>
      <c r="C133" s="861"/>
      <c r="D133" s="861"/>
      <c r="E133" s="861"/>
      <c r="F133" s="861"/>
      <c r="G133" s="861"/>
    </row>
    <row r="134" spans="2:7">
      <c r="B134" s="865"/>
      <c r="C134" s="861"/>
      <c r="D134" s="861"/>
      <c r="E134" s="861"/>
      <c r="F134" s="861"/>
      <c r="G134" s="861"/>
    </row>
    <row r="135" spans="2:7">
      <c r="B135" s="865"/>
      <c r="C135" s="861"/>
      <c r="D135" s="861"/>
      <c r="E135" s="861"/>
      <c r="F135" s="861"/>
      <c r="G135" s="861"/>
    </row>
    <row r="136" spans="2:7">
      <c r="B136" s="865"/>
      <c r="C136" s="861"/>
      <c r="D136" s="861"/>
      <c r="E136" s="861"/>
      <c r="F136" s="861"/>
      <c r="G136" s="861"/>
    </row>
    <row r="137" spans="2:7">
      <c r="B137" s="865"/>
      <c r="C137" s="861"/>
      <c r="D137" s="861"/>
      <c r="E137" s="861"/>
      <c r="F137" s="861"/>
      <c r="G137" s="861"/>
    </row>
    <row r="138" spans="2:7">
      <c r="B138" s="865"/>
      <c r="C138" s="861"/>
      <c r="D138" s="861"/>
      <c r="E138" s="861"/>
      <c r="F138" s="861"/>
      <c r="G138" s="861"/>
    </row>
    <row r="139" spans="2:7">
      <c r="B139" s="865"/>
      <c r="C139" s="861"/>
      <c r="D139" s="861"/>
      <c r="E139" s="861"/>
      <c r="F139" s="861"/>
      <c r="G139" s="861"/>
    </row>
    <row r="140" spans="2:7">
      <c r="B140" s="865"/>
      <c r="C140" s="861"/>
      <c r="D140" s="861"/>
      <c r="E140" s="861"/>
      <c r="F140" s="861"/>
      <c r="G140" s="861"/>
    </row>
    <row r="141" spans="2:7">
      <c r="B141" s="865"/>
      <c r="C141" s="861"/>
      <c r="D141" s="861"/>
      <c r="E141" s="861"/>
      <c r="F141" s="861"/>
      <c r="G141" s="861"/>
    </row>
    <row r="142" spans="2:7">
      <c r="B142" s="865"/>
      <c r="C142" s="861"/>
      <c r="D142" s="861"/>
      <c r="E142" s="861"/>
      <c r="F142" s="861"/>
      <c r="G142" s="861"/>
    </row>
    <row r="143" spans="2:7">
      <c r="B143" s="865"/>
      <c r="C143" s="861"/>
      <c r="D143" s="861"/>
      <c r="E143" s="861"/>
      <c r="F143" s="861"/>
      <c r="G143" s="861"/>
    </row>
    <row r="144" spans="2:7">
      <c r="B144" s="865"/>
      <c r="C144" s="861"/>
      <c r="D144" s="861"/>
      <c r="E144" s="861"/>
      <c r="F144" s="861"/>
      <c r="G144" s="861"/>
    </row>
    <row r="145" spans="2:9">
      <c r="B145" s="865"/>
      <c r="C145" s="861"/>
      <c r="D145" s="861"/>
      <c r="E145" s="861"/>
      <c r="F145" s="861"/>
      <c r="G145" s="861"/>
    </row>
    <row r="146" spans="2:9">
      <c r="B146" s="865"/>
      <c r="C146" s="861"/>
      <c r="D146" s="861"/>
      <c r="E146" s="861"/>
      <c r="F146" s="861"/>
      <c r="G146" s="861"/>
    </row>
    <row r="147" spans="2:9">
      <c r="B147" s="865"/>
      <c r="C147" s="861"/>
      <c r="D147" s="861"/>
      <c r="E147" s="861"/>
      <c r="F147" s="861"/>
      <c r="G147" s="861"/>
    </row>
    <row r="148" spans="2:9">
      <c r="B148" s="865"/>
      <c r="C148" s="861"/>
      <c r="D148" s="861"/>
      <c r="E148" s="861"/>
      <c r="F148" s="861"/>
      <c r="G148" s="861"/>
    </row>
    <row r="149" spans="2:9">
      <c r="B149" s="865"/>
      <c r="C149" s="861"/>
      <c r="D149" s="861"/>
      <c r="E149" s="861"/>
      <c r="F149" s="861"/>
      <c r="G149" s="861"/>
    </row>
    <row r="150" spans="2:9">
      <c r="B150" s="865"/>
      <c r="C150" s="861"/>
      <c r="D150" s="861"/>
      <c r="E150" s="861"/>
      <c r="F150" s="861"/>
      <c r="G150" s="861"/>
    </row>
    <row r="151" spans="2:9">
      <c r="B151" s="865"/>
      <c r="C151" s="861"/>
      <c r="D151" s="861"/>
      <c r="E151" s="861"/>
      <c r="F151" s="861"/>
      <c r="G151" s="861"/>
    </row>
    <row r="152" spans="2:9">
      <c r="B152" s="865"/>
      <c r="C152" s="861"/>
      <c r="D152" s="861"/>
      <c r="E152" s="861"/>
      <c r="F152" s="861"/>
      <c r="G152" s="861"/>
    </row>
    <row r="153" spans="2:9">
      <c r="B153" s="865"/>
      <c r="C153" s="861"/>
      <c r="D153" s="861"/>
      <c r="E153" s="861"/>
      <c r="F153" s="861"/>
      <c r="G153" s="861"/>
    </row>
    <row r="154" spans="2:9">
      <c r="B154" s="865"/>
      <c r="C154" s="861"/>
      <c r="D154" s="861"/>
      <c r="E154" s="861"/>
      <c r="F154" s="861"/>
      <c r="G154" s="861"/>
    </row>
    <row r="155" spans="2:9">
      <c r="B155" s="865"/>
      <c r="C155" s="861"/>
      <c r="D155" s="861"/>
      <c r="E155" s="861"/>
      <c r="F155" s="861"/>
      <c r="G155" s="861"/>
      <c r="H155" s="867"/>
      <c r="I155" s="867"/>
    </row>
    <row r="156" spans="2:9">
      <c r="B156" s="865"/>
      <c r="C156" s="861"/>
      <c r="D156" s="861"/>
      <c r="E156" s="861"/>
      <c r="F156" s="861"/>
      <c r="G156" s="861"/>
    </row>
    <row r="157" spans="2:9">
      <c r="B157" s="865"/>
      <c r="C157" s="861"/>
      <c r="D157" s="861"/>
      <c r="E157" s="861"/>
      <c r="F157" s="861"/>
      <c r="G157" s="861"/>
    </row>
    <row r="158" spans="2:9">
      <c r="B158" s="865"/>
      <c r="C158" s="861"/>
      <c r="D158" s="861"/>
      <c r="E158" s="861"/>
      <c r="F158" s="861"/>
      <c r="G158" s="861"/>
    </row>
    <row r="159" spans="2:9">
      <c r="B159" s="865"/>
      <c r="C159" s="861"/>
      <c r="D159" s="861"/>
      <c r="E159" s="861"/>
      <c r="F159" s="861"/>
      <c r="G159" s="861"/>
    </row>
    <row r="160" spans="2:9">
      <c r="B160" s="865"/>
      <c r="C160" s="861"/>
      <c r="D160" s="861"/>
      <c r="E160" s="861"/>
      <c r="F160" s="861"/>
      <c r="G160" s="861"/>
    </row>
    <row r="161" spans="2:7">
      <c r="B161" s="865"/>
      <c r="C161" s="861"/>
      <c r="D161" s="861"/>
      <c r="E161" s="861"/>
      <c r="F161" s="861"/>
      <c r="G161" s="861"/>
    </row>
    <row r="162" spans="2:7">
      <c r="B162" s="865"/>
      <c r="C162" s="861"/>
      <c r="D162" s="861"/>
      <c r="E162" s="861"/>
      <c r="F162" s="861"/>
      <c r="G162" s="861"/>
    </row>
    <row r="163" spans="2:7">
      <c r="B163" s="865"/>
      <c r="C163" s="861"/>
      <c r="D163" s="861"/>
      <c r="E163" s="861"/>
      <c r="F163" s="861"/>
      <c r="G163" s="861"/>
    </row>
    <row r="164" spans="2:7">
      <c r="B164" s="865"/>
      <c r="C164" s="861"/>
      <c r="D164" s="861"/>
      <c r="E164" s="861"/>
      <c r="F164" s="861"/>
      <c r="G164" s="861"/>
    </row>
    <row r="165" spans="2:7">
      <c r="B165" s="865"/>
      <c r="C165" s="861"/>
      <c r="D165" s="861"/>
      <c r="E165" s="861"/>
      <c r="F165" s="861"/>
      <c r="G165" s="861"/>
    </row>
    <row r="166" spans="2:7">
      <c r="B166" s="865"/>
      <c r="C166" s="861"/>
      <c r="D166" s="861"/>
      <c r="E166" s="861"/>
      <c r="F166" s="861"/>
      <c r="G166" s="861"/>
    </row>
    <row r="167" spans="2:7">
      <c r="B167" s="865"/>
      <c r="C167" s="861"/>
      <c r="D167" s="861"/>
      <c r="E167" s="861"/>
      <c r="F167" s="861"/>
      <c r="G167" s="861"/>
    </row>
    <row r="168" spans="2:7">
      <c r="B168" s="865"/>
      <c r="C168" s="861"/>
      <c r="D168" s="861"/>
      <c r="E168" s="861"/>
      <c r="F168" s="861"/>
      <c r="G168" s="861"/>
    </row>
    <row r="169" spans="2:7">
      <c r="B169" s="865"/>
      <c r="C169" s="861"/>
      <c r="D169" s="861"/>
      <c r="E169" s="861"/>
      <c r="F169" s="861"/>
      <c r="G169" s="861"/>
    </row>
    <row r="170" spans="2:7">
      <c r="B170" s="865"/>
      <c r="C170" s="861"/>
      <c r="D170" s="861"/>
      <c r="E170" s="861"/>
      <c r="F170" s="861"/>
      <c r="G170" s="861"/>
    </row>
    <row r="171" spans="2:7">
      <c r="B171" s="865"/>
      <c r="C171" s="861"/>
      <c r="D171" s="861"/>
      <c r="E171" s="861"/>
      <c r="F171" s="861"/>
      <c r="G171" s="861"/>
    </row>
    <row r="172" spans="2:7">
      <c r="B172" s="865"/>
      <c r="C172" s="861"/>
      <c r="D172" s="861"/>
      <c r="E172" s="861"/>
      <c r="F172" s="861"/>
      <c r="G172" s="861"/>
    </row>
    <row r="173" spans="2:7">
      <c r="B173" s="865"/>
      <c r="C173" s="861"/>
      <c r="D173" s="861"/>
      <c r="E173" s="861"/>
      <c r="F173" s="861"/>
      <c r="G173" s="861"/>
    </row>
    <row r="174" spans="2:7">
      <c r="B174" s="865"/>
      <c r="C174" s="861"/>
      <c r="D174" s="861"/>
      <c r="E174" s="861"/>
      <c r="F174" s="861"/>
      <c r="G174" s="861"/>
    </row>
    <row r="175" spans="2:7">
      <c r="B175" s="865"/>
      <c r="C175" s="861"/>
      <c r="D175" s="861"/>
      <c r="E175" s="861"/>
      <c r="F175" s="861"/>
      <c r="G175" s="861"/>
    </row>
    <row r="176" spans="2:7">
      <c r="B176" s="865"/>
      <c r="C176" s="861"/>
      <c r="D176" s="861"/>
      <c r="E176" s="861"/>
      <c r="F176" s="861"/>
      <c r="G176" s="861"/>
    </row>
    <row r="177" spans="2:7">
      <c r="B177" s="865"/>
      <c r="C177" s="861"/>
      <c r="D177" s="861"/>
      <c r="E177" s="861"/>
      <c r="F177" s="861"/>
      <c r="G177" s="861"/>
    </row>
    <row r="178" spans="2:7">
      <c r="B178" s="865"/>
      <c r="C178" s="861"/>
      <c r="D178" s="861"/>
      <c r="E178" s="861"/>
      <c r="F178" s="861"/>
      <c r="G178" s="861"/>
    </row>
    <row r="179" spans="2:7">
      <c r="B179" s="865"/>
      <c r="C179" s="861"/>
      <c r="D179" s="861"/>
      <c r="E179" s="861"/>
      <c r="F179" s="861"/>
      <c r="G179" s="861"/>
    </row>
    <row r="180" spans="2:7">
      <c r="B180" s="865"/>
      <c r="C180" s="861"/>
      <c r="D180" s="861"/>
      <c r="E180" s="861"/>
      <c r="F180" s="861"/>
      <c r="G180" s="861"/>
    </row>
    <row r="181" spans="2:7">
      <c r="B181" s="865"/>
      <c r="C181" s="861"/>
      <c r="D181" s="861"/>
      <c r="E181" s="861"/>
      <c r="F181" s="861"/>
      <c r="G181" s="861"/>
    </row>
    <row r="182" spans="2:7">
      <c r="B182" s="865"/>
      <c r="C182" s="861"/>
      <c r="D182" s="861"/>
      <c r="E182" s="861"/>
      <c r="F182" s="861"/>
      <c r="G182" s="861"/>
    </row>
    <row r="183" spans="2:7">
      <c r="B183" s="865"/>
      <c r="C183" s="861"/>
      <c r="D183" s="861"/>
      <c r="E183" s="861"/>
      <c r="F183" s="861"/>
      <c r="G183" s="861"/>
    </row>
    <row r="184" spans="2:7">
      <c r="B184" s="865"/>
      <c r="C184" s="861"/>
      <c r="D184" s="861"/>
      <c r="E184" s="861"/>
      <c r="F184" s="861"/>
      <c r="G184" s="861"/>
    </row>
    <row r="185" spans="2:7">
      <c r="B185" s="865"/>
      <c r="C185" s="861"/>
      <c r="D185" s="861"/>
      <c r="E185" s="861"/>
      <c r="F185" s="861"/>
      <c r="G185" s="861"/>
    </row>
    <row r="186" spans="2:7">
      <c r="B186" s="865"/>
      <c r="C186" s="861"/>
      <c r="D186" s="861"/>
      <c r="E186" s="861"/>
      <c r="F186" s="861"/>
      <c r="G186" s="861"/>
    </row>
    <row r="187" spans="2:7">
      <c r="B187" s="865"/>
      <c r="C187" s="861"/>
      <c r="D187" s="861"/>
      <c r="E187" s="861"/>
      <c r="F187" s="861"/>
      <c r="G187" s="861"/>
    </row>
    <row r="188" spans="2:7">
      <c r="B188" s="865"/>
      <c r="C188" s="861"/>
      <c r="D188" s="861"/>
      <c r="E188" s="861"/>
      <c r="F188" s="861"/>
      <c r="G188" s="861"/>
    </row>
    <row r="189" spans="2:7">
      <c r="B189" s="865"/>
      <c r="C189" s="861"/>
      <c r="D189" s="861"/>
      <c r="E189" s="861"/>
      <c r="F189" s="861"/>
      <c r="G189" s="861"/>
    </row>
    <row r="190" spans="2:7">
      <c r="B190" s="865"/>
      <c r="C190" s="861"/>
      <c r="D190" s="861"/>
      <c r="E190" s="861"/>
      <c r="F190" s="861"/>
      <c r="G190" s="861"/>
    </row>
    <row r="191" spans="2:7">
      <c r="B191" s="865"/>
      <c r="C191" s="861"/>
      <c r="D191" s="861"/>
      <c r="E191" s="861"/>
      <c r="F191" s="861"/>
      <c r="G191" s="861"/>
    </row>
    <row r="192" spans="2:7">
      <c r="B192" s="865"/>
      <c r="C192" s="861"/>
      <c r="D192" s="861"/>
      <c r="E192" s="861"/>
      <c r="F192" s="861"/>
      <c r="G192" s="861"/>
    </row>
    <row r="193" spans="2:7">
      <c r="B193" s="865"/>
      <c r="C193" s="861"/>
      <c r="D193" s="861"/>
      <c r="E193" s="861"/>
      <c r="F193" s="861"/>
      <c r="G193" s="861"/>
    </row>
    <row r="194" spans="2:7">
      <c r="B194" s="865"/>
      <c r="C194" s="861"/>
      <c r="D194" s="861"/>
      <c r="E194" s="861"/>
      <c r="F194" s="861"/>
      <c r="G194" s="861"/>
    </row>
    <row r="195" spans="2:7">
      <c r="B195" s="865"/>
      <c r="C195" s="861"/>
      <c r="D195" s="861"/>
      <c r="E195" s="861"/>
      <c r="F195" s="861"/>
      <c r="G195" s="861"/>
    </row>
    <row r="196" spans="2:7">
      <c r="B196" s="865"/>
      <c r="C196" s="861"/>
      <c r="D196" s="861"/>
      <c r="E196" s="861"/>
      <c r="F196" s="861"/>
      <c r="G196" s="861"/>
    </row>
    <row r="197" spans="2:7">
      <c r="B197" s="865"/>
      <c r="C197" s="861"/>
      <c r="D197" s="861"/>
      <c r="E197" s="861"/>
      <c r="F197" s="861"/>
      <c r="G197" s="861"/>
    </row>
    <row r="198" spans="2:7">
      <c r="B198" s="865"/>
      <c r="C198" s="861"/>
      <c r="D198" s="861"/>
      <c r="E198" s="861"/>
      <c r="F198" s="861"/>
      <c r="G198" s="861"/>
    </row>
    <row r="199" spans="2:7">
      <c r="B199" s="865"/>
      <c r="C199" s="861"/>
      <c r="D199" s="861"/>
      <c r="E199" s="861"/>
      <c r="F199" s="861"/>
      <c r="G199" s="861"/>
    </row>
    <row r="200" spans="2:7">
      <c r="B200" s="865"/>
      <c r="C200" s="861"/>
      <c r="D200" s="861"/>
      <c r="E200" s="861"/>
      <c r="F200" s="861"/>
      <c r="G200" s="861"/>
    </row>
    <row r="201" spans="2:7">
      <c r="B201" s="865"/>
      <c r="C201" s="861"/>
      <c r="D201" s="861"/>
      <c r="E201" s="861"/>
      <c r="F201" s="861"/>
      <c r="G201" s="861"/>
    </row>
    <row r="202" spans="2:7">
      <c r="B202" s="865"/>
      <c r="C202" s="861"/>
      <c r="D202" s="861"/>
      <c r="E202" s="861"/>
      <c r="F202" s="861"/>
      <c r="G202" s="861"/>
    </row>
    <row r="203" spans="2:7">
      <c r="B203" s="865"/>
      <c r="C203" s="861"/>
      <c r="D203" s="861"/>
      <c r="E203" s="861"/>
      <c r="F203" s="861"/>
      <c r="G203" s="861"/>
    </row>
    <row r="204" spans="2:7">
      <c r="B204" s="865"/>
      <c r="C204" s="861"/>
      <c r="D204" s="861"/>
      <c r="E204" s="861"/>
      <c r="F204" s="861"/>
      <c r="G204" s="861"/>
    </row>
    <row r="205" spans="2:7">
      <c r="B205" s="865"/>
      <c r="C205" s="861"/>
      <c r="D205" s="861"/>
      <c r="E205" s="861"/>
      <c r="F205" s="861"/>
      <c r="G205" s="861"/>
    </row>
    <row r="206" spans="2:7">
      <c r="B206" s="865"/>
      <c r="C206" s="861"/>
      <c r="D206" s="861"/>
      <c r="E206" s="861"/>
      <c r="F206" s="861"/>
      <c r="G206" s="861"/>
    </row>
    <row r="207" spans="2:7">
      <c r="B207" s="865"/>
      <c r="C207" s="861"/>
      <c r="D207" s="861"/>
      <c r="E207" s="861"/>
      <c r="F207" s="861"/>
      <c r="G207" s="861"/>
    </row>
    <row r="208" spans="2:7">
      <c r="B208" s="865"/>
      <c r="C208" s="861"/>
      <c r="D208" s="861"/>
      <c r="E208" s="861"/>
      <c r="F208" s="861"/>
      <c r="G208" s="861"/>
    </row>
    <row r="209" spans="2:7">
      <c r="B209" s="865"/>
      <c r="C209" s="861"/>
      <c r="D209" s="861"/>
      <c r="E209" s="861"/>
      <c r="F209" s="861"/>
      <c r="G209" s="861"/>
    </row>
    <row r="210" spans="2:7">
      <c r="B210" s="865"/>
      <c r="C210" s="861"/>
      <c r="D210" s="861"/>
      <c r="E210" s="861"/>
      <c r="F210" s="861"/>
      <c r="G210" s="861"/>
    </row>
    <row r="211" spans="2:7">
      <c r="B211" s="865"/>
      <c r="C211" s="861"/>
      <c r="D211" s="861"/>
      <c r="E211" s="861"/>
      <c r="F211" s="861"/>
      <c r="G211" s="861"/>
    </row>
    <row r="212" spans="2:7">
      <c r="B212" s="865"/>
      <c r="C212" s="861"/>
      <c r="D212" s="861"/>
      <c r="E212" s="861"/>
      <c r="F212" s="861"/>
      <c r="G212" s="861"/>
    </row>
    <row r="213" spans="2:7">
      <c r="B213" s="865"/>
      <c r="C213" s="861"/>
      <c r="D213" s="861"/>
      <c r="E213" s="861"/>
      <c r="F213" s="861"/>
      <c r="G213" s="861"/>
    </row>
    <row r="214" spans="2:7">
      <c r="B214" s="865"/>
      <c r="C214" s="861"/>
      <c r="D214" s="861"/>
      <c r="E214" s="861"/>
      <c r="F214" s="861"/>
      <c r="G214" s="861"/>
    </row>
    <row r="215" spans="2:7">
      <c r="B215" s="865"/>
      <c r="C215" s="861"/>
      <c r="D215" s="861"/>
      <c r="E215" s="861"/>
      <c r="F215" s="861"/>
      <c r="G215" s="861"/>
    </row>
    <row r="216" spans="2:7">
      <c r="B216" s="865"/>
      <c r="C216" s="861"/>
      <c r="D216" s="861"/>
      <c r="E216" s="861"/>
      <c r="F216" s="861"/>
      <c r="G216" s="861"/>
    </row>
    <row r="217" spans="2:7">
      <c r="B217" s="865"/>
      <c r="C217" s="861"/>
      <c r="D217" s="861"/>
      <c r="E217" s="861"/>
      <c r="F217" s="861"/>
      <c r="G217" s="861"/>
    </row>
    <row r="218" spans="2:7">
      <c r="B218" s="865"/>
      <c r="C218" s="861"/>
      <c r="D218" s="861"/>
      <c r="E218" s="861"/>
      <c r="F218" s="861"/>
      <c r="G218" s="861"/>
    </row>
    <row r="219" spans="2:7">
      <c r="B219" s="865"/>
      <c r="C219" s="861"/>
      <c r="D219" s="861"/>
      <c r="E219" s="861"/>
      <c r="F219" s="861"/>
      <c r="G219" s="861"/>
    </row>
    <row r="220" spans="2:7">
      <c r="B220" s="865"/>
      <c r="C220" s="861"/>
      <c r="D220" s="861"/>
      <c r="E220" s="861"/>
      <c r="F220" s="861"/>
      <c r="G220" s="861"/>
    </row>
    <row r="221" spans="2:7">
      <c r="B221" s="865"/>
      <c r="C221" s="861"/>
      <c r="D221" s="861"/>
      <c r="E221" s="861"/>
      <c r="F221" s="861"/>
      <c r="G221" s="861"/>
    </row>
    <row r="222" spans="2:7">
      <c r="B222" s="865"/>
      <c r="C222" s="861"/>
      <c r="D222" s="861"/>
      <c r="E222" s="861"/>
      <c r="F222" s="861"/>
      <c r="G222" s="861"/>
    </row>
    <row r="223" spans="2:7">
      <c r="B223" s="865"/>
      <c r="C223" s="861"/>
      <c r="D223" s="861"/>
      <c r="E223" s="861"/>
      <c r="F223" s="861"/>
      <c r="G223" s="861"/>
    </row>
    <row r="224" spans="2:7">
      <c r="B224" s="865"/>
      <c r="C224" s="861"/>
      <c r="D224" s="861"/>
      <c r="E224" s="861"/>
      <c r="F224" s="861"/>
      <c r="G224" s="861"/>
    </row>
    <row r="225" spans="2:7">
      <c r="B225" s="865"/>
      <c r="C225" s="861"/>
      <c r="D225" s="861"/>
      <c r="E225" s="861"/>
      <c r="F225" s="861"/>
      <c r="G225" s="861"/>
    </row>
    <row r="226" spans="2:7">
      <c r="B226" s="865"/>
      <c r="C226" s="861"/>
      <c r="D226" s="861"/>
      <c r="E226" s="861"/>
      <c r="F226" s="861"/>
      <c r="G226" s="861"/>
    </row>
    <row r="227" spans="2:7">
      <c r="B227" s="865"/>
      <c r="C227" s="861"/>
      <c r="D227" s="861"/>
      <c r="E227" s="861"/>
      <c r="F227" s="861"/>
      <c r="G227" s="861"/>
    </row>
    <row r="228" spans="2:7">
      <c r="B228" s="865"/>
      <c r="C228" s="861"/>
      <c r="D228" s="861"/>
      <c r="E228" s="861"/>
      <c r="F228" s="861"/>
      <c r="G228" s="861"/>
    </row>
    <row r="229" spans="2:7">
      <c r="B229" s="865"/>
      <c r="C229" s="861"/>
      <c r="D229" s="861"/>
      <c r="E229" s="861"/>
      <c r="F229" s="861"/>
      <c r="G229" s="861"/>
    </row>
    <row r="230" spans="2:7">
      <c r="B230" s="865"/>
      <c r="C230" s="861"/>
      <c r="D230" s="861"/>
      <c r="E230" s="861"/>
      <c r="F230" s="861"/>
      <c r="G230" s="861"/>
    </row>
    <row r="231" spans="2:7">
      <c r="B231" s="865"/>
      <c r="C231" s="861"/>
      <c r="D231" s="861"/>
      <c r="E231" s="861"/>
      <c r="F231" s="861"/>
      <c r="G231" s="861"/>
    </row>
    <row r="232" spans="2:7">
      <c r="B232" s="865"/>
      <c r="C232" s="861"/>
      <c r="D232" s="861"/>
      <c r="E232" s="861"/>
      <c r="F232" s="861"/>
      <c r="G232" s="861"/>
    </row>
    <row r="233" spans="2:7">
      <c r="B233" s="865"/>
      <c r="C233" s="861"/>
      <c r="D233" s="861"/>
      <c r="E233" s="861"/>
      <c r="F233" s="861"/>
      <c r="G233" s="861"/>
    </row>
    <row r="234" spans="2:7">
      <c r="B234" s="865"/>
      <c r="C234" s="861"/>
      <c r="D234" s="861"/>
      <c r="E234" s="861"/>
      <c r="F234" s="861"/>
      <c r="G234" s="861"/>
    </row>
    <row r="235" spans="2:7">
      <c r="B235" s="865"/>
      <c r="C235" s="861"/>
      <c r="D235" s="861"/>
      <c r="E235" s="861"/>
      <c r="F235" s="861"/>
      <c r="G235" s="861"/>
    </row>
    <row r="236" spans="2:7">
      <c r="B236" s="865"/>
      <c r="C236" s="861"/>
      <c r="D236" s="861"/>
      <c r="E236" s="861"/>
      <c r="F236" s="861"/>
      <c r="G236" s="861"/>
    </row>
    <row r="237" spans="2:7">
      <c r="B237" s="865"/>
      <c r="C237" s="861"/>
      <c r="D237" s="861"/>
      <c r="E237" s="861"/>
      <c r="F237" s="861"/>
      <c r="G237" s="861"/>
    </row>
    <row r="238" spans="2:7">
      <c r="B238" s="865"/>
      <c r="C238" s="861"/>
      <c r="D238" s="861"/>
      <c r="E238" s="861"/>
      <c r="F238" s="861"/>
      <c r="G238" s="861"/>
    </row>
    <row r="239" spans="2:7">
      <c r="B239" s="865"/>
      <c r="C239" s="861"/>
      <c r="D239" s="861"/>
      <c r="E239" s="861"/>
      <c r="F239" s="861"/>
      <c r="G239" s="861"/>
    </row>
    <row r="240" spans="2:7">
      <c r="B240" s="865"/>
      <c r="C240" s="861"/>
      <c r="D240" s="861"/>
      <c r="E240" s="861"/>
      <c r="F240" s="861"/>
      <c r="G240" s="861"/>
    </row>
    <row r="241" spans="2:7">
      <c r="B241" s="865"/>
      <c r="C241" s="861"/>
      <c r="D241" s="861"/>
      <c r="E241" s="861"/>
      <c r="F241" s="861"/>
      <c r="G241" s="861"/>
    </row>
    <row r="242" spans="2:7">
      <c r="B242" s="865"/>
      <c r="C242" s="861"/>
      <c r="D242" s="861"/>
      <c r="E242" s="861"/>
      <c r="F242" s="861"/>
      <c r="G242" s="861"/>
    </row>
    <row r="243" spans="2:7">
      <c r="B243" s="865"/>
      <c r="C243" s="861"/>
      <c r="D243" s="861"/>
      <c r="E243" s="861"/>
      <c r="F243" s="861"/>
      <c r="G243" s="861"/>
    </row>
    <row r="244" spans="2:7">
      <c r="B244" s="865"/>
      <c r="C244" s="861"/>
      <c r="D244" s="861"/>
      <c r="E244" s="861"/>
      <c r="F244" s="861"/>
      <c r="G244" s="861"/>
    </row>
    <row r="245" spans="2:7">
      <c r="B245" s="865"/>
      <c r="C245" s="861"/>
      <c r="D245" s="861"/>
      <c r="E245" s="861"/>
      <c r="F245" s="861"/>
      <c r="G245" s="861"/>
    </row>
    <row r="246" spans="2:7">
      <c r="B246" s="865"/>
      <c r="C246" s="861"/>
      <c r="D246" s="861"/>
      <c r="E246" s="861"/>
      <c r="F246" s="861"/>
      <c r="G246" s="861"/>
    </row>
    <row r="247" spans="2:7">
      <c r="B247" s="865"/>
      <c r="C247" s="861"/>
      <c r="D247" s="861"/>
      <c r="E247" s="861"/>
      <c r="F247" s="861"/>
      <c r="G247" s="861"/>
    </row>
    <row r="248" spans="2:7">
      <c r="B248" s="865"/>
      <c r="C248" s="861"/>
      <c r="D248" s="861"/>
      <c r="E248" s="861"/>
      <c r="F248" s="861"/>
      <c r="G248" s="861"/>
    </row>
    <row r="249" spans="2:7">
      <c r="B249" s="865"/>
      <c r="C249" s="861"/>
      <c r="D249" s="861"/>
      <c r="E249" s="861"/>
      <c r="F249" s="861"/>
      <c r="G249" s="861"/>
    </row>
    <row r="250" spans="2:7">
      <c r="B250" s="865"/>
      <c r="C250" s="861"/>
      <c r="D250" s="861"/>
      <c r="E250" s="861"/>
      <c r="F250" s="861"/>
      <c r="G250" s="861"/>
    </row>
    <row r="251" spans="2:7">
      <c r="B251" s="865"/>
      <c r="C251" s="861"/>
      <c r="D251" s="861"/>
      <c r="E251" s="861"/>
      <c r="F251" s="861"/>
      <c r="G251" s="861"/>
    </row>
    <row r="252" spans="2:7">
      <c r="B252" s="865"/>
      <c r="C252" s="861"/>
      <c r="D252" s="861"/>
      <c r="E252" s="861"/>
      <c r="F252" s="861"/>
      <c r="G252" s="861"/>
    </row>
    <row r="253" spans="2:7">
      <c r="B253" s="865"/>
      <c r="C253" s="861"/>
      <c r="D253" s="861"/>
      <c r="E253" s="861"/>
      <c r="F253" s="861"/>
      <c r="G253" s="861"/>
    </row>
    <row r="254" spans="2:7">
      <c r="B254" s="865"/>
      <c r="C254" s="861"/>
      <c r="D254" s="861"/>
      <c r="E254" s="861"/>
      <c r="F254" s="861"/>
      <c r="G254" s="861"/>
    </row>
    <row r="255" spans="2:7">
      <c r="B255" s="865"/>
      <c r="C255" s="861"/>
      <c r="D255" s="861"/>
      <c r="E255" s="861"/>
      <c r="F255" s="861"/>
      <c r="G255" s="861"/>
    </row>
    <row r="256" spans="2:7">
      <c r="B256" s="865"/>
      <c r="C256" s="861"/>
      <c r="D256" s="861"/>
      <c r="E256" s="861"/>
      <c r="F256" s="861"/>
      <c r="G256" s="861"/>
    </row>
    <row r="257" spans="2:7">
      <c r="B257" s="865"/>
      <c r="C257" s="861"/>
      <c r="D257" s="861"/>
      <c r="E257" s="861"/>
      <c r="F257" s="861"/>
      <c r="G257" s="861"/>
    </row>
    <row r="258" spans="2:7">
      <c r="B258" s="865"/>
      <c r="C258" s="861"/>
      <c r="D258" s="861"/>
      <c r="E258" s="861"/>
      <c r="F258" s="861"/>
      <c r="G258" s="861"/>
    </row>
    <row r="259" spans="2:7">
      <c r="B259" s="865"/>
      <c r="C259" s="861"/>
      <c r="D259" s="861"/>
      <c r="E259" s="861"/>
      <c r="F259" s="861"/>
      <c r="G259" s="861"/>
    </row>
    <row r="260" spans="2:7">
      <c r="B260" s="865"/>
      <c r="C260" s="861"/>
      <c r="D260" s="861"/>
      <c r="E260" s="861"/>
      <c r="F260" s="861"/>
      <c r="G260" s="861"/>
    </row>
    <row r="261" spans="2:7">
      <c r="B261" s="865"/>
      <c r="C261" s="861"/>
      <c r="D261" s="861"/>
      <c r="E261" s="861"/>
      <c r="F261" s="861"/>
      <c r="G261" s="861"/>
    </row>
    <row r="262" spans="2:7">
      <c r="B262" s="865"/>
      <c r="C262" s="861"/>
      <c r="D262" s="861"/>
      <c r="E262" s="861"/>
      <c r="F262" s="861"/>
      <c r="G262" s="861"/>
    </row>
    <row r="263" spans="2:7">
      <c r="B263" s="865"/>
      <c r="C263" s="861"/>
      <c r="D263" s="861"/>
      <c r="E263" s="861"/>
      <c r="F263" s="861"/>
      <c r="G263" s="861"/>
    </row>
    <row r="264" spans="2:7">
      <c r="B264" s="865"/>
      <c r="C264" s="861"/>
      <c r="D264" s="861"/>
      <c r="E264" s="861"/>
      <c r="F264" s="861"/>
      <c r="G264" s="861"/>
    </row>
    <row r="265" spans="2:7">
      <c r="B265" s="865"/>
      <c r="C265" s="861"/>
      <c r="D265" s="861"/>
      <c r="E265" s="861"/>
      <c r="F265" s="861"/>
      <c r="G265" s="861"/>
    </row>
    <row r="266" spans="2:7">
      <c r="B266" s="865"/>
      <c r="C266" s="861"/>
      <c r="D266" s="861"/>
      <c r="E266" s="861"/>
      <c r="F266" s="861"/>
      <c r="G266" s="861"/>
    </row>
    <row r="267" spans="2:7">
      <c r="B267" s="865"/>
      <c r="C267" s="861"/>
      <c r="D267" s="861"/>
      <c r="E267" s="861"/>
      <c r="F267" s="861"/>
      <c r="G267" s="861"/>
    </row>
    <row r="268" spans="2:7">
      <c r="B268" s="865"/>
      <c r="C268" s="861"/>
      <c r="D268" s="861"/>
      <c r="E268" s="861"/>
      <c r="F268" s="861"/>
      <c r="G268" s="861"/>
    </row>
    <row r="269" spans="2:7">
      <c r="B269" s="865"/>
      <c r="C269" s="861"/>
      <c r="D269" s="861"/>
      <c r="E269" s="861"/>
      <c r="F269" s="861"/>
      <c r="G269" s="861"/>
    </row>
    <row r="270" spans="2:7">
      <c r="B270" s="865"/>
      <c r="C270" s="861"/>
      <c r="D270" s="861"/>
      <c r="E270" s="861"/>
      <c r="F270" s="861"/>
      <c r="G270" s="861"/>
    </row>
    <row r="271" spans="2:7">
      <c r="B271" s="865"/>
      <c r="C271" s="861"/>
      <c r="D271" s="861"/>
      <c r="E271" s="861"/>
      <c r="F271" s="861"/>
      <c r="G271" s="861"/>
    </row>
    <row r="272" spans="2:7">
      <c r="B272" s="865"/>
      <c r="C272" s="861"/>
      <c r="D272" s="861"/>
      <c r="E272" s="861"/>
      <c r="F272" s="861"/>
      <c r="G272" s="861"/>
    </row>
    <row r="273" spans="2:7">
      <c r="B273" s="865"/>
      <c r="C273" s="861"/>
      <c r="D273" s="861"/>
      <c r="E273" s="861"/>
      <c r="F273" s="861"/>
      <c r="G273" s="861"/>
    </row>
    <row r="274" spans="2:7">
      <c r="B274" s="865"/>
      <c r="C274" s="861"/>
      <c r="D274" s="861"/>
      <c r="E274" s="861"/>
      <c r="F274" s="861"/>
      <c r="G274" s="861"/>
    </row>
    <row r="275" spans="2:7">
      <c r="B275" s="865"/>
      <c r="C275" s="861"/>
      <c r="D275" s="861"/>
      <c r="E275" s="861"/>
      <c r="F275" s="861"/>
      <c r="G275" s="861"/>
    </row>
    <row r="276" spans="2:7">
      <c r="B276" s="865"/>
      <c r="C276" s="861"/>
      <c r="D276" s="861"/>
      <c r="E276" s="861"/>
      <c r="F276" s="861"/>
      <c r="G276" s="861"/>
    </row>
    <row r="277" spans="2:7">
      <c r="B277" s="865"/>
      <c r="C277" s="861"/>
      <c r="D277" s="861"/>
      <c r="E277" s="861"/>
      <c r="F277" s="861"/>
      <c r="G277" s="861"/>
    </row>
    <row r="278" spans="2:7">
      <c r="B278" s="865"/>
      <c r="C278" s="861"/>
      <c r="D278" s="861"/>
      <c r="E278" s="861"/>
      <c r="F278" s="861"/>
      <c r="G278" s="861"/>
    </row>
    <row r="279" spans="2:7">
      <c r="B279" s="865"/>
      <c r="C279" s="861"/>
      <c r="D279" s="861"/>
      <c r="E279" s="861"/>
      <c r="F279" s="861"/>
      <c r="G279" s="861"/>
    </row>
    <row r="280" spans="2:7">
      <c r="B280" s="865"/>
      <c r="C280" s="861"/>
      <c r="D280" s="861"/>
      <c r="E280" s="861"/>
      <c r="F280" s="861"/>
      <c r="G280" s="861"/>
    </row>
    <row r="281" spans="2:7">
      <c r="B281" s="865"/>
      <c r="C281" s="861"/>
      <c r="D281" s="861"/>
      <c r="E281" s="861"/>
      <c r="F281" s="861"/>
      <c r="G281" s="861"/>
    </row>
    <row r="282" spans="2:7">
      <c r="B282" s="865"/>
      <c r="C282" s="861"/>
      <c r="D282" s="861"/>
      <c r="E282" s="861"/>
      <c r="F282" s="861"/>
      <c r="G282" s="861"/>
    </row>
    <row r="283" spans="2:7">
      <c r="B283" s="865"/>
      <c r="C283" s="861"/>
      <c r="D283" s="861"/>
      <c r="E283" s="861"/>
      <c r="F283" s="861"/>
      <c r="G283" s="861"/>
    </row>
    <row r="284" spans="2:7">
      <c r="B284" s="865"/>
      <c r="C284" s="861"/>
      <c r="D284" s="861"/>
      <c r="E284" s="861"/>
      <c r="F284" s="861"/>
      <c r="G284" s="861"/>
    </row>
    <row r="285" spans="2:7">
      <c r="B285" s="865"/>
      <c r="C285" s="861"/>
      <c r="D285" s="861"/>
      <c r="E285" s="861"/>
      <c r="F285" s="861"/>
      <c r="G285" s="861"/>
    </row>
    <row r="286" spans="2:7">
      <c r="B286" s="865"/>
      <c r="C286" s="861"/>
      <c r="D286" s="861"/>
      <c r="E286" s="861"/>
      <c r="F286" s="861"/>
      <c r="G286" s="861"/>
    </row>
    <row r="287" spans="2:7">
      <c r="B287" s="865"/>
      <c r="C287" s="861"/>
      <c r="D287" s="861"/>
      <c r="E287" s="861"/>
      <c r="F287" s="861"/>
      <c r="G287" s="861"/>
    </row>
    <row r="288" spans="2:7">
      <c r="B288" s="865"/>
      <c r="C288" s="861"/>
      <c r="D288" s="861"/>
      <c r="E288" s="861"/>
      <c r="F288" s="861"/>
      <c r="G288" s="861"/>
    </row>
    <row r="289" spans="2:7">
      <c r="B289" s="865"/>
      <c r="C289" s="861"/>
      <c r="D289" s="861"/>
      <c r="E289" s="861"/>
      <c r="F289" s="861"/>
      <c r="G289" s="861"/>
    </row>
    <row r="290" spans="2:7">
      <c r="B290" s="865"/>
      <c r="C290" s="861"/>
      <c r="D290" s="861"/>
      <c r="E290" s="861"/>
      <c r="F290" s="861"/>
      <c r="G290" s="861"/>
    </row>
    <row r="291" spans="2:7">
      <c r="B291" s="865"/>
      <c r="C291" s="861"/>
      <c r="D291" s="861"/>
      <c r="E291" s="861"/>
      <c r="F291" s="861"/>
      <c r="G291" s="861"/>
    </row>
    <row r="292" spans="2:7">
      <c r="B292" s="865"/>
      <c r="C292" s="861"/>
      <c r="D292" s="861"/>
      <c r="E292" s="861"/>
      <c r="F292" s="861"/>
      <c r="G292" s="861"/>
    </row>
    <row r="293" spans="2:7">
      <c r="B293" s="865"/>
      <c r="C293" s="861"/>
      <c r="D293" s="861"/>
      <c r="E293" s="861"/>
      <c r="F293" s="861"/>
      <c r="G293" s="861"/>
    </row>
    <row r="294" spans="2:7">
      <c r="B294" s="865"/>
      <c r="C294" s="861"/>
      <c r="D294" s="861"/>
      <c r="E294" s="861"/>
      <c r="F294" s="861"/>
      <c r="G294" s="861"/>
    </row>
    <row r="295" spans="2:7">
      <c r="B295" s="865"/>
      <c r="C295" s="861"/>
      <c r="D295" s="861"/>
      <c r="E295" s="861"/>
      <c r="F295" s="861"/>
      <c r="G295" s="861"/>
    </row>
    <row r="296" spans="2:7">
      <c r="B296" s="865"/>
      <c r="C296" s="861"/>
      <c r="D296" s="861"/>
      <c r="E296" s="861"/>
      <c r="F296" s="861"/>
      <c r="G296" s="861"/>
    </row>
    <row r="297" spans="2:7">
      <c r="B297" s="865"/>
      <c r="C297" s="861"/>
      <c r="D297" s="861"/>
      <c r="E297" s="861"/>
      <c r="F297" s="861"/>
      <c r="G297" s="861"/>
    </row>
    <row r="298" spans="2:7">
      <c r="B298" s="865"/>
      <c r="C298" s="861"/>
      <c r="D298" s="861"/>
      <c r="E298" s="861"/>
      <c r="F298" s="861"/>
      <c r="G298" s="861"/>
    </row>
    <row r="299" spans="2:7">
      <c r="B299" s="865"/>
      <c r="C299" s="861"/>
      <c r="D299" s="861"/>
      <c r="E299" s="861"/>
      <c r="F299" s="861"/>
      <c r="G299" s="861"/>
    </row>
    <row r="300" spans="2:7">
      <c r="B300" s="865"/>
      <c r="C300" s="861"/>
      <c r="D300" s="861"/>
      <c r="E300" s="861"/>
      <c r="F300" s="861"/>
      <c r="G300" s="861"/>
    </row>
    <row r="301" spans="2:7">
      <c r="B301" s="865"/>
      <c r="C301" s="861"/>
      <c r="D301" s="861"/>
      <c r="E301" s="861"/>
      <c r="F301" s="861"/>
      <c r="G301" s="861"/>
    </row>
    <row r="302" spans="2:7">
      <c r="B302" s="865"/>
      <c r="C302" s="861"/>
      <c r="D302" s="861"/>
      <c r="E302" s="861"/>
      <c r="F302" s="861"/>
      <c r="G302" s="861"/>
    </row>
    <row r="303" spans="2:7">
      <c r="B303" s="865"/>
      <c r="C303" s="861"/>
      <c r="D303" s="861"/>
      <c r="E303" s="861"/>
      <c r="F303" s="861"/>
      <c r="G303" s="861"/>
    </row>
    <row r="304" spans="2:7">
      <c r="B304" s="865"/>
      <c r="C304" s="861"/>
      <c r="D304" s="861"/>
      <c r="E304" s="861"/>
      <c r="F304" s="861"/>
      <c r="G304" s="861"/>
    </row>
    <row r="305" spans="2:7">
      <c r="B305" s="865"/>
      <c r="C305" s="861"/>
      <c r="D305" s="861"/>
      <c r="E305" s="861"/>
      <c r="F305" s="861"/>
      <c r="G305" s="861"/>
    </row>
    <row r="306" spans="2:7">
      <c r="B306" s="865"/>
      <c r="C306" s="861"/>
      <c r="D306" s="861"/>
      <c r="E306" s="861"/>
      <c r="F306" s="861"/>
      <c r="G306" s="861"/>
    </row>
    <row r="307" spans="2:7">
      <c r="B307" s="865"/>
      <c r="C307" s="861"/>
      <c r="D307" s="861"/>
      <c r="E307" s="861"/>
      <c r="F307" s="861"/>
      <c r="G307" s="861"/>
    </row>
    <row r="308" spans="2:7">
      <c r="B308" s="865"/>
      <c r="C308" s="861"/>
      <c r="D308" s="861"/>
      <c r="E308" s="861"/>
      <c r="F308" s="861"/>
      <c r="G308" s="861"/>
    </row>
    <row r="309" spans="2:7">
      <c r="B309" s="865"/>
      <c r="C309" s="861"/>
      <c r="D309" s="861"/>
      <c r="E309" s="861"/>
      <c r="F309" s="861"/>
      <c r="G309" s="861"/>
    </row>
    <row r="310" spans="2:7">
      <c r="B310" s="865"/>
      <c r="C310" s="861"/>
      <c r="D310" s="861"/>
      <c r="E310" s="861"/>
      <c r="F310" s="861"/>
      <c r="G310" s="861"/>
    </row>
    <row r="311" spans="2:7">
      <c r="B311" s="865"/>
      <c r="C311" s="861"/>
      <c r="D311" s="861"/>
      <c r="E311" s="861"/>
      <c r="F311" s="861"/>
      <c r="G311" s="861"/>
    </row>
    <row r="312" spans="2:7">
      <c r="B312" s="865"/>
      <c r="C312" s="861"/>
      <c r="D312" s="861"/>
      <c r="E312" s="861"/>
      <c r="F312" s="861"/>
      <c r="G312" s="861"/>
    </row>
    <row r="313" spans="2:7">
      <c r="B313" s="865"/>
      <c r="C313" s="861"/>
      <c r="D313" s="861"/>
      <c r="E313" s="861"/>
      <c r="F313" s="861"/>
      <c r="G313" s="861"/>
    </row>
    <row r="314" spans="2:7">
      <c r="B314" s="865"/>
      <c r="C314" s="861"/>
      <c r="D314" s="861"/>
      <c r="E314" s="861"/>
      <c r="F314" s="861"/>
      <c r="G314" s="861"/>
    </row>
    <row r="315" spans="2:7">
      <c r="B315" s="865"/>
      <c r="C315" s="861"/>
      <c r="D315" s="861"/>
      <c r="E315" s="861"/>
      <c r="F315" s="861"/>
      <c r="G315" s="861"/>
    </row>
    <row r="316" spans="2:7">
      <c r="B316" s="865"/>
      <c r="C316" s="861"/>
      <c r="D316" s="861"/>
      <c r="E316" s="861"/>
      <c r="F316" s="861"/>
      <c r="G316" s="861"/>
    </row>
    <row r="317" spans="2:7">
      <c r="B317" s="865"/>
      <c r="C317" s="861"/>
      <c r="D317" s="861"/>
      <c r="E317" s="861"/>
      <c r="F317" s="861"/>
      <c r="G317" s="861"/>
    </row>
    <row r="318" spans="2:7">
      <c r="B318" s="865"/>
      <c r="C318" s="861"/>
      <c r="D318" s="861"/>
      <c r="E318" s="861"/>
      <c r="F318" s="861"/>
      <c r="G318" s="861"/>
    </row>
    <row r="319" spans="2:7">
      <c r="B319" s="865"/>
      <c r="C319" s="861"/>
      <c r="D319" s="861"/>
      <c r="E319" s="861"/>
      <c r="F319" s="861"/>
      <c r="G319" s="861"/>
    </row>
    <row r="320" spans="2:7">
      <c r="B320" s="865"/>
      <c r="C320" s="861"/>
      <c r="D320" s="861"/>
      <c r="E320" s="861"/>
      <c r="F320" s="861"/>
      <c r="G320" s="861"/>
    </row>
    <row r="321" spans="2:7">
      <c r="B321" s="865"/>
      <c r="C321" s="861"/>
      <c r="D321" s="861"/>
      <c r="E321" s="861"/>
      <c r="F321" s="861"/>
      <c r="G321" s="861"/>
    </row>
    <row r="322" spans="2:7">
      <c r="B322" s="865"/>
      <c r="C322" s="861"/>
      <c r="D322" s="861"/>
      <c r="E322" s="861"/>
      <c r="F322" s="861"/>
      <c r="G322" s="861"/>
    </row>
    <row r="323" spans="2:7">
      <c r="B323" s="865"/>
      <c r="C323" s="861"/>
      <c r="D323" s="861"/>
      <c r="E323" s="861"/>
      <c r="F323" s="861"/>
      <c r="G323" s="861"/>
    </row>
    <row r="324" spans="2:7">
      <c r="B324" s="865"/>
      <c r="C324" s="861"/>
      <c r="D324" s="861"/>
      <c r="E324" s="861"/>
      <c r="F324" s="861"/>
      <c r="G324" s="861"/>
    </row>
    <row r="325" spans="2:7">
      <c r="B325" s="865"/>
      <c r="C325" s="861"/>
      <c r="D325" s="861"/>
      <c r="E325" s="861"/>
      <c r="F325" s="861"/>
      <c r="G325" s="861"/>
    </row>
    <row r="326" spans="2:7">
      <c r="B326" s="865"/>
      <c r="C326" s="861"/>
      <c r="D326" s="861"/>
      <c r="E326" s="861"/>
      <c r="F326" s="861"/>
      <c r="G326" s="861"/>
    </row>
    <row r="327" spans="2:7">
      <c r="B327" s="865"/>
      <c r="C327" s="861"/>
      <c r="D327" s="861"/>
      <c r="E327" s="861"/>
      <c r="F327" s="861"/>
      <c r="G327" s="861"/>
    </row>
    <row r="328" spans="2:7">
      <c r="B328" s="865"/>
      <c r="C328" s="861"/>
      <c r="D328" s="861"/>
      <c r="E328" s="861"/>
      <c r="F328" s="861"/>
      <c r="G328" s="861"/>
    </row>
    <row r="329" spans="2:7">
      <c r="B329" s="865"/>
      <c r="C329" s="861"/>
      <c r="D329" s="861"/>
      <c r="E329" s="861"/>
      <c r="F329" s="861"/>
      <c r="G329" s="861"/>
    </row>
    <row r="330" spans="2:7">
      <c r="B330" s="865"/>
      <c r="C330" s="861"/>
      <c r="D330" s="861"/>
      <c r="E330" s="861"/>
      <c r="F330" s="861"/>
      <c r="G330" s="861"/>
    </row>
    <row r="331" spans="2:7">
      <c r="B331" s="865"/>
      <c r="C331" s="861"/>
      <c r="D331" s="861"/>
      <c r="E331" s="861"/>
      <c r="F331" s="861"/>
      <c r="G331" s="861"/>
    </row>
    <row r="332" spans="2:7">
      <c r="B332" s="865"/>
      <c r="C332" s="861"/>
      <c r="D332" s="861"/>
      <c r="E332" s="861"/>
      <c r="F332" s="861"/>
      <c r="G332" s="861"/>
    </row>
    <row r="333" spans="2:7">
      <c r="B333" s="865"/>
      <c r="C333" s="861"/>
      <c r="D333" s="861"/>
      <c r="E333" s="861"/>
      <c r="F333" s="861"/>
      <c r="G333" s="861"/>
    </row>
    <row r="334" spans="2:7">
      <c r="B334" s="865"/>
      <c r="C334" s="861"/>
      <c r="D334" s="861"/>
      <c r="E334" s="861"/>
      <c r="F334" s="861"/>
      <c r="G334" s="861"/>
    </row>
    <row r="335" spans="2:7">
      <c r="B335" s="865"/>
      <c r="C335" s="861"/>
      <c r="D335" s="861"/>
      <c r="E335" s="861"/>
      <c r="F335" s="861"/>
      <c r="G335" s="861"/>
    </row>
    <row r="336" spans="2:7">
      <c r="B336" s="865"/>
      <c r="C336" s="861"/>
      <c r="D336" s="861"/>
      <c r="E336" s="861"/>
      <c r="F336" s="861"/>
      <c r="G336" s="861"/>
    </row>
    <row r="337" spans="2:7">
      <c r="B337" s="865"/>
      <c r="C337" s="861"/>
      <c r="D337" s="861"/>
      <c r="E337" s="861"/>
      <c r="F337" s="861"/>
      <c r="G337" s="861"/>
    </row>
    <row r="338" spans="2:7">
      <c r="B338" s="865"/>
      <c r="C338" s="861"/>
      <c r="D338" s="861"/>
      <c r="E338" s="861"/>
      <c r="F338" s="861"/>
      <c r="G338" s="861"/>
    </row>
    <row r="339" spans="2:7">
      <c r="B339" s="865"/>
      <c r="C339" s="861"/>
      <c r="D339" s="861"/>
      <c r="E339" s="861"/>
      <c r="F339" s="861"/>
      <c r="G339" s="861"/>
    </row>
    <row r="340" spans="2:7">
      <c r="B340" s="865"/>
      <c r="C340" s="861"/>
      <c r="D340" s="861"/>
      <c r="E340" s="861"/>
      <c r="F340" s="861"/>
      <c r="G340" s="861"/>
    </row>
    <row r="341" spans="2:7">
      <c r="B341" s="865"/>
      <c r="C341" s="861"/>
      <c r="D341" s="861"/>
      <c r="E341" s="861"/>
      <c r="F341" s="861"/>
      <c r="G341" s="861"/>
    </row>
    <row r="342" spans="2:7">
      <c r="B342" s="865"/>
      <c r="C342" s="861"/>
      <c r="D342" s="861"/>
      <c r="E342" s="861"/>
      <c r="F342" s="861"/>
      <c r="G342" s="861"/>
    </row>
    <row r="343" spans="2:7">
      <c r="B343" s="865"/>
      <c r="C343" s="861"/>
      <c r="D343" s="861"/>
      <c r="E343" s="861"/>
      <c r="F343" s="861"/>
      <c r="G343" s="861"/>
    </row>
    <row r="344" spans="2:7">
      <c r="B344" s="865"/>
      <c r="C344" s="861"/>
      <c r="D344" s="861"/>
      <c r="E344" s="861"/>
      <c r="F344" s="861"/>
      <c r="G344" s="861"/>
    </row>
    <row r="345" spans="2:7">
      <c r="B345" s="865"/>
      <c r="C345" s="861"/>
      <c r="D345" s="861"/>
      <c r="E345" s="861"/>
      <c r="F345" s="861"/>
      <c r="G345" s="861"/>
    </row>
    <row r="346" spans="2:7">
      <c r="B346" s="865"/>
      <c r="C346" s="861"/>
      <c r="D346" s="861"/>
      <c r="E346" s="861"/>
      <c r="F346" s="861"/>
      <c r="G346" s="861"/>
    </row>
    <row r="347" spans="2:7">
      <c r="B347" s="865"/>
      <c r="C347" s="861"/>
      <c r="D347" s="861"/>
      <c r="E347" s="861"/>
      <c r="F347" s="861"/>
      <c r="G347" s="861"/>
    </row>
    <row r="348" spans="2:7">
      <c r="B348" s="865"/>
      <c r="C348" s="861"/>
      <c r="D348" s="861"/>
      <c r="E348" s="861"/>
      <c r="F348" s="861"/>
      <c r="G348" s="861"/>
    </row>
    <row r="349" spans="2:7">
      <c r="B349" s="865"/>
      <c r="C349" s="861"/>
      <c r="D349" s="861"/>
      <c r="E349" s="861"/>
      <c r="F349" s="861"/>
      <c r="G349" s="861"/>
    </row>
    <row r="350" spans="2:7">
      <c r="B350" s="865"/>
      <c r="C350" s="861"/>
      <c r="D350" s="861"/>
      <c r="E350" s="861"/>
      <c r="F350" s="861"/>
      <c r="G350" s="861"/>
    </row>
    <row r="351" spans="2:7">
      <c r="B351" s="865"/>
      <c r="C351" s="861"/>
      <c r="D351" s="861"/>
      <c r="E351" s="861"/>
      <c r="F351" s="861"/>
      <c r="G351" s="861"/>
    </row>
    <row r="352" spans="2:7">
      <c r="B352" s="865"/>
      <c r="C352" s="861"/>
      <c r="D352" s="861"/>
      <c r="E352" s="861"/>
      <c r="F352" s="861"/>
      <c r="G352" s="861"/>
    </row>
    <row r="353" spans="2:7">
      <c r="B353" s="865"/>
      <c r="C353" s="861"/>
      <c r="D353" s="861"/>
      <c r="E353" s="861"/>
      <c r="F353" s="861"/>
      <c r="G353" s="861"/>
    </row>
    <row r="354" spans="2:7">
      <c r="B354" s="865"/>
      <c r="C354" s="861"/>
      <c r="D354" s="861"/>
      <c r="E354" s="861"/>
      <c r="F354" s="861"/>
      <c r="G354" s="861"/>
    </row>
    <row r="355" spans="2:7">
      <c r="B355" s="865"/>
      <c r="C355" s="861"/>
      <c r="D355" s="861"/>
      <c r="E355" s="861"/>
      <c r="F355" s="861"/>
      <c r="G355" s="861"/>
    </row>
    <row r="356" spans="2:7">
      <c r="B356" s="865"/>
      <c r="C356" s="861"/>
      <c r="D356" s="861"/>
      <c r="E356" s="861"/>
      <c r="F356" s="861"/>
      <c r="G356" s="861"/>
    </row>
    <row r="357" spans="2:7">
      <c r="B357" s="865"/>
      <c r="C357" s="861"/>
      <c r="D357" s="861"/>
      <c r="E357" s="861"/>
      <c r="F357" s="861"/>
      <c r="G357" s="861"/>
    </row>
    <row r="358" spans="2:7">
      <c r="B358" s="865"/>
      <c r="C358" s="861"/>
      <c r="D358" s="861"/>
      <c r="E358" s="861"/>
      <c r="F358" s="861"/>
      <c r="G358" s="861"/>
    </row>
    <row r="359" spans="2:7">
      <c r="B359" s="865"/>
      <c r="C359" s="861"/>
      <c r="D359" s="861"/>
      <c r="E359" s="861"/>
      <c r="F359" s="861"/>
      <c r="G359" s="861"/>
    </row>
    <row r="360" spans="2:7">
      <c r="B360" s="865"/>
      <c r="C360" s="861"/>
      <c r="D360" s="861"/>
      <c r="E360" s="861"/>
      <c r="F360" s="861"/>
      <c r="G360" s="861"/>
    </row>
    <row r="361" spans="2:7">
      <c r="B361" s="865"/>
      <c r="C361" s="861"/>
      <c r="D361" s="861"/>
      <c r="E361" s="861"/>
      <c r="F361" s="861"/>
      <c r="G361" s="861"/>
    </row>
    <row r="362" spans="2:7">
      <c r="B362" s="865"/>
      <c r="C362" s="861"/>
      <c r="D362" s="861"/>
      <c r="E362" s="861"/>
      <c r="F362" s="861"/>
      <c r="G362" s="861"/>
    </row>
    <row r="363" spans="2:7">
      <c r="B363" s="865"/>
      <c r="C363" s="861"/>
      <c r="D363" s="861"/>
      <c r="E363" s="861"/>
      <c r="F363" s="861"/>
      <c r="G363" s="861"/>
    </row>
    <row r="364" spans="2:7">
      <c r="B364" s="865"/>
      <c r="C364" s="861"/>
      <c r="D364" s="861"/>
      <c r="E364" s="861"/>
      <c r="F364" s="861"/>
      <c r="G364" s="861"/>
    </row>
    <row r="365" spans="2:7">
      <c r="B365" s="865"/>
      <c r="C365" s="861"/>
      <c r="D365" s="861"/>
      <c r="E365" s="861"/>
      <c r="F365" s="861"/>
      <c r="G365" s="861"/>
    </row>
    <row r="366" spans="2:7">
      <c r="B366" s="865"/>
      <c r="C366" s="861"/>
      <c r="D366" s="861"/>
      <c r="E366" s="861"/>
      <c r="F366" s="861"/>
      <c r="G366" s="861"/>
    </row>
    <row r="367" spans="2:7">
      <c r="B367" s="865"/>
      <c r="C367" s="861"/>
      <c r="D367" s="861"/>
      <c r="E367" s="861"/>
      <c r="F367" s="861"/>
      <c r="G367" s="861"/>
    </row>
    <row r="368" spans="2:7">
      <c r="B368" s="865"/>
      <c r="C368" s="861"/>
      <c r="D368" s="861"/>
      <c r="E368" s="861"/>
      <c r="F368" s="861"/>
      <c r="G368" s="861"/>
    </row>
    <row r="369" spans="2:7">
      <c r="B369" s="865"/>
      <c r="C369" s="861"/>
      <c r="D369" s="861"/>
      <c r="E369" s="861"/>
      <c r="F369" s="861"/>
      <c r="G369" s="861"/>
    </row>
    <row r="370" spans="2:7">
      <c r="B370" s="865"/>
      <c r="C370" s="861"/>
      <c r="D370" s="861"/>
      <c r="E370" s="861"/>
      <c r="F370" s="861"/>
      <c r="G370" s="861"/>
    </row>
    <row r="371" spans="2:7">
      <c r="B371" s="865"/>
      <c r="C371" s="861"/>
      <c r="D371" s="861"/>
      <c r="E371" s="861"/>
      <c r="F371" s="861"/>
      <c r="G371" s="861"/>
    </row>
    <row r="372" spans="2:7">
      <c r="B372" s="865"/>
      <c r="C372" s="861"/>
      <c r="D372" s="861"/>
      <c r="E372" s="861"/>
      <c r="F372" s="861"/>
      <c r="G372" s="861"/>
    </row>
    <row r="373" spans="2:7">
      <c r="B373" s="865"/>
      <c r="C373" s="861"/>
      <c r="D373" s="861"/>
      <c r="E373" s="861"/>
      <c r="F373" s="861"/>
      <c r="G373" s="861"/>
    </row>
    <row r="374" spans="2:7">
      <c r="B374" s="865"/>
      <c r="C374" s="861"/>
      <c r="D374" s="861"/>
      <c r="E374" s="861"/>
      <c r="F374" s="861"/>
      <c r="G374" s="861"/>
    </row>
    <row r="375" spans="2:7">
      <c r="B375" s="865"/>
      <c r="C375" s="861"/>
      <c r="D375" s="861"/>
      <c r="E375" s="861"/>
      <c r="F375" s="861"/>
      <c r="G375" s="861"/>
    </row>
    <row r="376" spans="2:7">
      <c r="B376" s="865"/>
      <c r="C376" s="861"/>
      <c r="D376" s="861"/>
      <c r="E376" s="861"/>
      <c r="F376" s="861"/>
      <c r="G376" s="861"/>
    </row>
    <row r="377" spans="2:7">
      <c r="B377" s="865"/>
      <c r="C377" s="861"/>
      <c r="D377" s="861"/>
      <c r="E377" s="861"/>
      <c r="F377" s="861"/>
      <c r="G377" s="861"/>
    </row>
    <row r="378" spans="2:7">
      <c r="B378" s="865"/>
      <c r="C378" s="861"/>
      <c r="D378" s="861"/>
      <c r="E378" s="861"/>
      <c r="F378" s="861"/>
      <c r="G378" s="861"/>
    </row>
    <row r="379" spans="2:7">
      <c r="B379" s="865"/>
      <c r="C379" s="861"/>
      <c r="D379" s="861"/>
      <c r="E379" s="861"/>
      <c r="F379" s="861"/>
      <c r="G379" s="861"/>
    </row>
    <row r="380" spans="2:7">
      <c r="B380" s="865"/>
      <c r="C380" s="861"/>
      <c r="D380" s="861"/>
      <c r="E380" s="861"/>
      <c r="F380" s="861"/>
      <c r="G380" s="861"/>
    </row>
    <row r="381" spans="2:7">
      <c r="B381" s="865"/>
      <c r="C381" s="861"/>
      <c r="D381" s="861"/>
      <c r="E381" s="861"/>
      <c r="F381" s="861"/>
      <c r="G381" s="861"/>
    </row>
    <row r="382" spans="2:7">
      <c r="B382" s="865"/>
      <c r="C382" s="861"/>
      <c r="D382" s="861"/>
      <c r="E382" s="861"/>
      <c r="F382" s="861"/>
      <c r="G382" s="861"/>
    </row>
    <row r="383" spans="2:7">
      <c r="B383" s="865"/>
      <c r="C383" s="861"/>
      <c r="D383" s="861"/>
      <c r="E383" s="861"/>
      <c r="F383" s="861"/>
      <c r="G383" s="861"/>
    </row>
    <row r="384" spans="2:7">
      <c r="B384" s="865"/>
      <c r="C384" s="861"/>
      <c r="D384" s="861"/>
      <c r="E384" s="861"/>
      <c r="F384" s="861"/>
      <c r="G384" s="861"/>
    </row>
    <row r="385" spans="2:7">
      <c r="B385" s="865"/>
      <c r="C385" s="861"/>
      <c r="D385" s="861"/>
      <c r="E385" s="861"/>
      <c r="F385" s="861"/>
      <c r="G385" s="861"/>
    </row>
    <row r="386" spans="2:7">
      <c r="B386" s="865"/>
      <c r="C386" s="861"/>
      <c r="D386" s="861"/>
      <c r="E386" s="861"/>
      <c r="F386" s="861"/>
      <c r="G386" s="861"/>
    </row>
    <row r="387" spans="2:7">
      <c r="B387" s="865"/>
      <c r="C387" s="861"/>
      <c r="D387" s="861"/>
      <c r="E387" s="861"/>
      <c r="F387" s="861"/>
      <c r="G387" s="861"/>
    </row>
    <row r="388" spans="2:7">
      <c r="B388" s="865"/>
      <c r="C388" s="861"/>
      <c r="D388" s="861"/>
      <c r="E388" s="861"/>
      <c r="F388" s="861"/>
      <c r="G388" s="861"/>
    </row>
    <row r="389" spans="2:7">
      <c r="B389" s="865"/>
      <c r="C389" s="861"/>
      <c r="D389" s="861"/>
      <c r="E389" s="861"/>
      <c r="F389" s="861"/>
      <c r="G389" s="861"/>
    </row>
    <row r="390" spans="2:7">
      <c r="B390" s="865"/>
      <c r="C390" s="861"/>
      <c r="D390" s="861"/>
      <c r="E390" s="861"/>
      <c r="F390" s="861"/>
      <c r="G390" s="861"/>
    </row>
    <row r="391" spans="2:7">
      <c r="B391" s="865"/>
      <c r="C391" s="861"/>
      <c r="D391" s="861"/>
      <c r="E391" s="861"/>
      <c r="F391" s="861"/>
      <c r="G391" s="861"/>
    </row>
    <row r="392" spans="2:7">
      <c r="B392" s="865"/>
      <c r="C392" s="861"/>
      <c r="D392" s="861"/>
      <c r="E392" s="861"/>
      <c r="F392" s="861"/>
      <c r="G392" s="861"/>
    </row>
    <row r="393" spans="2:7">
      <c r="B393" s="865"/>
      <c r="C393" s="861"/>
      <c r="D393" s="861"/>
      <c r="E393" s="861"/>
      <c r="F393" s="861"/>
      <c r="G393" s="861"/>
    </row>
    <row r="394" spans="2:7">
      <c r="B394" s="865"/>
      <c r="C394" s="861"/>
      <c r="D394" s="861"/>
      <c r="E394" s="861"/>
      <c r="F394" s="861"/>
      <c r="G394" s="861"/>
    </row>
    <row r="395" spans="2:7">
      <c r="B395" s="865"/>
      <c r="C395" s="861"/>
      <c r="D395" s="861"/>
      <c r="E395" s="861"/>
      <c r="F395" s="861"/>
      <c r="G395" s="861"/>
    </row>
    <row r="396" spans="2:7">
      <c r="B396" s="865"/>
      <c r="C396" s="861"/>
      <c r="D396" s="861"/>
      <c r="E396" s="861"/>
      <c r="F396" s="861"/>
      <c r="G396" s="861"/>
    </row>
    <row r="397" spans="2:7">
      <c r="B397" s="865"/>
      <c r="C397" s="861"/>
      <c r="D397" s="861"/>
      <c r="E397" s="861"/>
      <c r="F397" s="861"/>
      <c r="G397" s="861"/>
    </row>
    <row r="398" spans="2:7">
      <c r="B398" s="865"/>
      <c r="C398" s="861"/>
      <c r="D398" s="861"/>
      <c r="E398" s="861"/>
      <c r="F398" s="861"/>
      <c r="G398" s="861"/>
    </row>
    <row r="399" spans="2:7">
      <c r="B399" s="865"/>
      <c r="C399" s="861"/>
      <c r="D399" s="861"/>
      <c r="E399" s="861"/>
      <c r="F399" s="861"/>
      <c r="G399" s="861"/>
    </row>
    <row r="400" spans="2:7">
      <c r="B400" s="865"/>
      <c r="C400" s="861"/>
      <c r="D400" s="861"/>
      <c r="E400" s="861"/>
      <c r="F400" s="861"/>
      <c r="G400" s="861"/>
    </row>
    <row r="401" spans="2:7">
      <c r="B401" s="865"/>
      <c r="C401" s="861"/>
      <c r="D401" s="861"/>
      <c r="E401" s="861"/>
      <c r="F401" s="861"/>
      <c r="G401" s="861"/>
    </row>
    <row r="402" spans="2:7">
      <c r="B402" s="865"/>
      <c r="C402" s="861"/>
      <c r="D402" s="861"/>
      <c r="E402" s="861"/>
      <c r="F402" s="861"/>
      <c r="G402" s="861"/>
    </row>
    <row r="403" spans="2:7">
      <c r="B403" s="865"/>
      <c r="C403" s="861"/>
      <c r="D403" s="861"/>
      <c r="E403" s="861"/>
      <c r="F403" s="861"/>
      <c r="G403" s="861"/>
    </row>
    <row r="404" spans="2:7">
      <c r="B404" s="865"/>
      <c r="C404" s="861"/>
      <c r="D404" s="861"/>
      <c r="E404" s="861"/>
      <c r="F404" s="861"/>
      <c r="G404" s="861"/>
    </row>
    <row r="405" spans="2:7">
      <c r="B405" s="865"/>
      <c r="C405" s="861"/>
      <c r="D405" s="861"/>
      <c r="E405" s="861"/>
      <c r="F405" s="861"/>
      <c r="G405" s="861"/>
    </row>
    <row r="406" spans="2:7">
      <c r="B406" s="865"/>
      <c r="C406" s="861"/>
      <c r="D406" s="861"/>
      <c r="E406" s="861"/>
      <c r="F406" s="861"/>
      <c r="G406" s="861"/>
    </row>
    <row r="407" spans="2:7">
      <c r="B407" s="865"/>
      <c r="C407" s="861"/>
      <c r="D407" s="861"/>
      <c r="E407" s="861"/>
      <c r="F407" s="861"/>
      <c r="G407" s="861"/>
    </row>
    <row r="408" spans="2:7">
      <c r="B408" s="865"/>
      <c r="C408" s="861"/>
      <c r="D408" s="861"/>
      <c r="E408" s="861"/>
      <c r="F408" s="861"/>
      <c r="G408" s="861"/>
    </row>
    <row r="409" spans="2:7">
      <c r="B409" s="865"/>
      <c r="C409" s="861"/>
      <c r="D409" s="861"/>
      <c r="E409" s="861"/>
      <c r="F409" s="861"/>
      <c r="G409" s="861"/>
    </row>
    <row r="410" spans="2:7">
      <c r="B410" s="865"/>
      <c r="C410" s="861"/>
      <c r="D410" s="861"/>
      <c r="E410" s="861"/>
      <c r="F410" s="861"/>
      <c r="G410" s="861"/>
    </row>
    <row r="411" spans="2:7">
      <c r="B411" s="865"/>
      <c r="C411" s="861"/>
      <c r="D411" s="861"/>
      <c r="E411" s="861"/>
      <c r="F411" s="861"/>
      <c r="G411" s="861"/>
    </row>
    <row r="412" spans="2:7">
      <c r="B412" s="865"/>
      <c r="C412" s="861"/>
      <c r="D412" s="861"/>
      <c r="E412" s="861"/>
      <c r="F412" s="861"/>
      <c r="G412" s="861"/>
    </row>
    <row r="413" spans="2:7">
      <c r="B413" s="865"/>
      <c r="C413" s="861"/>
      <c r="D413" s="861"/>
      <c r="E413" s="861"/>
      <c r="F413" s="861"/>
      <c r="G413" s="861"/>
    </row>
    <row r="414" spans="2:7">
      <c r="B414" s="865"/>
      <c r="C414" s="861"/>
      <c r="D414" s="861"/>
      <c r="E414" s="861"/>
      <c r="F414" s="861"/>
      <c r="G414" s="861"/>
    </row>
    <row r="415" spans="2:7">
      <c r="B415" s="865"/>
      <c r="C415" s="861"/>
      <c r="D415" s="861"/>
      <c r="E415" s="861"/>
      <c r="F415" s="861"/>
      <c r="G415" s="861"/>
    </row>
    <row r="416" spans="2:7">
      <c r="B416" s="865"/>
      <c r="C416" s="861"/>
      <c r="D416" s="861"/>
      <c r="E416" s="861"/>
      <c r="F416" s="861"/>
      <c r="G416" s="861"/>
    </row>
    <row r="417" spans="2:7">
      <c r="B417" s="865"/>
      <c r="C417" s="861"/>
      <c r="D417" s="861"/>
      <c r="E417" s="861"/>
      <c r="F417" s="861"/>
      <c r="G417" s="861"/>
    </row>
    <row r="418" spans="2:7">
      <c r="B418" s="865"/>
      <c r="C418" s="861"/>
      <c r="D418" s="861"/>
      <c r="E418" s="861"/>
      <c r="F418" s="861"/>
      <c r="G418" s="861"/>
    </row>
    <row r="419" spans="2:7">
      <c r="B419" s="865"/>
      <c r="C419" s="861"/>
      <c r="D419" s="861"/>
      <c r="E419" s="861"/>
      <c r="F419" s="861"/>
      <c r="G419" s="861"/>
    </row>
    <row r="420" spans="2:7">
      <c r="B420" s="865"/>
      <c r="C420" s="861"/>
      <c r="D420" s="861"/>
      <c r="E420" s="861"/>
      <c r="F420" s="861"/>
      <c r="G420" s="861"/>
    </row>
    <row r="421" spans="2:7">
      <c r="B421" s="865"/>
      <c r="C421" s="861"/>
      <c r="D421" s="861"/>
      <c r="E421" s="861"/>
      <c r="F421" s="861"/>
      <c r="G421" s="861"/>
    </row>
    <row r="422" spans="2:7">
      <c r="B422" s="865"/>
      <c r="C422" s="861"/>
      <c r="D422" s="861"/>
      <c r="E422" s="861"/>
      <c r="F422" s="861"/>
      <c r="G422" s="861"/>
    </row>
    <row r="423" spans="2:7">
      <c r="B423" s="865"/>
      <c r="C423" s="861"/>
      <c r="D423" s="861"/>
      <c r="E423" s="861"/>
      <c r="F423" s="861"/>
      <c r="G423" s="861"/>
    </row>
    <row r="424" spans="2:7">
      <c r="B424" s="865"/>
      <c r="C424" s="861"/>
      <c r="D424" s="861"/>
      <c r="E424" s="861"/>
      <c r="F424" s="861"/>
      <c r="G424" s="861"/>
    </row>
    <row r="425" spans="2:7">
      <c r="B425" s="865"/>
      <c r="C425" s="861"/>
      <c r="D425" s="861"/>
      <c r="E425" s="861"/>
      <c r="F425" s="861"/>
      <c r="G425" s="861"/>
    </row>
    <row r="426" spans="2:7">
      <c r="B426" s="865"/>
      <c r="C426" s="861"/>
      <c r="D426" s="861"/>
      <c r="E426" s="861"/>
      <c r="F426" s="861"/>
      <c r="G426" s="861"/>
    </row>
    <row r="427" spans="2:7">
      <c r="B427" s="865"/>
      <c r="C427" s="861"/>
      <c r="D427" s="861"/>
      <c r="E427" s="861"/>
      <c r="F427" s="861"/>
      <c r="G427" s="861"/>
    </row>
    <row r="428" spans="2:7">
      <c r="B428" s="865"/>
      <c r="C428" s="861"/>
      <c r="D428" s="861"/>
      <c r="E428" s="861"/>
      <c r="F428" s="861"/>
      <c r="G428" s="861"/>
    </row>
    <row r="429" spans="2:7">
      <c r="B429" s="865"/>
      <c r="C429" s="861"/>
      <c r="D429" s="861"/>
      <c r="E429" s="861"/>
      <c r="F429" s="861"/>
      <c r="G429" s="861"/>
    </row>
    <row r="430" spans="2:7">
      <c r="B430" s="865"/>
      <c r="C430" s="861"/>
      <c r="D430" s="861"/>
      <c r="E430" s="861"/>
      <c r="F430" s="861"/>
      <c r="G430" s="861"/>
    </row>
    <row r="431" spans="2:7">
      <c r="B431" s="865"/>
      <c r="C431" s="861"/>
      <c r="D431" s="861"/>
      <c r="E431" s="861"/>
      <c r="F431" s="861"/>
      <c r="G431" s="861"/>
    </row>
    <row r="432" spans="2:7">
      <c r="B432" s="865"/>
      <c r="C432" s="861"/>
      <c r="D432" s="861"/>
      <c r="E432" s="861"/>
      <c r="F432" s="861"/>
      <c r="G432" s="861"/>
    </row>
    <row r="433" spans="2:7">
      <c r="B433" s="865"/>
      <c r="C433" s="861"/>
      <c r="D433" s="861"/>
      <c r="E433" s="861"/>
      <c r="F433" s="861"/>
      <c r="G433" s="861"/>
    </row>
    <row r="434" spans="2:7">
      <c r="B434" s="865"/>
      <c r="C434" s="861"/>
      <c r="D434" s="861"/>
      <c r="E434" s="861"/>
      <c r="F434" s="861"/>
      <c r="G434" s="861"/>
    </row>
    <row r="435" spans="2:7">
      <c r="B435" s="865"/>
      <c r="C435" s="861"/>
      <c r="D435" s="861"/>
      <c r="E435" s="861"/>
      <c r="F435" s="861"/>
      <c r="G435" s="861"/>
    </row>
    <row r="436" spans="2:7">
      <c r="B436" s="865"/>
      <c r="C436" s="861"/>
      <c r="D436" s="861"/>
      <c r="E436" s="861"/>
      <c r="F436" s="861"/>
      <c r="G436" s="861"/>
    </row>
    <row r="437" spans="2:7">
      <c r="B437" s="865"/>
      <c r="C437" s="861"/>
      <c r="D437" s="861"/>
      <c r="E437" s="861"/>
      <c r="F437" s="861"/>
      <c r="G437" s="861"/>
    </row>
    <row r="438" spans="2:7">
      <c r="B438" s="865"/>
      <c r="C438" s="861"/>
      <c r="D438" s="861"/>
      <c r="E438" s="861"/>
      <c r="F438" s="861"/>
      <c r="G438" s="861"/>
    </row>
    <row r="439" spans="2:7">
      <c r="B439" s="865"/>
      <c r="C439" s="861"/>
      <c r="D439" s="861"/>
      <c r="E439" s="861"/>
      <c r="F439" s="861"/>
      <c r="G439" s="861"/>
    </row>
    <row r="440" spans="2:7">
      <c r="B440" s="865"/>
      <c r="C440" s="861"/>
      <c r="D440" s="861"/>
      <c r="E440" s="861"/>
      <c r="F440" s="861"/>
      <c r="G440" s="861"/>
    </row>
    <row r="441" spans="2:7">
      <c r="B441" s="865"/>
      <c r="C441" s="861"/>
      <c r="D441" s="861"/>
      <c r="E441" s="861"/>
      <c r="F441" s="861"/>
      <c r="G441" s="861"/>
    </row>
    <row r="442" spans="2:7">
      <c r="B442" s="865"/>
      <c r="C442" s="861"/>
      <c r="D442" s="861"/>
      <c r="E442" s="861"/>
      <c r="F442" s="861"/>
      <c r="G442" s="861"/>
    </row>
    <row r="443" spans="2:7">
      <c r="B443" s="865"/>
      <c r="C443" s="861"/>
      <c r="D443" s="861"/>
      <c r="E443" s="861"/>
      <c r="F443" s="861"/>
      <c r="G443" s="861"/>
    </row>
    <row r="444" spans="2:7">
      <c r="B444" s="865"/>
      <c r="C444" s="861"/>
      <c r="D444" s="861"/>
      <c r="E444" s="861"/>
      <c r="F444" s="861"/>
      <c r="G444" s="861"/>
    </row>
    <row r="445" spans="2:7">
      <c r="B445" s="865"/>
      <c r="C445" s="861"/>
      <c r="D445" s="861"/>
      <c r="E445" s="861"/>
      <c r="F445" s="861"/>
      <c r="G445" s="861"/>
    </row>
    <row r="446" spans="2:7">
      <c r="B446" s="865"/>
      <c r="C446" s="861"/>
      <c r="D446" s="861"/>
      <c r="E446" s="861"/>
      <c r="F446" s="861"/>
      <c r="G446" s="861"/>
    </row>
    <row r="447" spans="2:7">
      <c r="B447" s="865"/>
      <c r="C447" s="861"/>
      <c r="D447" s="861"/>
      <c r="E447" s="861"/>
      <c r="F447" s="861"/>
      <c r="G447" s="861"/>
    </row>
    <row r="448" spans="2:7">
      <c r="B448" s="865"/>
      <c r="C448" s="861"/>
      <c r="D448" s="861"/>
      <c r="E448" s="861"/>
      <c r="F448" s="861"/>
      <c r="G448" s="861"/>
    </row>
  </sheetData>
  <mergeCells count="3">
    <mergeCell ref="A1:J1"/>
    <mergeCell ref="A2:J2"/>
    <mergeCell ref="A3:J3"/>
  </mergeCells>
  <printOptions horizontalCentered="1"/>
  <pageMargins left="0.25" right="0.25" top="0.75" bottom="0.75" header="0.3" footer="0.3"/>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1"/>
  <sheetViews>
    <sheetView view="pageBreakPreview" topLeftCell="A37" zoomScale="85" zoomScaleNormal="100" zoomScaleSheetLayoutView="85" workbookViewId="0">
      <selection activeCell="Q60" sqref="Q60"/>
    </sheetView>
  </sheetViews>
  <sheetFormatPr defaultColWidth="8.90625" defaultRowHeight="13.8"/>
  <cols>
    <col min="1" max="1" width="5.6328125" style="874" customWidth="1"/>
    <col min="2" max="2" width="31.08984375" style="879" customWidth="1"/>
    <col min="3" max="3" width="10.6328125" style="874" customWidth="1"/>
    <col min="4" max="4" width="9.90625" style="874" customWidth="1"/>
    <col min="5" max="5" width="10" style="874" customWidth="1"/>
    <col min="6" max="6" width="14.90625" style="874" customWidth="1"/>
    <col min="7" max="7" width="12.08984375" style="874" customWidth="1"/>
    <col min="8" max="8" width="11.90625" style="874" customWidth="1"/>
    <col min="9" max="9" width="12" style="868" customWidth="1"/>
    <col min="10" max="10" width="15.90625" style="868" customWidth="1"/>
    <col min="11" max="11" width="8.90625" style="868"/>
    <col min="12" max="12" width="12.08984375" style="868" customWidth="1"/>
    <col min="13" max="13" width="44.90625" style="868" customWidth="1"/>
    <col min="14" max="16384" width="8.90625" style="868"/>
  </cols>
  <sheetData>
    <row r="1" spans="1:20" ht="18" customHeight="1">
      <c r="A1" s="1131" t="s">
        <v>1011</v>
      </c>
      <c r="B1" s="1131"/>
      <c r="C1" s="1131"/>
      <c r="D1" s="1131"/>
      <c r="E1" s="1131"/>
      <c r="F1" s="1131"/>
      <c r="G1" s="1131"/>
      <c r="H1" s="1131"/>
      <c r="I1" s="1131"/>
      <c r="J1" s="1131"/>
      <c r="K1" s="1131"/>
      <c r="L1" s="1131"/>
    </row>
    <row r="2" spans="1:20" ht="18" customHeight="1">
      <c r="A2" s="1131" t="str">
        <f>+'4a-ADIT Projection'!A2:J2</f>
        <v>Gridliance High Plains LLC</v>
      </c>
      <c r="B2" s="1131"/>
      <c r="C2" s="1131"/>
      <c r="D2" s="1131"/>
      <c r="E2" s="1131"/>
      <c r="F2" s="1131"/>
      <c r="G2" s="1131"/>
      <c r="H2" s="1131"/>
      <c r="I2" s="1131"/>
      <c r="J2" s="1131"/>
      <c r="K2" s="1131"/>
      <c r="L2" s="1131"/>
    </row>
    <row r="3" spans="1:20" ht="18" customHeight="1">
      <c r="A3" s="1131" t="s">
        <v>1140</v>
      </c>
      <c r="B3" s="1131"/>
      <c r="C3" s="1131"/>
      <c r="D3" s="1131"/>
      <c r="E3" s="1131"/>
      <c r="F3" s="1131"/>
      <c r="G3" s="1131"/>
      <c r="H3" s="1132"/>
      <c r="I3" s="1131"/>
      <c r="J3" s="1131"/>
      <c r="K3" s="1131"/>
      <c r="L3" s="1131"/>
    </row>
    <row r="5" spans="1:20" s="871" customFormat="1">
      <c r="A5" s="869"/>
      <c r="B5" s="870"/>
      <c r="C5" s="869"/>
      <c r="J5" s="869"/>
      <c r="K5" s="872"/>
      <c r="L5" s="872"/>
      <c r="M5" s="872"/>
      <c r="N5" s="872"/>
      <c r="O5" s="872"/>
      <c r="P5" s="872"/>
      <c r="Q5" s="872"/>
      <c r="R5" s="872"/>
      <c r="S5" s="872"/>
      <c r="T5" s="873"/>
    </row>
    <row r="6" spans="1:20">
      <c r="B6" s="875" t="s">
        <v>292</v>
      </c>
      <c r="C6" s="875" t="s">
        <v>293</v>
      </c>
      <c r="D6" s="875" t="s">
        <v>294</v>
      </c>
      <c r="E6" s="875" t="s">
        <v>295</v>
      </c>
      <c r="F6" s="875" t="s">
        <v>297</v>
      </c>
      <c r="G6" s="875" t="s">
        <v>296</v>
      </c>
      <c r="H6" s="875" t="s">
        <v>298</v>
      </c>
      <c r="I6" s="876" t="s">
        <v>299</v>
      </c>
      <c r="J6" s="876" t="s">
        <v>300</v>
      </c>
      <c r="K6" s="876" t="s">
        <v>393</v>
      </c>
      <c r="L6" s="876" t="s">
        <v>397</v>
      </c>
    </row>
    <row r="7" spans="1:20" ht="41.4">
      <c r="A7" s="877"/>
      <c r="B7" s="878" t="s">
        <v>993</v>
      </c>
      <c r="C7" s="878" t="s">
        <v>252</v>
      </c>
      <c r="D7" s="878" t="s">
        <v>96</v>
      </c>
      <c r="E7" s="878" t="s">
        <v>1012</v>
      </c>
      <c r="F7" s="878" t="s">
        <v>1013</v>
      </c>
      <c r="G7" s="878" t="s">
        <v>25</v>
      </c>
      <c r="H7" s="878" t="s">
        <v>1014</v>
      </c>
      <c r="I7" s="878" t="s">
        <v>996</v>
      </c>
      <c r="J7" s="878" t="s">
        <v>1015</v>
      </c>
      <c r="K7" s="878" t="s">
        <v>997</v>
      </c>
      <c r="L7" s="878" t="s">
        <v>1016</v>
      </c>
      <c r="M7" s="872"/>
      <c r="N7" s="872"/>
      <c r="O7" s="872"/>
      <c r="P7" s="872"/>
      <c r="Q7" s="872"/>
      <c r="R7" s="872"/>
      <c r="S7" s="872"/>
      <c r="T7" s="873"/>
    </row>
    <row r="8" spans="1:20">
      <c r="A8" s="874" t="s">
        <v>1017</v>
      </c>
      <c r="C8" s="869"/>
      <c r="D8" s="875"/>
      <c r="E8" s="875"/>
      <c r="F8" s="875"/>
      <c r="G8" s="875"/>
      <c r="H8" s="869"/>
      <c r="J8" s="872"/>
      <c r="K8" s="872"/>
      <c r="L8" s="880"/>
      <c r="M8" s="872"/>
      <c r="N8" s="872"/>
      <c r="O8" s="872"/>
      <c r="P8" s="872"/>
      <c r="Q8" s="872"/>
      <c r="R8" s="872"/>
      <c r="S8" s="872"/>
      <c r="T8" s="873"/>
    </row>
    <row r="9" spans="1:20" ht="20.100000000000001" customHeight="1">
      <c r="A9" s="881">
        <v>1</v>
      </c>
      <c r="B9" s="879" t="s">
        <v>1018</v>
      </c>
      <c r="C9" s="869" t="s">
        <v>98</v>
      </c>
      <c r="D9" s="1006">
        <v>2021</v>
      </c>
      <c r="E9" s="882">
        <f>365/365</f>
        <v>1</v>
      </c>
      <c r="F9" s="883">
        <f>'4c- ADIT BOY'!C54</f>
        <v>-604380.61580149084</v>
      </c>
      <c r="G9" s="883">
        <f>'4c- ADIT BOY'!E54</f>
        <v>-604380.61580149084</v>
      </c>
      <c r="H9" s="884">
        <f t="shared" ref="H9:H21" si="0">E9*G9</f>
        <v>-604380.61580149084</v>
      </c>
      <c r="I9" s="885">
        <f>'4c- ADIT BOY'!F54</f>
        <v>0</v>
      </c>
      <c r="J9" s="886">
        <f t="shared" ref="J9:J21" si="1">I9*E9</f>
        <v>0</v>
      </c>
      <c r="K9" s="885">
        <f>'4c- ADIT BOY'!G54</f>
        <v>0</v>
      </c>
      <c r="L9" s="886">
        <f t="shared" ref="L9:L21" si="2">E9*K9</f>
        <v>0</v>
      </c>
    </row>
    <row r="10" spans="1:20" ht="20.100000000000001" customHeight="1">
      <c r="A10" s="881">
        <f t="shared" ref="A10:A22" si="3">+A9+1</f>
        <v>2</v>
      </c>
      <c r="B10" s="879" t="s">
        <v>1019</v>
      </c>
      <c r="C10" s="869" t="s">
        <v>105</v>
      </c>
      <c r="D10" s="1006">
        <v>2022</v>
      </c>
      <c r="E10" s="882">
        <f>335/365</f>
        <v>0.9178082191780822</v>
      </c>
      <c r="F10" s="889">
        <v>-114347.93889561185</v>
      </c>
      <c r="G10" s="889">
        <f>F10</f>
        <v>-114347.93889561185</v>
      </c>
      <c r="H10" s="884">
        <f t="shared" si="0"/>
        <v>-104949.47816446568</v>
      </c>
      <c r="I10" s="888">
        <v>0</v>
      </c>
      <c r="J10" s="886">
        <f t="shared" si="1"/>
        <v>0</v>
      </c>
      <c r="K10" s="888">
        <v>0</v>
      </c>
      <c r="L10" s="886">
        <f t="shared" si="2"/>
        <v>0</v>
      </c>
    </row>
    <row r="11" spans="1:20" ht="20.100000000000001" customHeight="1">
      <c r="A11" s="881">
        <f t="shared" si="3"/>
        <v>3</v>
      </c>
      <c r="B11" s="879" t="s">
        <v>1019</v>
      </c>
      <c r="C11" s="869" t="s">
        <v>104</v>
      </c>
      <c r="D11" s="1006">
        <v>2022</v>
      </c>
      <c r="E11" s="882">
        <f>307/365</f>
        <v>0.84109589041095889</v>
      </c>
      <c r="F11" s="889">
        <v>-114347.93889561185</v>
      </c>
      <c r="G11" s="889">
        <f t="shared" ref="G11:G21" si="4">F11</f>
        <v>-114347.93889561185</v>
      </c>
      <c r="H11" s="884">
        <f t="shared" si="0"/>
        <v>-96177.581482062567</v>
      </c>
      <c r="I11" s="888">
        <v>0</v>
      </c>
      <c r="J11" s="886">
        <f t="shared" si="1"/>
        <v>0</v>
      </c>
      <c r="K11" s="888">
        <v>0</v>
      </c>
      <c r="L11" s="886">
        <f t="shared" si="2"/>
        <v>0</v>
      </c>
    </row>
    <row r="12" spans="1:20" ht="20.100000000000001" customHeight="1">
      <c r="A12" s="881">
        <f t="shared" si="3"/>
        <v>4</v>
      </c>
      <c r="B12" s="879" t="s">
        <v>1019</v>
      </c>
      <c r="C12" s="869" t="s">
        <v>103</v>
      </c>
      <c r="D12" s="1006">
        <v>2022</v>
      </c>
      <c r="E12" s="882">
        <f>276/365</f>
        <v>0.75616438356164384</v>
      </c>
      <c r="F12" s="889">
        <v>-114347.93889561185</v>
      </c>
      <c r="G12" s="889">
        <f t="shared" si="4"/>
        <v>-114347.93889561185</v>
      </c>
      <c r="H12" s="890">
        <f t="shared" si="0"/>
        <v>-86465.838726544855</v>
      </c>
      <c r="I12" s="888">
        <v>0</v>
      </c>
      <c r="J12" s="886">
        <f t="shared" si="1"/>
        <v>0</v>
      </c>
      <c r="K12" s="888">
        <v>0</v>
      </c>
      <c r="L12" s="886">
        <f t="shared" si="2"/>
        <v>0</v>
      </c>
    </row>
    <row r="13" spans="1:20" ht="20.100000000000001" customHeight="1">
      <c r="A13" s="881">
        <f t="shared" si="3"/>
        <v>5</v>
      </c>
      <c r="B13" s="879" t="s">
        <v>1019</v>
      </c>
      <c r="C13" s="869" t="s">
        <v>95</v>
      </c>
      <c r="D13" s="1006">
        <v>2022</v>
      </c>
      <c r="E13" s="882">
        <f>246/365</f>
        <v>0.67397260273972603</v>
      </c>
      <c r="F13" s="889">
        <v>-114347.93889561185</v>
      </c>
      <c r="G13" s="889">
        <f t="shared" si="4"/>
        <v>-114347.93889561185</v>
      </c>
      <c r="H13" s="890">
        <f t="shared" si="0"/>
        <v>-77067.377995398667</v>
      </c>
      <c r="I13" s="888">
        <v>0</v>
      </c>
      <c r="J13" s="886">
        <f t="shared" si="1"/>
        <v>0</v>
      </c>
      <c r="K13" s="888">
        <v>0</v>
      </c>
      <c r="L13" s="886">
        <f t="shared" si="2"/>
        <v>0</v>
      </c>
    </row>
    <row r="14" spans="1:20" ht="20.100000000000001" customHeight="1">
      <c r="A14" s="881">
        <f t="shared" si="3"/>
        <v>6</v>
      </c>
      <c r="B14" s="879" t="s">
        <v>1019</v>
      </c>
      <c r="C14" s="869" t="s">
        <v>92</v>
      </c>
      <c r="D14" s="1006">
        <v>2022</v>
      </c>
      <c r="E14" s="882">
        <f>215/365</f>
        <v>0.58904109589041098</v>
      </c>
      <c r="F14" s="889">
        <v>-114347.93889561185</v>
      </c>
      <c r="G14" s="889">
        <f t="shared" si="4"/>
        <v>-114347.93889561185</v>
      </c>
      <c r="H14" s="890">
        <f t="shared" si="0"/>
        <v>-67355.635239880954</v>
      </c>
      <c r="I14" s="888">
        <v>0</v>
      </c>
      <c r="J14" s="886">
        <f t="shared" si="1"/>
        <v>0</v>
      </c>
      <c r="K14" s="888">
        <v>0</v>
      </c>
      <c r="L14" s="886">
        <f t="shared" si="2"/>
        <v>0</v>
      </c>
    </row>
    <row r="15" spans="1:20" ht="20.100000000000001" customHeight="1">
      <c r="A15" s="881">
        <f t="shared" si="3"/>
        <v>7</v>
      </c>
      <c r="B15" s="879" t="s">
        <v>1019</v>
      </c>
      <c r="C15" s="869" t="s">
        <v>145</v>
      </c>
      <c r="D15" s="1006">
        <v>2022</v>
      </c>
      <c r="E15" s="882">
        <f>185/365</f>
        <v>0.50684931506849318</v>
      </c>
      <c r="F15" s="889">
        <v>-114347.93889561185</v>
      </c>
      <c r="G15" s="889">
        <f t="shared" si="4"/>
        <v>-114347.93889561185</v>
      </c>
      <c r="H15" s="890">
        <f t="shared" si="0"/>
        <v>-57957.174508734774</v>
      </c>
      <c r="I15" s="888">
        <v>0</v>
      </c>
      <c r="J15" s="886">
        <f t="shared" si="1"/>
        <v>0</v>
      </c>
      <c r="K15" s="888">
        <v>0</v>
      </c>
      <c r="L15" s="886">
        <f t="shared" si="2"/>
        <v>0</v>
      </c>
    </row>
    <row r="16" spans="1:20" ht="20.100000000000001" customHeight="1">
      <c r="A16" s="881">
        <f t="shared" si="3"/>
        <v>8</v>
      </c>
      <c r="B16" s="879" t="s">
        <v>1019</v>
      </c>
      <c r="C16" s="869" t="s">
        <v>102</v>
      </c>
      <c r="D16" s="1006">
        <v>2022</v>
      </c>
      <c r="E16" s="882">
        <f>154/365</f>
        <v>0.42191780821917807</v>
      </c>
      <c r="F16" s="889">
        <v>-114062.55856040682</v>
      </c>
      <c r="G16" s="889">
        <f t="shared" si="4"/>
        <v>-114062.55856040682</v>
      </c>
      <c r="H16" s="890">
        <f t="shared" si="0"/>
        <v>-48125.024707678494</v>
      </c>
      <c r="I16" s="888">
        <v>0</v>
      </c>
      <c r="J16" s="886">
        <f t="shared" si="1"/>
        <v>0</v>
      </c>
      <c r="K16" s="888">
        <v>0</v>
      </c>
      <c r="L16" s="886">
        <f t="shared" si="2"/>
        <v>0</v>
      </c>
    </row>
    <row r="17" spans="1:20" s="871" customFormat="1" ht="20.100000000000001" customHeight="1">
      <c r="A17" s="881">
        <f t="shared" si="3"/>
        <v>9</v>
      </c>
      <c r="B17" s="879" t="s">
        <v>1019</v>
      </c>
      <c r="C17" s="869" t="s">
        <v>101</v>
      </c>
      <c r="D17" s="1006">
        <v>2022</v>
      </c>
      <c r="E17" s="882">
        <f>123/365</f>
        <v>0.33698630136986302</v>
      </c>
      <c r="F17" s="889">
        <v>-114049.37413840721</v>
      </c>
      <c r="G17" s="889">
        <f t="shared" si="4"/>
        <v>-114049.37413840721</v>
      </c>
      <c r="H17" s="890">
        <f t="shared" si="0"/>
        <v>-38433.07676444955</v>
      </c>
      <c r="I17" s="888">
        <v>0</v>
      </c>
      <c r="J17" s="886">
        <f t="shared" si="1"/>
        <v>0</v>
      </c>
      <c r="K17" s="888">
        <v>0</v>
      </c>
      <c r="L17" s="886">
        <f t="shared" si="2"/>
        <v>0</v>
      </c>
    </row>
    <row r="18" spans="1:20" s="871" customFormat="1" ht="20.100000000000001" customHeight="1">
      <c r="A18" s="881">
        <f t="shared" si="3"/>
        <v>10</v>
      </c>
      <c r="B18" s="879" t="s">
        <v>1019</v>
      </c>
      <c r="C18" s="869" t="s">
        <v>100</v>
      </c>
      <c r="D18" s="1006">
        <v>2022</v>
      </c>
      <c r="E18" s="882">
        <f>93/365</f>
        <v>0.25479452054794521</v>
      </c>
      <c r="F18" s="889">
        <v>-114049.37413840721</v>
      </c>
      <c r="G18" s="889">
        <f t="shared" si="4"/>
        <v>-114049.37413840721</v>
      </c>
      <c r="H18" s="890">
        <f t="shared" si="0"/>
        <v>-29059.155602388688</v>
      </c>
      <c r="I18" s="888">
        <v>0</v>
      </c>
      <c r="J18" s="886">
        <f t="shared" si="1"/>
        <v>0</v>
      </c>
      <c r="K18" s="888">
        <v>0</v>
      </c>
      <c r="L18" s="886">
        <f t="shared" si="2"/>
        <v>0</v>
      </c>
    </row>
    <row r="19" spans="1:20" ht="20.100000000000001" customHeight="1">
      <c r="A19" s="881">
        <f t="shared" si="3"/>
        <v>11</v>
      </c>
      <c r="B19" s="879" t="s">
        <v>1019</v>
      </c>
      <c r="C19" s="869" t="s">
        <v>106</v>
      </c>
      <c r="D19" s="1006">
        <v>2022</v>
      </c>
      <c r="E19" s="882">
        <f>62/365</f>
        <v>0.16986301369863013</v>
      </c>
      <c r="F19" s="889">
        <v>-114049.37413840721</v>
      </c>
      <c r="G19" s="889">
        <f t="shared" si="4"/>
        <v>-114049.37413840721</v>
      </c>
      <c r="H19" s="890">
        <f t="shared" si="0"/>
        <v>-19372.770401592457</v>
      </c>
      <c r="I19" s="888">
        <v>0</v>
      </c>
      <c r="J19" s="886">
        <f t="shared" si="1"/>
        <v>0</v>
      </c>
      <c r="K19" s="888">
        <v>0</v>
      </c>
      <c r="L19" s="886">
        <f t="shared" si="2"/>
        <v>0</v>
      </c>
    </row>
    <row r="20" spans="1:20" ht="20.100000000000001" customHeight="1">
      <c r="A20" s="881">
        <f t="shared" si="3"/>
        <v>12</v>
      </c>
      <c r="B20" s="879" t="s">
        <v>1019</v>
      </c>
      <c r="C20" s="869" t="s">
        <v>99</v>
      </c>
      <c r="D20" s="1006">
        <v>2022</v>
      </c>
      <c r="E20" s="882">
        <f>32/365</f>
        <v>8.7671232876712329E-2</v>
      </c>
      <c r="F20" s="889">
        <v>-114049.37413840721</v>
      </c>
      <c r="G20" s="889">
        <f t="shared" si="4"/>
        <v>-114049.37413840721</v>
      </c>
      <c r="H20" s="890">
        <f t="shared" si="0"/>
        <v>-9998.8492395315916</v>
      </c>
      <c r="I20" s="888">
        <v>0</v>
      </c>
      <c r="J20" s="886">
        <f t="shared" si="1"/>
        <v>0</v>
      </c>
      <c r="K20" s="888">
        <v>0</v>
      </c>
      <c r="L20" s="886">
        <f t="shared" si="2"/>
        <v>0</v>
      </c>
    </row>
    <row r="21" spans="1:20" ht="20.100000000000001" customHeight="1">
      <c r="A21" s="881">
        <f t="shared" si="3"/>
        <v>13</v>
      </c>
      <c r="B21" s="879" t="s">
        <v>1019</v>
      </c>
      <c r="C21" s="869" t="s">
        <v>98</v>
      </c>
      <c r="D21" s="1006">
        <v>2022</v>
      </c>
      <c r="E21" s="882">
        <f>1/365</f>
        <v>2.7397260273972603E-3</v>
      </c>
      <c r="F21" s="889">
        <v>-109573.31701190615</v>
      </c>
      <c r="G21" s="889">
        <f t="shared" si="4"/>
        <v>-109573.31701190615</v>
      </c>
      <c r="H21" s="890">
        <f t="shared" si="0"/>
        <v>-300.20086852577026</v>
      </c>
      <c r="I21" s="888">
        <v>0</v>
      </c>
      <c r="J21" s="886">
        <f t="shared" si="1"/>
        <v>0</v>
      </c>
      <c r="K21" s="888">
        <v>0</v>
      </c>
      <c r="L21" s="886">
        <f t="shared" si="2"/>
        <v>0</v>
      </c>
    </row>
    <row r="22" spans="1:20" ht="20.100000000000001" customHeight="1">
      <c r="A22" s="881">
        <f t="shared" si="3"/>
        <v>14</v>
      </c>
      <c r="B22" s="870" t="s">
        <v>1020</v>
      </c>
      <c r="C22" s="869"/>
      <c r="E22" s="869"/>
      <c r="F22" s="890">
        <f t="shared" ref="F22:L22" si="5">SUM(F9:F21)</f>
        <v>-1970301.6213011032</v>
      </c>
      <c r="G22" s="890">
        <f t="shared" si="5"/>
        <v>-1970301.6213011032</v>
      </c>
      <c r="H22" s="890">
        <f t="shared" si="5"/>
        <v>-1239642.779502745</v>
      </c>
      <c r="I22" s="886">
        <f t="shared" si="5"/>
        <v>0</v>
      </c>
      <c r="J22" s="886">
        <f t="shared" si="5"/>
        <v>0</v>
      </c>
      <c r="K22" s="886">
        <f t="shared" si="5"/>
        <v>0</v>
      </c>
      <c r="L22" s="886">
        <f t="shared" si="5"/>
        <v>0</v>
      </c>
    </row>
    <row r="23" spans="1:20">
      <c r="A23" s="881"/>
      <c r="B23" s="870"/>
      <c r="C23" s="869"/>
      <c r="E23" s="869"/>
      <c r="F23" s="869"/>
      <c r="G23" s="869"/>
      <c r="H23" s="869"/>
    </row>
    <row r="24" spans="1:20">
      <c r="A24" s="874" t="s">
        <v>1021</v>
      </c>
      <c r="C24" s="869"/>
      <c r="D24" s="1007"/>
      <c r="E24" s="875"/>
      <c r="F24" s="875"/>
      <c r="G24" s="875"/>
      <c r="H24" s="869"/>
      <c r="J24" s="872"/>
      <c r="K24" s="872"/>
      <c r="L24" s="872"/>
      <c r="M24" s="872"/>
      <c r="N24" s="872"/>
      <c r="O24" s="872"/>
      <c r="P24" s="872"/>
      <c r="Q24" s="872"/>
      <c r="R24" s="872"/>
      <c r="S24" s="872"/>
      <c r="T24" s="873"/>
    </row>
    <row r="25" spans="1:20" ht="20.100000000000001" customHeight="1">
      <c r="A25" s="881">
        <f>A22+1</f>
        <v>15</v>
      </c>
      <c r="B25" s="879" t="s">
        <v>1022</v>
      </c>
      <c r="C25" s="869" t="s">
        <v>98</v>
      </c>
      <c r="D25" s="1006">
        <v>2021</v>
      </c>
      <c r="E25" s="882">
        <f>365/365</f>
        <v>1</v>
      </c>
      <c r="F25" s="883">
        <f>'4c- ADIT BOY'!C78</f>
        <v>0</v>
      </c>
      <c r="G25" s="883">
        <f>'4c- ADIT BOY'!E78</f>
        <v>0</v>
      </c>
      <c r="H25" s="884">
        <f t="shared" ref="H25:H37" si="6">E25*G25</f>
        <v>0</v>
      </c>
      <c r="I25" s="885">
        <f>'4c- ADIT BOY'!F74</f>
        <v>0</v>
      </c>
      <c r="J25" s="891">
        <f t="shared" ref="J25:J37" si="7">I25*E25</f>
        <v>0</v>
      </c>
      <c r="K25" s="885">
        <f>'4c- ADIT BOY'!G74</f>
        <v>0</v>
      </c>
      <c r="L25" s="886">
        <f t="shared" ref="L25:L37" si="8">E25*K25</f>
        <v>0</v>
      </c>
    </row>
    <row r="26" spans="1:20" ht="20.100000000000001" customHeight="1">
      <c r="A26" s="881">
        <f t="shared" ref="A26:A38" si="9">+A25+1</f>
        <v>16</v>
      </c>
      <c r="B26" s="879" t="s">
        <v>1019</v>
      </c>
      <c r="C26" s="869" t="s">
        <v>105</v>
      </c>
      <c r="D26" s="1006">
        <v>2022</v>
      </c>
      <c r="E26" s="882">
        <f>335/365</f>
        <v>0.9178082191780822</v>
      </c>
      <c r="F26" s="889">
        <v>0</v>
      </c>
      <c r="G26" s="889">
        <v>0</v>
      </c>
      <c r="H26" s="884">
        <f t="shared" si="6"/>
        <v>0</v>
      </c>
      <c r="I26" s="888">
        <v>0</v>
      </c>
      <c r="J26" s="886">
        <f t="shared" si="7"/>
        <v>0</v>
      </c>
      <c r="K26" s="888">
        <v>0</v>
      </c>
      <c r="L26" s="886">
        <f t="shared" si="8"/>
        <v>0</v>
      </c>
    </row>
    <row r="27" spans="1:20" ht="20.100000000000001" customHeight="1">
      <c r="A27" s="881">
        <f t="shared" si="9"/>
        <v>17</v>
      </c>
      <c r="B27" s="879" t="s">
        <v>1019</v>
      </c>
      <c r="C27" s="869" t="s">
        <v>104</v>
      </c>
      <c r="D27" s="1006">
        <v>2022</v>
      </c>
      <c r="E27" s="882">
        <f>307/365</f>
        <v>0.84109589041095889</v>
      </c>
      <c r="F27" s="889">
        <v>0</v>
      </c>
      <c r="G27" s="889">
        <v>0</v>
      </c>
      <c r="H27" s="884">
        <f t="shared" si="6"/>
        <v>0</v>
      </c>
      <c r="I27" s="888">
        <v>0</v>
      </c>
      <c r="J27" s="886">
        <f t="shared" si="7"/>
        <v>0</v>
      </c>
      <c r="K27" s="888">
        <v>0</v>
      </c>
      <c r="L27" s="886">
        <f t="shared" si="8"/>
        <v>0</v>
      </c>
    </row>
    <row r="28" spans="1:20" ht="20.100000000000001" customHeight="1">
      <c r="A28" s="881">
        <f t="shared" si="9"/>
        <v>18</v>
      </c>
      <c r="B28" s="879" t="s">
        <v>1019</v>
      </c>
      <c r="C28" s="869" t="s">
        <v>103</v>
      </c>
      <c r="D28" s="1006">
        <v>2022</v>
      </c>
      <c r="E28" s="882">
        <f>276/365</f>
        <v>0.75616438356164384</v>
      </c>
      <c r="F28" s="889">
        <v>0</v>
      </c>
      <c r="G28" s="889">
        <v>0</v>
      </c>
      <c r="H28" s="884">
        <f t="shared" si="6"/>
        <v>0</v>
      </c>
      <c r="I28" s="888">
        <v>0</v>
      </c>
      <c r="J28" s="886">
        <f t="shared" si="7"/>
        <v>0</v>
      </c>
      <c r="K28" s="888">
        <v>0</v>
      </c>
      <c r="L28" s="886">
        <f t="shared" si="8"/>
        <v>0</v>
      </c>
    </row>
    <row r="29" spans="1:20" ht="20.100000000000001" customHeight="1">
      <c r="A29" s="881">
        <f t="shared" si="9"/>
        <v>19</v>
      </c>
      <c r="B29" s="879" t="s">
        <v>1019</v>
      </c>
      <c r="C29" s="869" t="s">
        <v>95</v>
      </c>
      <c r="D29" s="1006">
        <v>2022</v>
      </c>
      <c r="E29" s="882">
        <f>246/365</f>
        <v>0.67397260273972603</v>
      </c>
      <c r="F29" s="889">
        <v>0</v>
      </c>
      <c r="G29" s="889">
        <v>0</v>
      </c>
      <c r="H29" s="884">
        <f t="shared" si="6"/>
        <v>0</v>
      </c>
      <c r="I29" s="888">
        <v>0</v>
      </c>
      <c r="J29" s="886">
        <f t="shared" si="7"/>
        <v>0</v>
      </c>
      <c r="K29" s="888">
        <v>0</v>
      </c>
      <c r="L29" s="886">
        <f t="shared" si="8"/>
        <v>0</v>
      </c>
    </row>
    <row r="30" spans="1:20" ht="20.100000000000001" customHeight="1">
      <c r="A30" s="881">
        <f t="shared" si="9"/>
        <v>20</v>
      </c>
      <c r="B30" s="879" t="s">
        <v>1019</v>
      </c>
      <c r="C30" s="869" t="s">
        <v>92</v>
      </c>
      <c r="D30" s="1006">
        <v>2022</v>
      </c>
      <c r="E30" s="882">
        <f>215/365</f>
        <v>0.58904109589041098</v>
      </c>
      <c r="F30" s="889">
        <v>0</v>
      </c>
      <c r="G30" s="889">
        <v>0</v>
      </c>
      <c r="H30" s="884">
        <f t="shared" si="6"/>
        <v>0</v>
      </c>
      <c r="I30" s="888">
        <v>0</v>
      </c>
      <c r="J30" s="886">
        <f t="shared" si="7"/>
        <v>0</v>
      </c>
      <c r="K30" s="888">
        <v>0</v>
      </c>
      <c r="L30" s="886">
        <f t="shared" si="8"/>
        <v>0</v>
      </c>
    </row>
    <row r="31" spans="1:20" ht="20.100000000000001" customHeight="1">
      <c r="A31" s="881">
        <f t="shared" si="9"/>
        <v>21</v>
      </c>
      <c r="B31" s="879" t="s">
        <v>1019</v>
      </c>
      <c r="C31" s="869" t="s">
        <v>145</v>
      </c>
      <c r="D31" s="1006">
        <v>2022</v>
      </c>
      <c r="E31" s="882">
        <f>185/365</f>
        <v>0.50684931506849318</v>
      </c>
      <c r="F31" s="889">
        <v>0</v>
      </c>
      <c r="G31" s="889">
        <v>0</v>
      </c>
      <c r="H31" s="884">
        <f t="shared" si="6"/>
        <v>0</v>
      </c>
      <c r="I31" s="888">
        <v>0</v>
      </c>
      <c r="J31" s="886">
        <f t="shared" si="7"/>
        <v>0</v>
      </c>
      <c r="K31" s="888">
        <v>0</v>
      </c>
      <c r="L31" s="886">
        <f t="shared" si="8"/>
        <v>0</v>
      </c>
    </row>
    <row r="32" spans="1:20" ht="20.100000000000001" customHeight="1">
      <c r="A32" s="881">
        <f t="shared" si="9"/>
        <v>22</v>
      </c>
      <c r="B32" s="879" t="s">
        <v>1019</v>
      </c>
      <c r="C32" s="869" t="s">
        <v>102</v>
      </c>
      <c r="D32" s="1006">
        <v>2022</v>
      </c>
      <c r="E32" s="882">
        <f>154/365</f>
        <v>0.42191780821917807</v>
      </c>
      <c r="F32" s="889">
        <v>0</v>
      </c>
      <c r="G32" s="889">
        <v>0</v>
      </c>
      <c r="H32" s="884">
        <f t="shared" si="6"/>
        <v>0</v>
      </c>
      <c r="I32" s="888">
        <v>0</v>
      </c>
      <c r="J32" s="886">
        <f t="shared" si="7"/>
        <v>0</v>
      </c>
      <c r="K32" s="888">
        <v>0</v>
      </c>
      <c r="L32" s="886">
        <f t="shared" si="8"/>
        <v>0</v>
      </c>
    </row>
    <row r="33" spans="1:20" s="871" customFormat="1" ht="20.100000000000001" customHeight="1">
      <c r="A33" s="881">
        <f t="shared" si="9"/>
        <v>23</v>
      </c>
      <c r="B33" s="879" t="s">
        <v>1019</v>
      </c>
      <c r="C33" s="869" t="s">
        <v>101</v>
      </c>
      <c r="D33" s="1006">
        <v>2022</v>
      </c>
      <c r="E33" s="882">
        <f>123/365</f>
        <v>0.33698630136986302</v>
      </c>
      <c r="F33" s="889">
        <v>0</v>
      </c>
      <c r="G33" s="889">
        <v>0</v>
      </c>
      <c r="H33" s="884">
        <f t="shared" si="6"/>
        <v>0</v>
      </c>
      <c r="I33" s="888">
        <v>0</v>
      </c>
      <c r="J33" s="886">
        <f t="shared" si="7"/>
        <v>0</v>
      </c>
      <c r="K33" s="888">
        <v>0</v>
      </c>
      <c r="L33" s="886">
        <f t="shared" si="8"/>
        <v>0</v>
      </c>
    </row>
    <row r="34" spans="1:20" s="871" customFormat="1" ht="20.100000000000001" customHeight="1">
      <c r="A34" s="881">
        <f t="shared" si="9"/>
        <v>24</v>
      </c>
      <c r="B34" s="879" t="s">
        <v>1019</v>
      </c>
      <c r="C34" s="869" t="s">
        <v>100</v>
      </c>
      <c r="D34" s="1006">
        <v>2022</v>
      </c>
      <c r="E34" s="882">
        <f>93/365</f>
        <v>0.25479452054794521</v>
      </c>
      <c r="F34" s="889">
        <v>0</v>
      </c>
      <c r="G34" s="889">
        <v>0</v>
      </c>
      <c r="H34" s="884">
        <f t="shared" si="6"/>
        <v>0</v>
      </c>
      <c r="I34" s="888">
        <v>0</v>
      </c>
      <c r="J34" s="886">
        <f t="shared" si="7"/>
        <v>0</v>
      </c>
      <c r="K34" s="888">
        <v>0</v>
      </c>
      <c r="L34" s="886">
        <f t="shared" si="8"/>
        <v>0</v>
      </c>
    </row>
    <row r="35" spans="1:20" ht="20.100000000000001" customHeight="1">
      <c r="A35" s="881">
        <f t="shared" si="9"/>
        <v>25</v>
      </c>
      <c r="B35" s="879" t="s">
        <v>1019</v>
      </c>
      <c r="C35" s="869" t="s">
        <v>106</v>
      </c>
      <c r="D35" s="1006">
        <v>2022</v>
      </c>
      <c r="E35" s="882">
        <f>62/365</f>
        <v>0.16986301369863013</v>
      </c>
      <c r="F35" s="889">
        <v>0</v>
      </c>
      <c r="G35" s="889">
        <v>0</v>
      </c>
      <c r="H35" s="884">
        <f t="shared" si="6"/>
        <v>0</v>
      </c>
      <c r="I35" s="888">
        <v>0</v>
      </c>
      <c r="J35" s="886">
        <f t="shared" si="7"/>
        <v>0</v>
      </c>
      <c r="K35" s="888">
        <v>0</v>
      </c>
      <c r="L35" s="886">
        <f t="shared" si="8"/>
        <v>0</v>
      </c>
    </row>
    <row r="36" spans="1:20" ht="20.100000000000001" customHeight="1">
      <c r="A36" s="881">
        <f t="shared" si="9"/>
        <v>26</v>
      </c>
      <c r="B36" s="879" t="s">
        <v>1019</v>
      </c>
      <c r="C36" s="869" t="s">
        <v>99</v>
      </c>
      <c r="D36" s="1006">
        <v>2022</v>
      </c>
      <c r="E36" s="882">
        <f>32/365</f>
        <v>8.7671232876712329E-2</v>
      </c>
      <c r="F36" s="889">
        <v>0</v>
      </c>
      <c r="G36" s="889">
        <v>0</v>
      </c>
      <c r="H36" s="884">
        <f t="shared" si="6"/>
        <v>0</v>
      </c>
      <c r="I36" s="888">
        <v>0</v>
      </c>
      <c r="J36" s="886">
        <f t="shared" si="7"/>
        <v>0</v>
      </c>
      <c r="K36" s="888">
        <v>0</v>
      </c>
      <c r="L36" s="886">
        <f t="shared" si="8"/>
        <v>0</v>
      </c>
    </row>
    <row r="37" spans="1:20" ht="20.100000000000001" customHeight="1">
      <c r="A37" s="881">
        <f t="shared" si="9"/>
        <v>27</v>
      </c>
      <c r="B37" s="879" t="s">
        <v>1019</v>
      </c>
      <c r="C37" s="869" t="s">
        <v>98</v>
      </c>
      <c r="D37" s="1006">
        <v>2022</v>
      </c>
      <c r="E37" s="882">
        <f>1/365</f>
        <v>2.7397260273972603E-3</v>
      </c>
      <c r="F37" s="889">
        <v>0</v>
      </c>
      <c r="G37" s="889">
        <v>0</v>
      </c>
      <c r="H37" s="884">
        <f t="shared" si="6"/>
        <v>0</v>
      </c>
      <c r="I37" s="888">
        <v>0</v>
      </c>
      <c r="J37" s="886">
        <f t="shared" si="7"/>
        <v>0</v>
      </c>
      <c r="K37" s="888">
        <v>0</v>
      </c>
      <c r="L37" s="886">
        <f t="shared" si="8"/>
        <v>0</v>
      </c>
    </row>
    <row r="38" spans="1:20" ht="20.100000000000001" customHeight="1">
      <c r="A38" s="881">
        <f t="shared" si="9"/>
        <v>28</v>
      </c>
      <c r="B38" s="870" t="s">
        <v>1023</v>
      </c>
      <c r="C38" s="869"/>
      <c r="E38" s="869"/>
      <c r="F38" s="884">
        <f t="shared" ref="F38:L38" si="10">SUM(F25:F37)</f>
        <v>0</v>
      </c>
      <c r="G38" s="884">
        <f t="shared" si="10"/>
        <v>0</v>
      </c>
      <c r="H38" s="884">
        <f t="shared" si="10"/>
        <v>0</v>
      </c>
      <c r="I38" s="886">
        <f t="shared" si="10"/>
        <v>0</v>
      </c>
      <c r="J38" s="886">
        <f t="shared" si="10"/>
        <v>0</v>
      </c>
      <c r="K38" s="886">
        <f t="shared" si="10"/>
        <v>0</v>
      </c>
      <c r="L38" s="886">
        <f t="shared" si="10"/>
        <v>0</v>
      </c>
    </row>
    <row r="39" spans="1:20">
      <c r="A39" s="881"/>
      <c r="B39" s="870"/>
      <c r="C39" s="869"/>
      <c r="E39" s="869"/>
      <c r="F39" s="884"/>
      <c r="G39" s="884"/>
      <c r="H39" s="869"/>
      <c r="I39" s="886"/>
      <c r="J39" s="886"/>
      <c r="K39" s="886"/>
      <c r="L39" s="886"/>
    </row>
    <row r="40" spans="1:20">
      <c r="A40" s="874" t="s">
        <v>1024</v>
      </c>
      <c r="C40" s="869"/>
      <c r="D40" s="1007"/>
      <c r="E40" s="875"/>
      <c r="F40" s="875"/>
      <c r="G40" s="875"/>
      <c r="H40" s="869"/>
      <c r="J40" s="872"/>
      <c r="K40" s="872"/>
      <c r="L40" s="872"/>
      <c r="M40" s="872"/>
      <c r="N40" s="872"/>
      <c r="O40" s="872"/>
      <c r="P40" s="872"/>
      <c r="Q40" s="872"/>
      <c r="R40" s="872"/>
      <c r="S40" s="872"/>
      <c r="T40" s="873"/>
    </row>
    <row r="41" spans="1:20" ht="20.100000000000001" customHeight="1">
      <c r="A41" s="881">
        <f>A38+1</f>
        <v>29</v>
      </c>
      <c r="B41" s="879" t="s">
        <v>1025</v>
      </c>
      <c r="C41" s="869" t="s">
        <v>98</v>
      </c>
      <c r="D41" s="1006">
        <v>2021</v>
      </c>
      <c r="E41" s="882">
        <f>365/365</f>
        <v>1</v>
      </c>
      <c r="F41" s="883">
        <f>'4c- ADIT BOY'!C32</f>
        <v>0</v>
      </c>
      <c r="G41" s="883">
        <f>'4c- ADIT BOY'!E32</f>
        <v>0</v>
      </c>
      <c r="H41" s="884">
        <f t="shared" ref="H41:H53" si="11">E41*G41</f>
        <v>0</v>
      </c>
      <c r="I41" s="885">
        <f>'4c- ADIT BOY'!F28</f>
        <v>0</v>
      </c>
      <c r="J41" s="891">
        <f t="shared" ref="J41:J53" si="12">I41*E41</f>
        <v>0</v>
      </c>
      <c r="K41" s="885">
        <f>'4c- ADIT BOY'!G28</f>
        <v>0</v>
      </c>
      <c r="L41" s="886">
        <f t="shared" ref="L41:L53" si="13">E41*K41</f>
        <v>0</v>
      </c>
    </row>
    <row r="42" spans="1:20" ht="20.100000000000001" customHeight="1">
      <c r="A42" s="881">
        <f t="shared" ref="A42:A54" si="14">+A41+1</f>
        <v>30</v>
      </c>
      <c r="B42" s="879" t="s">
        <v>1019</v>
      </c>
      <c r="C42" s="869" t="s">
        <v>105</v>
      </c>
      <c r="D42" s="1006">
        <v>2022</v>
      </c>
      <c r="E42" s="882">
        <f>335/365</f>
        <v>0.9178082191780822</v>
      </c>
      <c r="F42" s="887">
        <v>0</v>
      </c>
      <c r="G42" s="887">
        <v>0</v>
      </c>
      <c r="H42" s="884">
        <f t="shared" si="11"/>
        <v>0</v>
      </c>
      <c r="I42" s="888">
        <v>0</v>
      </c>
      <c r="J42" s="886">
        <f t="shared" si="12"/>
        <v>0</v>
      </c>
      <c r="K42" s="888">
        <v>0</v>
      </c>
      <c r="L42" s="886">
        <f t="shared" si="13"/>
        <v>0</v>
      </c>
    </row>
    <row r="43" spans="1:20" ht="20.100000000000001" customHeight="1">
      <c r="A43" s="881">
        <f t="shared" si="14"/>
        <v>31</v>
      </c>
      <c r="B43" s="879" t="s">
        <v>1019</v>
      </c>
      <c r="C43" s="869" t="s">
        <v>104</v>
      </c>
      <c r="D43" s="1006">
        <v>2022</v>
      </c>
      <c r="E43" s="882">
        <f>307/365</f>
        <v>0.84109589041095889</v>
      </c>
      <c r="F43" s="887">
        <v>0</v>
      </c>
      <c r="G43" s="887">
        <v>0</v>
      </c>
      <c r="H43" s="884">
        <f t="shared" si="11"/>
        <v>0</v>
      </c>
      <c r="I43" s="888">
        <v>0</v>
      </c>
      <c r="J43" s="886">
        <f t="shared" si="12"/>
        <v>0</v>
      </c>
      <c r="K43" s="888">
        <v>0</v>
      </c>
      <c r="L43" s="886">
        <f t="shared" si="13"/>
        <v>0</v>
      </c>
    </row>
    <row r="44" spans="1:20" ht="20.100000000000001" customHeight="1">
      <c r="A44" s="881">
        <f t="shared" si="14"/>
        <v>32</v>
      </c>
      <c r="B44" s="879" t="s">
        <v>1019</v>
      </c>
      <c r="C44" s="869" t="s">
        <v>103</v>
      </c>
      <c r="D44" s="1006">
        <v>2022</v>
      </c>
      <c r="E44" s="882">
        <f>276/365</f>
        <v>0.75616438356164384</v>
      </c>
      <c r="F44" s="887">
        <v>0</v>
      </c>
      <c r="G44" s="887">
        <v>0</v>
      </c>
      <c r="H44" s="884">
        <f t="shared" si="11"/>
        <v>0</v>
      </c>
      <c r="I44" s="888">
        <v>0</v>
      </c>
      <c r="J44" s="886">
        <f t="shared" si="12"/>
        <v>0</v>
      </c>
      <c r="K44" s="888">
        <v>0</v>
      </c>
      <c r="L44" s="886">
        <f t="shared" si="13"/>
        <v>0</v>
      </c>
    </row>
    <row r="45" spans="1:20" ht="20.100000000000001" customHeight="1">
      <c r="A45" s="881">
        <f t="shared" si="14"/>
        <v>33</v>
      </c>
      <c r="B45" s="879" t="s">
        <v>1019</v>
      </c>
      <c r="C45" s="869" t="s">
        <v>95</v>
      </c>
      <c r="D45" s="1006">
        <v>2022</v>
      </c>
      <c r="E45" s="882">
        <f>246/365</f>
        <v>0.67397260273972603</v>
      </c>
      <c r="F45" s="887">
        <v>0</v>
      </c>
      <c r="G45" s="887">
        <v>0</v>
      </c>
      <c r="H45" s="884">
        <f t="shared" si="11"/>
        <v>0</v>
      </c>
      <c r="I45" s="888">
        <v>0</v>
      </c>
      <c r="J45" s="886">
        <f t="shared" si="12"/>
        <v>0</v>
      </c>
      <c r="K45" s="888">
        <v>0</v>
      </c>
      <c r="L45" s="886">
        <f t="shared" si="13"/>
        <v>0</v>
      </c>
    </row>
    <row r="46" spans="1:20" ht="20.100000000000001" customHeight="1">
      <c r="A46" s="881">
        <f t="shared" si="14"/>
        <v>34</v>
      </c>
      <c r="B46" s="879" t="s">
        <v>1019</v>
      </c>
      <c r="C46" s="869" t="s">
        <v>92</v>
      </c>
      <c r="D46" s="1006">
        <v>2022</v>
      </c>
      <c r="E46" s="882">
        <f>215/365</f>
        <v>0.58904109589041098</v>
      </c>
      <c r="F46" s="887">
        <v>0</v>
      </c>
      <c r="G46" s="887">
        <v>0</v>
      </c>
      <c r="H46" s="884">
        <f t="shared" si="11"/>
        <v>0</v>
      </c>
      <c r="I46" s="888">
        <v>0</v>
      </c>
      <c r="J46" s="886">
        <f t="shared" si="12"/>
        <v>0</v>
      </c>
      <c r="K46" s="888">
        <v>0</v>
      </c>
      <c r="L46" s="886">
        <f t="shared" si="13"/>
        <v>0</v>
      </c>
    </row>
    <row r="47" spans="1:20" ht="20.100000000000001" customHeight="1">
      <c r="A47" s="881">
        <f t="shared" si="14"/>
        <v>35</v>
      </c>
      <c r="B47" s="879" t="s">
        <v>1019</v>
      </c>
      <c r="C47" s="869" t="s">
        <v>145</v>
      </c>
      <c r="D47" s="1006">
        <v>2022</v>
      </c>
      <c r="E47" s="882">
        <f>185/365</f>
        <v>0.50684931506849318</v>
      </c>
      <c r="F47" s="887">
        <v>0</v>
      </c>
      <c r="G47" s="887">
        <v>0</v>
      </c>
      <c r="H47" s="884">
        <f t="shared" si="11"/>
        <v>0</v>
      </c>
      <c r="I47" s="888">
        <v>0</v>
      </c>
      <c r="J47" s="886">
        <f t="shared" si="12"/>
        <v>0</v>
      </c>
      <c r="K47" s="888">
        <v>0</v>
      </c>
      <c r="L47" s="886">
        <f t="shared" si="13"/>
        <v>0</v>
      </c>
    </row>
    <row r="48" spans="1:20" ht="20.100000000000001" customHeight="1">
      <c r="A48" s="881">
        <f t="shared" si="14"/>
        <v>36</v>
      </c>
      <c r="B48" s="879" t="s">
        <v>1019</v>
      </c>
      <c r="C48" s="869" t="s">
        <v>102</v>
      </c>
      <c r="D48" s="1006">
        <v>2022</v>
      </c>
      <c r="E48" s="882">
        <f>154/365</f>
        <v>0.42191780821917807</v>
      </c>
      <c r="F48" s="887">
        <v>0</v>
      </c>
      <c r="G48" s="887">
        <v>0</v>
      </c>
      <c r="H48" s="884">
        <f t="shared" si="11"/>
        <v>0</v>
      </c>
      <c r="I48" s="888">
        <v>0</v>
      </c>
      <c r="J48" s="886">
        <f t="shared" si="12"/>
        <v>0</v>
      </c>
      <c r="K48" s="888">
        <v>0</v>
      </c>
      <c r="L48" s="886">
        <f t="shared" si="13"/>
        <v>0</v>
      </c>
    </row>
    <row r="49" spans="1:12" s="871" customFormat="1" ht="20.100000000000001" customHeight="1">
      <c r="A49" s="881">
        <f t="shared" si="14"/>
        <v>37</v>
      </c>
      <c r="B49" s="879" t="s">
        <v>1019</v>
      </c>
      <c r="C49" s="869" t="s">
        <v>101</v>
      </c>
      <c r="D49" s="1006">
        <v>2022</v>
      </c>
      <c r="E49" s="882">
        <f>123/365</f>
        <v>0.33698630136986302</v>
      </c>
      <c r="F49" s="887">
        <v>0</v>
      </c>
      <c r="G49" s="887">
        <v>0</v>
      </c>
      <c r="H49" s="884">
        <f t="shared" si="11"/>
        <v>0</v>
      </c>
      <c r="I49" s="888">
        <v>0</v>
      </c>
      <c r="J49" s="886">
        <f t="shared" si="12"/>
        <v>0</v>
      </c>
      <c r="K49" s="888">
        <v>0</v>
      </c>
      <c r="L49" s="886">
        <f t="shared" si="13"/>
        <v>0</v>
      </c>
    </row>
    <row r="50" spans="1:12" s="871" customFormat="1" ht="20.100000000000001" customHeight="1">
      <c r="A50" s="881">
        <f t="shared" si="14"/>
        <v>38</v>
      </c>
      <c r="B50" s="879" t="s">
        <v>1019</v>
      </c>
      <c r="C50" s="869" t="s">
        <v>100</v>
      </c>
      <c r="D50" s="1006">
        <v>2022</v>
      </c>
      <c r="E50" s="882">
        <f>93/365</f>
        <v>0.25479452054794521</v>
      </c>
      <c r="F50" s="887">
        <v>0</v>
      </c>
      <c r="G50" s="887">
        <v>0</v>
      </c>
      <c r="H50" s="884">
        <f t="shared" si="11"/>
        <v>0</v>
      </c>
      <c r="I50" s="888">
        <v>0</v>
      </c>
      <c r="J50" s="886">
        <f t="shared" si="12"/>
        <v>0</v>
      </c>
      <c r="K50" s="888">
        <v>0</v>
      </c>
      <c r="L50" s="886">
        <f t="shared" si="13"/>
        <v>0</v>
      </c>
    </row>
    <row r="51" spans="1:12" ht="20.100000000000001" customHeight="1">
      <c r="A51" s="881">
        <f t="shared" si="14"/>
        <v>39</v>
      </c>
      <c r="B51" s="879" t="s">
        <v>1019</v>
      </c>
      <c r="C51" s="869" t="s">
        <v>106</v>
      </c>
      <c r="D51" s="1006">
        <v>2022</v>
      </c>
      <c r="E51" s="882">
        <f>62/365</f>
        <v>0.16986301369863013</v>
      </c>
      <c r="F51" s="887">
        <v>0</v>
      </c>
      <c r="G51" s="887">
        <v>0</v>
      </c>
      <c r="H51" s="884">
        <f t="shared" si="11"/>
        <v>0</v>
      </c>
      <c r="I51" s="888">
        <v>0</v>
      </c>
      <c r="J51" s="886">
        <f t="shared" si="12"/>
        <v>0</v>
      </c>
      <c r="K51" s="888">
        <v>0</v>
      </c>
      <c r="L51" s="886">
        <f t="shared" si="13"/>
        <v>0</v>
      </c>
    </row>
    <row r="52" spans="1:12" ht="20.100000000000001" customHeight="1">
      <c r="A52" s="881">
        <f t="shared" si="14"/>
        <v>40</v>
      </c>
      <c r="B52" s="879" t="s">
        <v>1019</v>
      </c>
      <c r="C52" s="869" t="s">
        <v>99</v>
      </c>
      <c r="D52" s="1006">
        <v>2022</v>
      </c>
      <c r="E52" s="882">
        <f>32/365</f>
        <v>8.7671232876712329E-2</v>
      </c>
      <c r="F52" s="887">
        <v>0</v>
      </c>
      <c r="G52" s="887">
        <v>0</v>
      </c>
      <c r="H52" s="884">
        <f t="shared" si="11"/>
        <v>0</v>
      </c>
      <c r="I52" s="888">
        <v>0</v>
      </c>
      <c r="J52" s="886">
        <f t="shared" si="12"/>
        <v>0</v>
      </c>
      <c r="K52" s="888">
        <v>0</v>
      </c>
      <c r="L52" s="886">
        <f t="shared" si="13"/>
        <v>0</v>
      </c>
    </row>
    <row r="53" spans="1:12" ht="20.100000000000001" customHeight="1">
      <c r="A53" s="881">
        <f t="shared" si="14"/>
        <v>41</v>
      </c>
      <c r="B53" s="879" t="s">
        <v>1019</v>
      </c>
      <c r="C53" s="869" t="s">
        <v>98</v>
      </c>
      <c r="D53" s="1006">
        <v>2022</v>
      </c>
      <c r="E53" s="882">
        <f>1/365</f>
        <v>2.7397260273972603E-3</v>
      </c>
      <c r="F53" s="887">
        <v>0</v>
      </c>
      <c r="G53" s="887">
        <v>0</v>
      </c>
      <c r="H53" s="884">
        <f t="shared" si="11"/>
        <v>0</v>
      </c>
      <c r="I53" s="888">
        <v>0</v>
      </c>
      <c r="J53" s="886">
        <f t="shared" si="12"/>
        <v>0</v>
      </c>
      <c r="K53" s="888">
        <v>0</v>
      </c>
      <c r="L53" s="886">
        <f t="shared" si="13"/>
        <v>0</v>
      </c>
    </row>
    <row r="54" spans="1:12" ht="20.100000000000001" customHeight="1">
      <c r="A54" s="881">
        <f t="shared" si="14"/>
        <v>42</v>
      </c>
      <c r="B54" s="870" t="s">
        <v>1026</v>
      </c>
      <c r="C54" s="869"/>
      <c r="D54" s="869"/>
      <c r="E54" s="869"/>
      <c r="F54" s="884">
        <f t="shared" ref="F54:L54" si="15">SUM(F41:F53)</f>
        <v>0</v>
      </c>
      <c r="G54" s="884">
        <f t="shared" si="15"/>
        <v>0</v>
      </c>
      <c r="H54" s="884">
        <f t="shared" si="15"/>
        <v>0</v>
      </c>
      <c r="I54" s="886">
        <f t="shared" si="15"/>
        <v>0</v>
      </c>
      <c r="J54" s="886">
        <f t="shared" si="15"/>
        <v>0</v>
      </c>
      <c r="K54" s="886">
        <f t="shared" si="15"/>
        <v>0</v>
      </c>
      <c r="L54" s="886">
        <f t="shared" si="15"/>
        <v>0</v>
      </c>
    </row>
    <row r="55" spans="1:12">
      <c r="B55" s="892"/>
      <c r="C55" s="892"/>
      <c r="D55" s="892"/>
      <c r="E55" s="892"/>
      <c r="F55" s="892"/>
      <c r="G55" s="892"/>
      <c r="H55" s="892"/>
      <c r="I55" s="893"/>
    </row>
    <row r="56" spans="1:12">
      <c r="B56" s="892"/>
      <c r="C56" s="892"/>
      <c r="D56" s="892"/>
      <c r="E56" s="892"/>
      <c r="F56" s="892"/>
      <c r="G56" s="892"/>
      <c r="H56" s="892"/>
      <c r="I56" s="893"/>
    </row>
    <row r="57" spans="1:12" ht="15.75" customHeight="1">
      <c r="A57" s="894" t="s">
        <v>1027</v>
      </c>
      <c r="B57" s="892" t="s">
        <v>1028</v>
      </c>
      <c r="C57" s="892"/>
      <c r="D57" s="892"/>
      <c r="E57" s="892"/>
      <c r="F57" s="892"/>
      <c r="G57" s="892"/>
      <c r="H57" s="892"/>
      <c r="I57" s="893"/>
    </row>
    <row r="58" spans="1:12">
      <c r="A58" s="894" t="s">
        <v>1029</v>
      </c>
      <c r="B58" s="892" t="s">
        <v>1030</v>
      </c>
      <c r="C58" s="892"/>
      <c r="D58" s="895"/>
      <c r="E58" s="895"/>
      <c r="F58" s="895"/>
      <c r="G58" s="895"/>
      <c r="H58" s="895"/>
      <c r="I58" s="896"/>
    </row>
    <row r="59" spans="1:12">
      <c r="A59" s="897" t="s">
        <v>75</v>
      </c>
      <c r="B59" s="892" t="s">
        <v>1031</v>
      </c>
      <c r="C59" s="892"/>
      <c r="D59" s="895"/>
      <c r="E59" s="895"/>
      <c r="F59" s="895"/>
      <c r="G59" s="895"/>
      <c r="H59" s="895"/>
      <c r="I59" s="896"/>
    </row>
    <row r="60" spans="1:12">
      <c r="A60" s="897" t="s">
        <v>76</v>
      </c>
      <c r="B60" s="892" t="s">
        <v>1032</v>
      </c>
      <c r="C60" s="892"/>
      <c r="D60" s="895"/>
      <c r="E60" s="895"/>
      <c r="F60" s="895"/>
      <c r="G60" s="895"/>
      <c r="H60" s="895"/>
      <c r="I60" s="896"/>
    </row>
    <row r="61" spans="1:12">
      <c r="A61" s="897" t="s">
        <v>77</v>
      </c>
      <c r="B61" s="898" t="s">
        <v>1033</v>
      </c>
      <c r="C61" s="892"/>
      <c r="D61" s="899"/>
      <c r="E61" s="899"/>
      <c r="F61" s="892"/>
      <c r="G61" s="892"/>
      <c r="H61" s="892"/>
      <c r="I61" s="893"/>
    </row>
    <row r="62" spans="1:12">
      <c r="B62" s="898"/>
      <c r="C62" s="892"/>
      <c r="D62" s="900"/>
      <c r="E62" s="900"/>
      <c r="F62" s="892"/>
      <c r="G62" s="892"/>
      <c r="H62" s="892"/>
      <c r="I62" s="893"/>
    </row>
    <row r="63" spans="1:12">
      <c r="B63" s="898"/>
      <c r="C63" s="892"/>
      <c r="D63" s="900"/>
      <c r="E63" s="900"/>
      <c r="F63" s="892"/>
      <c r="G63" s="892"/>
      <c r="H63" s="892"/>
      <c r="I63" s="893"/>
    </row>
    <row r="64" spans="1:12">
      <c r="B64" s="898"/>
      <c r="C64" s="892"/>
      <c r="D64" s="900"/>
      <c r="E64" s="900"/>
      <c r="F64" s="892"/>
      <c r="G64" s="892"/>
      <c r="H64" s="892"/>
      <c r="I64" s="893"/>
    </row>
    <row r="65" spans="2:10">
      <c r="B65" s="898"/>
      <c r="C65" s="892"/>
      <c r="D65" s="900"/>
      <c r="E65" s="900"/>
      <c r="F65" s="892"/>
      <c r="G65" s="892"/>
      <c r="H65" s="892"/>
      <c r="I65" s="893"/>
    </row>
    <row r="66" spans="2:10">
      <c r="B66" s="898"/>
      <c r="C66" s="892"/>
      <c r="D66" s="900"/>
      <c r="E66" s="900"/>
      <c r="F66" s="892"/>
      <c r="G66" s="892"/>
      <c r="H66" s="892"/>
      <c r="I66" s="893"/>
      <c r="J66" s="900"/>
    </row>
    <row r="67" spans="2:10">
      <c r="B67" s="898"/>
      <c r="C67" s="892"/>
      <c r="D67" s="900"/>
      <c r="E67" s="900"/>
      <c r="F67" s="892"/>
      <c r="G67" s="892"/>
      <c r="H67" s="892"/>
      <c r="I67" s="893"/>
    </row>
    <row r="68" spans="2:10">
      <c r="B68" s="898"/>
      <c r="C68" s="892"/>
      <c r="D68" s="900"/>
      <c r="E68" s="900"/>
      <c r="F68" s="892"/>
      <c r="G68" s="892"/>
      <c r="H68" s="892"/>
      <c r="I68" s="893"/>
    </row>
    <row r="69" spans="2:10">
      <c r="B69" s="898"/>
      <c r="C69" s="892"/>
      <c r="D69" s="900"/>
      <c r="E69" s="900"/>
      <c r="F69" s="892"/>
      <c r="G69" s="892"/>
      <c r="H69" s="892"/>
      <c r="I69" s="893"/>
    </row>
    <row r="70" spans="2:10">
      <c r="B70" s="898"/>
      <c r="C70" s="892"/>
      <c r="D70" s="900"/>
      <c r="E70" s="900"/>
      <c r="F70" s="892"/>
      <c r="G70" s="892"/>
      <c r="H70" s="892"/>
      <c r="I70" s="893"/>
    </row>
    <row r="71" spans="2:10">
      <c r="B71" s="898"/>
      <c r="C71" s="892"/>
      <c r="D71" s="900"/>
      <c r="E71" s="900"/>
      <c r="F71" s="892"/>
      <c r="G71" s="892"/>
      <c r="H71" s="892"/>
      <c r="I71" s="893"/>
    </row>
    <row r="72" spans="2:10">
      <c r="B72" s="892"/>
      <c r="C72" s="892"/>
      <c r="D72" s="900"/>
      <c r="E72" s="900"/>
      <c r="F72" s="892"/>
      <c r="G72" s="892"/>
      <c r="H72" s="892"/>
      <c r="I72" s="893"/>
    </row>
    <row r="73" spans="2:10">
      <c r="B73" s="898"/>
      <c r="C73" s="892"/>
      <c r="D73" s="900"/>
      <c r="E73" s="900"/>
      <c r="F73" s="892"/>
      <c r="G73" s="892"/>
      <c r="H73" s="892"/>
      <c r="I73" s="893"/>
    </row>
    <row r="74" spans="2:10">
      <c r="B74" s="892"/>
      <c r="C74" s="892"/>
      <c r="D74" s="900"/>
      <c r="E74" s="900"/>
      <c r="F74" s="892"/>
      <c r="G74" s="892"/>
      <c r="H74" s="892"/>
      <c r="I74" s="893"/>
    </row>
    <row r="75" spans="2:10">
      <c r="B75" s="898"/>
      <c r="C75" s="892"/>
      <c r="D75" s="892"/>
      <c r="E75" s="892"/>
      <c r="F75" s="892"/>
      <c r="G75" s="892"/>
      <c r="H75" s="892"/>
      <c r="I75" s="893"/>
    </row>
    <row r="76" spans="2:10">
      <c r="B76" s="898"/>
      <c r="C76" s="892"/>
      <c r="D76" s="892"/>
      <c r="E76" s="892"/>
      <c r="F76" s="892"/>
      <c r="G76" s="892"/>
      <c r="H76" s="892"/>
    </row>
    <row r="77" spans="2:10">
      <c r="B77" s="898"/>
      <c r="C77" s="892"/>
      <c r="D77" s="892"/>
      <c r="E77" s="892"/>
      <c r="F77" s="892"/>
      <c r="G77" s="892"/>
      <c r="H77" s="892"/>
    </row>
    <row r="78" spans="2:10">
      <c r="B78" s="898"/>
      <c r="C78" s="892"/>
      <c r="D78" s="892"/>
      <c r="E78" s="892"/>
      <c r="F78" s="892"/>
      <c r="G78" s="892"/>
      <c r="H78" s="892"/>
    </row>
    <row r="79" spans="2:10">
      <c r="B79" s="898"/>
      <c r="C79" s="892"/>
      <c r="D79" s="892"/>
      <c r="E79" s="892"/>
      <c r="F79" s="892"/>
      <c r="G79" s="892"/>
      <c r="H79" s="892"/>
    </row>
    <row r="80" spans="2:10">
      <c r="B80" s="898"/>
      <c r="C80" s="892"/>
      <c r="D80" s="892"/>
      <c r="E80" s="892"/>
      <c r="F80" s="892"/>
      <c r="G80" s="892"/>
      <c r="H80" s="892"/>
    </row>
    <row r="81" spans="2:8">
      <c r="B81" s="898"/>
      <c r="C81" s="892"/>
      <c r="D81" s="892"/>
      <c r="E81" s="892"/>
      <c r="F81" s="892"/>
      <c r="G81" s="892"/>
      <c r="H81" s="892"/>
    </row>
    <row r="82" spans="2:8">
      <c r="B82" s="898"/>
      <c r="C82" s="892"/>
      <c r="D82" s="892"/>
      <c r="E82" s="892"/>
      <c r="F82" s="892"/>
      <c r="G82" s="892"/>
      <c r="H82" s="892"/>
    </row>
    <row r="83" spans="2:8">
      <c r="B83" s="898"/>
      <c r="C83" s="892"/>
      <c r="D83" s="892"/>
      <c r="E83" s="892"/>
      <c r="F83" s="892"/>
      <c r="G83" s="892"/>
      <c r="H83" s="892"/>
    </row>
    <row r="84" spans="2:8">
      <c r="B84" s="898"/>
      <c r="C84" s="892"/>
      <c r="D84" s="892"/>
      <c r="E84" s="892"/>
      <c r="F84" s="892"/>
      <c r="G84" s="892"/>
      <c r="H84" s="892"/>
    </row>
    <row r="85" spans="2:8">
      <c r="B85" s="898"/>
      <c r="C85" s="892"/>
      <c r="D85" s="892"/>
      <c r="E85" s="892"/>
      <c r="F85" s="892"/>
      <c r="G85" s="892"/>
      <c r="H85" s="892"/>
    </row>
    <row r="86" spans="2:8">
      <c r="B86" s="898"/>
      <c r="C86" s="892"/>
      <c r="D86" s="892"/>
      <c r="E86" s="892"/>
      <c r="F86" s="892"/>
      <c r="G86" s="892"/>
      <c r="H86" s="892"/>
    </row>
    <row r="87" spans="2:8">
      <c r="B87" s="898"/>
      <c r="C87" s="892"/>
      <c r="D87" s="892"/>
      <c r="E87" s="892"/>
      <c r="F87" s="892"/>
      <c r="G87" s="892"/>
      <c r="H87" s="892"/>
    </row>
    <row r="88" spans="2:8">
      <c r="B88" s="898"/>
      <c r="C88" s="892"/>
      <c r="D88" s="892"/>
      <c r="E88" s="892"/>
      <c r="F88" s="892"/>
      <c r="G88" s="892"/>
      <c r="H88" s="892"/>
    </row>
    <row r="89" spans="2:8">
      <c r="B89" s="898"/>
      <c r="C89" s="892"/>
      <c r="D89" s="892"/>
      <c r="E89" s="892"/>
      <c r="F89" s="892"/>
      <c r="G89" s="892"/>
      <c r="H89" s="892"/>
    </row>
    <row r="90" spans="2:8">
      <c r="B90" s="898"/>
      <c r="C90" s="892"/>
      <c r="D90" s="892"/>
      <c r="E90" s="892"/>
      <c r="F90" s="892"/>
      <c r="G90" s="892"/>
      <c r="H90" s="892"/>
    </row>
    <row r="91" spans="2:8">
      <c r="B91" s="898"/>
      <c r="C91" s="892"/>
      <c r="D91" s="892"/>
      <c r="E91" s="892"/>
      <c r="F91" s="892"/>
      <c r="G91" s="892"/>
      <c r="H91" s="892"/>
    </row>
    <row r="92" spans="2:8">
      <c r="B92" s="898"/>
      <c r="C92" s="892"/>
      <c r="D92" s="892"/>
      <c r="E92" s="892"/>
      <c r="F92" s="892"/>
      <c r="G92" s="892"/>
      <c r="H92" s="892"/>
    </row>
    <row r="93" spans="2:8">
      <c r="B93" s="898"/>
      <c r="C93" s="892"/>
      <c r="D93" s="892"/>
      <c r="E93" s="892"/>
      <c r="F93" s="892"/>
      <c r="G93" s="892"/>
      <c r="H93" s="892"/>
    </row>
    <row r="94" spans="2:8">
      <c r="B94" s="898"/>
      <c r="C94" s="892"/>
      <c r="D94" s="892"/>
      <c r="E94" s="892"/>
      <c r="F94" s="892"/>
      <c r="G94" s="892"/>
      <c r="H94" s="892"/>
    </row>
    <row r="95" spans="2:8">
      <c r="B95" s="898"/>
      <c r="C95" s="892"/>
      <c r="D95" s="892"/>
      <c r="E95" s="892"/>
      <c r="F95" s="892"/>
      <c r="G95" s="892"/>
      <c r="H95" s="892"/>
    </row>
    <row r="96" spans="2:8">
      <c r="B96" s="898"/>
      <c r="C96" s="892"/>
      <c r="D96" s="892"/>
      <c r="E96" s="892"/>
      <c r="F96" s="892"/>
      <c r="G96" s="892"/>
      <c r="H96" s="892"/>
    </row>
    <row r="97" spans="2:8">
      <c r="B97" s="898"/>
      <c r="C97" s="892"/>
      <c r="D97" s="892"/>
      <c r="E97" s="892"/>
      <c r="F97" s="892"/>
      <c r="G97" s="892"/>
      <c r="H97" s="892"/>
    </row>
    <row r="98" spans="2:8">
      <c r="B98" s="898"/>
      <c r="C98" s="892"/>
      <c r="D98" s="892"/>
      <c r="E98" s="892"/>
      <c r="F98" s="892"/>
      <c r="G98" s="892"/>
      <c r="H98" s="892"/>
    </row>
    <row r="99" spans="2:8">
      <c r="B99" s="898"/>
      <c r="C99" s="892"/>
      <c r="D99" s="892"/>
      <c r="E99" s="892"/>
      <c r="F99" s="892"/>
      <c r="G99" s="892"/>
      <c r="H99" s="892"/>
    </row>
    <row r="100" spans="2:8">
      <c r="B100" s="898"/>
      <c r="C100" s="892"/>
      <c r="D100" s="892"/>
      <c r="E100" s="892"/>
      <c r="F100" s="892"/>
      <c r="G100" s="892"/>
      <c r="H100" s="892"/>
    </row>
    <row r="101" spans="2:8">
      <c r="B101" s="898"/>
      <c r="C101" s="892"/>
      <c r="D101" s="892"/>
      <c r="E101" s="892"/>
      <c r="F101" s="892"/>
      <c r="G101" s="892"/>
      <c r="H101" s="892"/>
    </row>
    <row r="102" spans="2:8">
      <c r="B102" s="898"/>
      <c r="C102" s="892"/>
      <c r="D102" s="892"/>
      <c r="E102" s="892"/>
      <c r="F102" s="892"/>
      <c r="G102" s="892"/>
      <c r="H102" s="892"/>
    </row>
    <row r="103" spans="2:8">
      <c r="B103" s="898"/>
      <c r="C103" s="892"/>
      <c r="D103" s="892"/>
      <c r="E103" s="892"/>
      <c r="F103" s="892"/>
      <c r="G103" s="892"/>
      <c r="H103" s="892"/>
    </row>
    <row r="104" spans="2:8">
      <c r="B104" s="898"/>
      <c r="C104" s="892"/>
      <c r="D104" s="892"/>
      <c r="E104" s="892"/>
      <c r="F104" s="892"/>
      <c r="G104" s="892"/>
      <c r="H104" s="892"/>
    </row>
    <row r="105" spans="2:8">
      <c r="B105" s="898"/>
      <c r="C105" s="892"/>
      <c r="D105" s="892"/>
      <c r="E105" s="892"/>
      <c r="F105" s="892"/>
      <c r="G105" s="892"/>
      <c r="H105" s="892"/>
    </row>
    <row r="106" spans="2:8">
      <c r="B106" s="898"/>
      <c r="C106" s="892"/>
      <c r="D106" s="892"/>
      <c r="E106" s="892"/>
      <c r="F106" s="892"/>
      <c r="G106" s="892"/>
      <c r="H106" s="892"/>
    </row>
    <row r="107" spans="2:8">
      <c r="B107" s="898"/>
      <c r="C107" s="892"/>
      <c r="D107" s="892"/>
      <c r="E107" s="892"/>
      <c r="F107" s="892"/>
      <c r="G107" s="892"/>
      <c r="H107" s="892"/>
    </row>
    <row r="108" spans="2:8">
      <c r="B108" s="898"/>
      <c r="C108" s="892"/>
      <c r="D108" s="892"/>
      <c r="E108" s="892"/>
      <c r="F108" s="892"/>
      <c r="G108" s="892"/>
      <c r="H108" s="892"/>
    </row>
    <row r="109" spans="2:8">
      <c r="B109" s="898"/>
      <c r="C109" s="892"/>
      <c r="D109" s="892"/>
      <c r="E109" s="892"/>
      <c r="F109" s="892"/>
      <c r="G109" s="892"/>
      <c r="H109" s="892"/>
    </row>
    <row r="110" spans="2:8">
      <c r="B110" s="898"/>
      <c r="C110" s="892"/>
      <c r="D110" s="892"/>
      <c r="E110" s="892"/>
      <c r="F110" s="892"/>
      <c r="G110" s="892"/>
      <c r="H110" s="892"/>
    </row>
    <row r="111" spans="2:8">
      <c r="B111" s="898"/>
      <c r="C111" s="892"/>
      <c r="D111" s="892"/>
      <c r="E111" s="892"/>
      <c r="F111" s="892"/>
      <c r="G111" s="892"/>
      <c r="H111" s="892"/>
    </row>
    <row r="112" spans="2:8">
      <c r="B112" s="898"/>
      <c r="C112" s="892"/>
      <c r="D112" s="892"/>
      <c r="E112" s="892"/>
      <c r="F112" s="892"/>
      <c r="G112" s="892"/>
      <c r="H112" s="892"/>
    </row>
    <row r="113" spans="2:8">
      <c r="B113" s="898"/>
      <c r="C113" s="892"/>
      <c r="D113" s="892"/>
      <c r="E113" s="892"/>
      <c r="F113" s="892"/>
      <c r="G113" s="892"/>
      <c r="H113" s="892"/>
    </row>
    <row r="114" spans="2:8">
      <c r="B114" s="898"/>
      <c r="C114" s="892"/>
      <c r="D114" s="892"/>
      <c r="E114" s="892"/>
      <c r="F114" s="892"/>
      <c r="G114" s="892"/>
      <c r="H114" s="892"/>
    </row>
    <row r="115" spans="2:8">
      <c r="B115" s="898"/>
      <c r="C115" s="892"/>
      <c r="D115" s="892"/>
      <c r="E115" s="892"/>
      <c r="F115" s="892"/>
      <c r="G115" s="892"/>
      <c r="H115" s="892"/>
    </row>
    <row r="116" spans="2:8">
      <c r="B116" s="898"/>
      <c r="C116" s="892"/>
      <c r="D116" s="892"/>
      <c r="E116" s="892"/>
      <c r="F116" s="892"/>
      <c r="G116" s="892"/>
      <c r="H116" s="892"/>
    </row>
    <row r="117" spans="2:8">
      <c r="B117" s="898"/>
      <c r="C117" s="892"/>
      <c r="D117" s="892"/>
      <c r="E117" s="892"/>
      <c r="F117" s="892"/>
      <c r="G117" s="892"/>
      <c r="H117" s="892"/>
    </row>
    <row r="118" spans="2:8">
      <c r="B118" s="898"/>
      <c r="C118" s="892"/>
      <c r="D118" s="892"/>
      <c r="E118" s="892"/>
      <c r="F118" s="892"/>
      <c r="G118" s="892"/>
      <c r="H118" s="892"/>
    </row>
    <row r="119" spans="2:8">
      <c r="B119" s="898"/>
      <c r="C119" s="892"/>
      <c r="D119" s="892"/>
      <c r="E119" s="892"/>
      <c r="F119" s="892"/>
      <c r="G119" s="892"/>
      <c r="H119" s="892"/>
    </row>
    <row r="120" spans="2:8">
      <c r="B120" s="898"/>
      <c r="C120" s="892"/>
      <c r="D120" s="892"/>
      <c r="E120" s="892"/>
      <c r="F120" s="892"/>
      <c r="G120" s="892"/>
      <c r="H120" s="892"/>
    </row>
    <row r="121" spans="2:8">
      <c r="B121" s="898"/>
      <c r="C121" s="892"/>
      <c r="D121" s="892"/>
      <c r="E121" s="892"/>
      <c r="F121" s="892"/>
      <c r="G121" s="892"/>
      <c r="H121" s="892"/>
    </row>
    <row r="122" spans="2:8">
      <c r="B122" s="898"/>
      <c r="C122" s="892"/>
      <c r="D122" s="892"/>
      <c r="E122" s="892"/>
      <c r="F122" s="892"/>
      <c r="G122" s="892"/>
      <c r="H122" s="892"/>
    </row>
    <row r="123" spans="2:8">
      <c r="B123" s="898"/>
      <c r="C123" s="892"/>
      <c r="D123" s="892"/>
      <c r="E123" s="892"/>
      <c r="F123" s="892"/>
      <c r="G123" s="892"/>
      <c r="H123" s="892"/>
    </row>
    <row r="124" spans="2:8">
      <c r="B124" s="898"/>
      <c r="C124" s="892"/>
      <c r="D124" s="892"/>
      <c r="E124" s="892"/>
      <c r="F124" s="892"/>
      <c r="G124" s="892"/>
      <c r="H124" s="892"/>
    </row>
    <row r="125" spans="2:8">
      <c r="B125" s="898"/>
      <c r="C125" s="892"/>
      <c r="D125" s="892"/>
      <c r="E125" s="892"/>
      <c r="F125" s="892"/>
      <c r="G125" s="892"/>
      <c r="H125" s="892"/>
    </row>
    <row r="126" spans="2:8">
      <c r="B126" s="898"/>
      <c r="C126" s="892"/>
      <c r="D126" s="892"/>
      <c r="E126" s="892"/>
      <c r="F126" s="892"/>
      <c r="G126" s="892"/>
      <c r="H126" s="892"/>
    </row>
    <row r="127" spans="2:8">
      <c r="B127" s="898"/>
      <c r="C127" s="892"/>
      <c r="D127" s="892"/>
      <c r="E127" s="892"/>
      <c r="F127" s="892"/>
      <c r="G127" s="892"/>
      <c r="H127" s="892"/>
    </row>
    <row r="128" spans="2:8">
      <c r="B128" s="898"/>
      <c r="C128" s="892"/>
      <c r="D128" s="892"/>
      <c r="E128" s="892"/>
      <c r="F128" s="892"/>
      <c r="G128" s="892"/>
      <c r="H128" s="892"/>
    </row>
    <row r="129" spans="2:8">
      <c r="B129" s="898"/>
      <c r="C129" s="892"/>
      <c r="D129" s="892"/>
      <c r="E129" s="892"/>
      <c r="F129" s="892"/>
      <c r="G129" s="892"/>
      <c r="H129" s="892"/>
    </row>
    <row r="130" spans="2:8">
      <c r="B130" s="898"/>
      <c r="C130" s="892"/>
      <c r="D130" s="892"/>
      <c r="E130" s="892"/>
      <c r="F130" s="892"/>
      <c r="G130" s="892"/>
      <c r="H130" s="892"/>
    </row>
    <row r="131" spans="2:8">
      <c r="B131" s="898"/>
      <c r="C131" s="892"/>
      <c r="D131" s="892"/>
      <c r="E131" s="892"/>
      <c r="F131" s="892"/>
      <c r="G131" s="892"/>
      <c r="H131" s="892"/>
    </row>
    <row r="132" spans="2:8">
      <c r="B132" s="898"/>
      <c r="C132" s="892"/>
      <c r="D132" s="892"/>
      <c r="E132" s="892"/>
      <c r="F132" s="892"/>
      <c r="G132" s="892"/>
      <c r="H132" s="892"/>
    </row>
    <row r="133" spans="2:8">
      <c r="B133" s="898"/>
      <c r="C133" s="892"/>
      <c r="D133" s="892"/>
      <c r="E133" s="892"/>
      <c r="F133" s="892"/>
      <c r="G133" s="892"/>
      <c r="H133" s="892"/>
    </row>
    <row r="134" spans="2:8">
      <c r="B134" s="898"/>
      <c r="C134" s="892"/>
      <c r="D134" s="892"/>
      <c r="E134" s="892"/>
      <c r="F134" s="892"/>
      <c r="G134" s="892"/>
      <c r="H134" s="892"/>
    </row>
    <row r="135" spans="2:8">
      <c r="B135" s="898"/>
      <c r="C135" s="892"/>
      <c r="D135" s="892"/>
      <c r="E135" s="892"/>
      <c r="F135" s="892"/>
      <c r="G135" s="892"/>
      <c r="H135" s="892"/>
    </row>
    <row r="136" spans="2:8">
      <c r="B136" s="898"/>
      <c r="C136" s="892"/>
      <c r="D136" s="892"/>
      <c r="E136" s="892"/>
      <c r="F136" s="892"/>
      <c r="G136" s="892"/>
      <c r="H136" s="892"/>
    </row>
    <row r="137" spans="2:8">
      <c r="B137" s="898"/>
      <c r="C137" s="892"/>
      <c r="D137" s="892"/>
      <c r="E137" s="892"/>
      <c r="F137" s="892"/>
      <c r="G137" s="892"/>
      <c r="H137" s="892"/>
    </row>
    <row r="138" spans="2:8">
      <c r="B138" s="898"/>
      <c r="C138" s="892"/>
      <c r="D138" s="892"/>
      <c r="E138" s="892"/>
      <c r="F138" s="892"/>
      <c r="G138" s="892"/>
      <c r="H138" s="892"/>
    </row>
    <row r="139" spans="2:8">
      <c r="B139" s="898"/>
      <c r="C139" s="892"/>
      <c r="D139" s="892"/>
      <c r="E139" s="892"/>
      <c r="F139" s="892"/>
      <c r="G139" s="892"/>
      <c r="H139" s="892"/>
    </row>
    <row r="140" spans="2:8">
      <c r="B140" s="898"/>
      <c r="C140" s="892"/>
      <c r="D140" s="892"/>
      <c r="E140" s="892"/>
      <c r="F140" s="892"/>
      <c r="G140" s="892"/>
      <c r="H140" s="892"/>
    </row>
    <row r="141" spans="2:8">
      <c r="B141" s="898"/>
      <c r="C141" s="892"/>
      <c r="D141" s="892"/>
      <c r="E141" s="892"/>
      <c r="F141" s="892"/>
      <c r="G141" s="892"/>
      <c r="H141" s="892"/>
    </row>
    <row r="142" spans="2:8">
      <c r="B142" s="898"/>
      <c r="C142" s="892"/>
      <c r="D142" s="892"/>
      <c r="E142" s="892"/>
      <c r="F142" s="892"/>
      <c r="G142" s="892"/>
      <c r="H142" s="892"/>
    </row>
    <row r="143" spans="2:8">
      <c r="B143" s="898"/>
      <c r="C143" s="892"/>
      <c r="D143" s="892"/>
      <c r="E143" s="892"/>
      <c r="F143" s="892"/>
      <c r="G143" s="892"/>
      <c r="H143" s="892"/>
    </row>
    <row r="144" spans="2:8">
      <c r="B144" s="898"/>
      <c r="C144" s="892"/>
      <c r="D144" s="892"/>
      <c r="E144" s="892"/>
      <c r="F144" s="892"/>
      <c r="G144" s="892"/>
      <c r="H144" s="892"/>
    </row>
    <row r="145" spans="2:8">
      <c r="B145" s="898"/>
      <c r="C145" s="892"/>
      <c r="D145" s="892"/>
      <c r="E145" s="892"/>
      <c r="F145" s="892"/>
      <c r="G145" s="892"/>
      <c r="H145" s="892"/>
    </row>
    <row r="146" spans="2:8">
      <c r="B146" s="898"/>
      <c r="C146" s="892"/>
      <c r="D146" s="892"/>
      <c r="E146" s="892"/>
      <c r="F146" s="892"/>
      <c r="G146" s="892"/>
      <c r="H146" s="892"/>
    </row>
    <row r="147" spans="2:8">
      <c r="B147" s="898"/>
      <c r="C147" s="892"/>
      <c r="D147" s="892"/>
      <c r="E147" s="892"/>
      <c r="F147" s="892"/>
      <c r="G147" s="892"/>
      <c r="H147" s="892"/>
    </row>
    <row r="148" spans="2:8">
      <c r="B148" s="898"/>
      <c r="C148" s="892"/>
      <c r="D148" s="892"/>
      <c r="E148" s="892"/>
      <c r="F148" s="892"/>
      <c r="G148" s="892"/>
      <c r="H148" s="892"/>
    </row>
    <row r="149" spans="2:8">
      <c r="B149" s="898"/>
      <c r="C149" s="892"/>
      <c r="D149" s="892"/>
      <c r="E149" s="892"/>
      <c r="F149" s="892"/>
      <c r="G149" s="892"/>
      <c r="H149" s="892"/>
    </row>
    <row r="150" spans="2:8">
      <c r="B150" s="898"/>
      <c r="C150" s="892"/>
      <c r="D150" s="892"/>
      <c r="E150" s="892"/>
      <c r="F150" s="892"/>
      <c r="G150" s="892"/>
      <c r="H150" s="892"/>
    </row>
    <row r="151" spans="2:8">
      <c r="B151" s="898"/>
      <c r="C151" s="892"/>
      <c r="D151" s="892"/>
      <c r="E151" s="892"/>
      <c r="F151" s="892"/>
      <c r="G151" s="892"/>
      <c r="H151" s="892"/>
    </row>
    <row r="152" spans="2:8">
      <c r="B152" s="898"/>
      <c r="C152" s="892"/>
      <c r="D152" s="892"/>
      <c r="E152" s="892"/>
      <c r="F152" s="892"/>
      <c r="G152" s="892"/>
      <c r="H152" s="892"/>
    </row>
    <row r="153" spans="2:8">
      <c r="B153" s="898"/>
      <c r="C153" s="892"/>
      <c r="D153" s="892"/>
      <c r="E153" s="892"/>
      <c r="F153" s="892"/>
      <c r="G153" s="892"/>
      <c r="H153" s="892"/>
    </row>
    <row r="154" spans="2:8">
      <c r="B154" s="898"/>
      <c r="C154" s="892"/>
      <c r="D154" s="892"/>
      <c r="E154" s="892"/>
      <c r="F154" s="892"/>
      <c r="G154" s="892"/>
      <c r="H154" s="892"/>
    </row>
    <row r="155" spans="2:8">
      <c r="B155" s="898"/>
      <c r="C155" s="892"/>
      <c r="D155" s="892"/>
      <c r="E155" s="892"/>
      <c r="F155" s="892"/>
      <c r="G155" s="892"/>
      <c r="H155" s="892"/>
    </row>
    <row r="156" spans="2:8">
      <c r="B156" s="898"/>
      <c r="C156" s="892"/>
      <c r="D156" s="892"/>
      <c r="E156" s="892"/>
      <c r="F156" s="892"/>
      <c r="G156" s="892"/>
      <c r="H156" s="892"/>
    </row>
    <row r="157" spans="2:8">
      <c r="B157" s="898"/>
      <c r="C157" s="892"/>
      <c r="D157" s="892"/>
      <c r="E157" s="892"/>
      <c r="F157" s="892"/>
      <c r="G157" s="892"/>
      <c r="H157" s="892"/>
    </row>
    <row r="158" spans="2:8">
      <c r="B158" s="898"/>
      <c r="C158" s="892"/>
      <c r="D158" s="892"/>
      <c r="E158" s="892"/>
      <c r="F158" s="892"/>
      <c r="G158" s="892"/>
      <c r="H158" s="892"/>
    </row>
    <row r="159" spans="2:8">
      <c r="B159" s="898"/>
      <c r="C159" s="892"/>
      <c r="D159" s="892"/>
      <c r="E159" s="892"/>
      <c r="F159" s="892"/>
      <c r="G159" s="892"/>
      <c r="H159" s="892"/>
    </row>
    <row r="160" spans="2:8">
      <c r="B160" s="898"/>
      <c r="C160" s="892"/>
      <c r="D160" s="892"/>
      <c r="E160" s="892"/>
      <c r="F160" s="892"/>
      <c r="G160" s="892"/>
      <c r="H160" s="892"/>
    </row>
    <row r="161" spans="2:8">
      <c r="B161" s="898"/>
      <c r="C161" s="892"/>
      <c r="D161" s="892"/>
      <c r="E161" s="892"/>
      <c r="F161" s="892"/>
      <c r="G161" s="892"/>
      <c r="H161" s="892"/>
    </row>
    <row r="162" spans="2:8">
      <c r="B162" s="898"/>
      <c r="C162" s="892"/>
      <c r="D162" s="892"/>
      <c r="E162" s="892"/>
      <c r="F162" s="892"/>
      <c r="G162" s="892"/>
      <c r="H162" s="892"/>
    </row>
    <row r="163" spans="2:8">
      <c r="B163" s="898"/>
      <c r="C163" s="892"/>
      <c r="D163" s="892"/>
      <c r="E163" s="892"/>
      <c r="F163" s="892"/>
      <c r="G163" s="892"/>
      <c r="H163" s="892"/>
    </row>
    <row r="164" spans="2:8">
      <c r="B164" s="898"/>
      <c r="C164" s="892"/>
      <c r="D164" s="892"/>
      <c r="E164" s="892"/>
      <c r="F164" s="892"/>
      <c r="G164" s="892"/>
      <c r="H164" s="892"/>
    </row>
    <row r="165" spans="2:8">
      <c r="B165" s="898"/>
      <c r="C165" s="892"/>
      <c r="D165" s="892"/>
      <c r="E165" s="892"/>
      <c r="F165" s="892"/>
      <c r="G165" s="892"/>
      <c r="H165" s="892"/>
    </row>
    <row r="166" spans="2:8">
      <c r="B166" s="898"/>
      <c r="C166" s="892"/>
      <c r="D166" s="892"/>
      <c r="E166" s="892"/>
      <c r="F166" s="892"/>
      <c r="G166" s="892"/>
      <c r="H166" s="892"/>
    </row>
    <row r="167" spans="2:8">
      <c r="B167" s="898"/>
      <c r="C167" s="892"/>
      <c r="D167" s="892"/>
      <c r="E167" s="892"/>
      <c r="F167" s="892"/>
      <c r="G167" s="892"/>
      <c r="H167" s="892"/>
    </row>
    <row r="168" spans="2:8">
      <c r="B168" s="898"/>
      <c r="C168" s="892"/>
      <c r="D168" s="892"/>
      <c r="E168" s="892"/>
      <c r="F168" s="892"/>
      <c r="G168" s="892"/>
      <c r="H168" s="892"/>
    </row>
    <row r="169" spans="2:8">
      <c r="B169" s="898"/>
      <c r="C169" s="892"/>
      <c r="D169" s="892"/>
      <c r="E169" s="892"/>
      <c r="F169" s="892"/>
      <c r="G169" s="892"/>
      <c r="H169" s="892"/>
    </row>
    <row r="170" spans="2:8">
      <c r="B170" s="898"/>
      <c r="C170" s="892"/>
      <c r="D170" s="892"/>
      <c r="E170" s="892"/>
      <c r="F170" s="892"/>
      <c r="G170" s="892"/>
      <c r="H170" s="892"/>
    </row>
    <row r="171" spans="2:8">
      <c r="B171" s="898"/>
      <c r="C171" s="892"/>
      <c r="D171" s="892"/>
      <c r="E171" s="892"/>
      <c r="F171" s="892"/>
      <c r="G171" s="892"/>
      <c r="H171" s="892"/>
    </row>
    <row r="172" spans="2:8">
      <c r="B172" s="898"/>
      <c r="C172" s="892"/>
      <c r="D172" s="892"/>
      <c r="E172" s="892"/>
      <c r="F172" s="892"/>
      <c r="G172" s="892"/>
      <c r="H172" s="892"/>
    </row>
    <row r="173" spans="2:8">
      <c r="B173" s="898"/>
      <c r="C173" s="892"/>
      <c r="D173" s="892"/>
      <c r="E173" s="892"/>
      <c r="F173" s="892"/>
      <c r="G173" s="892"/>
      <c r="H173" s="892"/>
    </row>
    <row r="174" spans="2:8">
      <c r="B174" s="898"/>
      <c r="C174" s="892"/>
      <c r="D174" s="892"/>
      <c r="E174" s="892"/>
      <c r="F174" s="892"/>
      <c r="G174" s="892"/>
      <c r="H174" s="892"/>
    </row>
    <row r="175" spans="2:8">
      <c r="B175" s="898"/>
      <c r="C175" s="892"/>
      <c r="D175" s="892"/>
      <c r="E175" s="892"/>
      <c r="F175" s="892"/>
      <c r="G175" s="892"/>
      <c r="H175" s="892"/>
    </row>
    <row r="176" spans="2:8">
      <c r="B176" s="898"/>
      <c r="C176" s="892"/>
      <c r="D176" s="892"/>
      <c r="E176" s="892"/>
      <c r="F176" s="892"/>
      <c r="G176" s="892"/>
      <c r="H176" s="892"/>
    </row>
    <row r="177" spans="2:9">
      <c r="B177" s="898"/>
      <c r="C177" s="892"/>
      <c r="D177" s="892"/>
      <c r="E177" s="892"/>
      <c r="F177" s="892"/>
      <c r="G177" s="892"/>
      <c r="H177" s="892"/>
    </row>
    <row r="178" spans="2:9">
      <c r="B178" s="898"/>
      <c r="C178" s="892"/>
      <c r="D178" s="892"/>
      <c r="E178" s="892"/>
      <c r="F178" s="892"/>
      <c r="G178" s="892"/>
      <c r="H178" s="892"/>
      <c r="I178" s="901"/>
    </row>
    <row r="179" spans="2:9">
      <c r="B179" s="898"/>
      <c r="C179" s="892"/>
      <c r="D179" s="892"/>
      <c r="E179" s="892"/>
      <c r="F179" s="892"/>
      <c r="G179" s="892"/>
      <c r="H179" s="892"/>
    </row>
    <row r="180" spans="2:9">
      <c r="B180" s="898"/>
      <c r="C180" s="892"/>
      <c r="D180" s="892"/>
      <c r="E180" s="892"/>
      <c r="F180" s="892"/>
      <c r="G180" s="892"/>
      <c r="H180" s="892"/>
    </row>
    <row r="181" spans="2:9">
      <c r="B181" s="898"/>
      <c r="C181" s="892"/>
      <c r="D181" s="892"/>
      <c r="E181" s="892"/>
      <c r="F181" s="892"/>
      <c r="G181" s="892"/>
      <c r="H181" s="892"/>
    </row>
    <row r="182" spans="2:9">
      <c r="B182" s="898"/>
      <c r="C182" s="892"/>
      <c r="D182" s="892"/>
      <c r="E182" s="892"/>
      <c r="F182" s="892"/>
      <c r="G182" s="892"/>
      <c r="H182" s="892"/>
    </row>
    <row r="183" spans="2:9">
      <c r="B183" s="898"/>
      <c r="C183" s="892"/>
      <c r="D183" s="892"/>
      <c r="E183" s="892"/>
      <c r="F183" s="892"/>
      <c r="G183" s="892"/>
      <c r="H183" s="892"/>
    </row>
    <row r="184" spans="2:9">
      <c r="B184" s="898"/>
      <c r="C184" s="892"/>
      <c r="D184" s="892"/>
      <c r="E184" s="892"/>
      <c r="F184" s="892"/>
      <c r="G184" s="892"/>
      <c r="H184" s="892"/>
    </row>
    <row r="185" spans="2:9">
      <c r="B185" s="898"/>
      <c r="C185" s="892"/>
      <c r="D185" s="892"/>
      <c r="E185" s="892"/>
      <c r="F185" s="892"/>
      <c r="G185" s="892"/>
      <c r="H185" s="892"/>
    </row>
    <row r="186" spans="2:9">
      <c r="B186" s="898"/>
      <c r="C186" s="892"/>
      <c r="D186" s="892"/>
      <c r="E186" s="892"/>
      <c r="F186" s="892"/>
      <c r="G186" s="892"/>
      <c r="H186" s="892"/>
    </row>
    <row r="187" spans="2:9">
      <c r="B187" s="898"/>
      <c r="C187" s="892"/>
      <c r="D187" s="892"/>
      <c r="E187" s="892"/>
      <c r="F187" s="892"/>
      <c r="G187" s="892"/>
      <c r="H187" s="892"/>
    </row>
    <row r="188" spans="2:9">
      <c r="B188" s="898"/>
      <c r="C188" s="892"/>
      <c r="D188" s="892"/>
      <c r="E188" s="892"/>
      <c r="F188" s="892"/>
      <c r="G188" s="892"/>
      <c r="H188" s="892"/>
    </row>
    <row r="189" spans="2:9">
      <c r="B189" s="898"/>
      <c r="C189" s="892"/>
      <c r="D189" s="892"/>
      <c r="E189" s="892"/>
      <c r="F189" s="892"/>
      <c r="G189" s="892"/>
      <c r="H189" s="892"/>
    </row>
    <row r="190" spans="2:9">
      <c r="B190" s="898"/>
      <c r="C190" s="892"/>
      <c r="D190" s="892"/>
      <c r="E190" s="892"/>
      <c r="F190" s="892"/>
      <c r="G190" s="892"/>
      <c r="H190" s="892"/>
    </row>
    <row r="191" spans="2:9">
      <c r="B191" s="898"/>
      <c r="C191" s="892"/>
      <c r="D191" s="892"/>
      <c r="E191" s="892"/>
      <c r="F191" s="892"/>
      <c r="G191" s="892"/>
      <c r="H191" s="892"/>
    </row>
    <row r="192" spans="2:9">
      <c r="B192" s="898"/>
      <c r="C192" s="892"/>
      <c r="D192" s="892"/>
      <c r="E192" s="892"/>
      <c r="F192" s="892"/>
      <c r="G192" s="892"/>
      <c r="H192" s="892"/>
    </row>
    <row r="193" spans="2:8">
      <c r="B193" s="898"/>
      <c r="C193" s="892"/>
      <c r="D193" s="892"/>
      <c r="E193" s="892"/>
      <c r="F193" s="892"/>
      <c r="G193" s="892"/>
      <c r="H193" s="892"/>
    </row>
    <row r="194" spans="2:8">
      <c r="B194" s="898"/>
      <c r="C194" s="892"/>
      <c r="D194" s="892"/>
      <c r="E194" s="892"/>
      <c r="F194" s="892"/>
      <c r="G194" s="892"/>
      <c r="H194" s="892"/>
    </row>
    <row r="195" spans="2:8">
      <c r="B195" s="898"/>
      <c r="C195" s="892"/>
      <c r="D195" s="892"/>
      <c r="E195" s="892"/>
      <c r="F195" s="892"/>
      <c r="G195" s="892"/>
      <c r="H195" s="892"/>
    </row>
    <row r="196" spans="2:8">
      <c r="B196" s="898"/>
      <c r="C196" s="892"/>
      <c r="D196" s="892"/>
      <c r="E196" s="892"/>
      <c r="F196" s="892"/>
      <c r="G196" s="892"/>
      <c r="H196" s="892"/>
    </row>
    <row r="197" spans="2:8">
      <c r="B197" s="898"/>
      <c r="C197" s="892"/>
      <c r="D197" s="892"/>
      <c r="E197" s="892"/>
      <c r="F197" s="892"/>
      <c r="G197" s="892"/>
      <c r="H197" s="892"/>
    </row>
    <row r="198" spans="2:8">
      <c r="B198" s="898"/>
      <c r="C198" s="892"/>
      <c r="D198" s="892"/>
      <c r="E198" s="892"/>
      <c r="F198" s="892"/>
      <c r="G198" s="892"/>
      <c r="H198" s="892"/>
    </row>
    <row r="199" spans="2:8">
      <c r="B199" s="898"/>
      <c r="C199" s="892"/>
      <c r="D199" s="892"/>
      <c r="E199" s="892"/>
      <c r="F199" s="892"/>
      <c r="G199" s="892"/>
      <c r="H199" s="892"/>
    </row>
    <row r="200" spans="2:8">
      <c r="B200" s="898"/>
      <c r="C200" s="892"/>
      <c r="D200" s="892"/>
      <c r="E200" s="892"/>
      <c r="F200" s="892"/>
      <c r="G200" s="892"/>
      <c r="H200" s="892"/>
    </row>
    <row r="201" spans="2:8">
      <c r="B201" s="898"/>
      <c r="C201" s="892"/>
      <c r="D201" s="892"/>
      <c r="E201" s="892"/>
      <c r="F201" s="892"/>
      <c r="G201" s="892"/>
      <c r="H201" s="892"/>
    </row>
    <row r="202" spans="2:8">
      <c r="B202" s="898"/>
      <c r="C202" s="892"/>
      <c r="D202" s="892"/>
      <c r="E202" s="892"/>
      <c r="F202" s="892"/>
      <c r="G202" s="892"/>
      <c r="H202" s="892"/>
    </row>
    <row r="203" spans="2:8">
      <c r="B203" s="898"/>
      <c r="C203" s="892"/>
      <c r="D203" s="892"/>
      <c r="E203" s="892"/>
      <c r="F203" s="892"/>
      <c r="G203" s="892"/>
      <c r="H203" s="892"/>
    </row>
    <row r="204" spans="2:8">
      <c r="B204" s="898"/>
      <c r="C204" s="892"/>
      <c r="D204" s="892"/>
      <c r="E204" s="892"/>
      <c r="F204" s="892"/>
      <c r="G204" s="892"/>
      <c r="H204" s="892"/>
    </row>
    <row r="205" spans="2:8">
      <c r="B205" s="898"/>
      <c r="C205" s="892"/>
      <c r="D205" s="892"/>
      <c r="E205" s="892"/>
      <c r="F205" s="892"/>
      <c r="G205" s="892"/>
      <c r="H205" s="892"/>
    </row>
    <row r="206" spans="2:8">
      <c r="B206" s="898"/>
      <c r="C206" s="892"/>
      <c r="D206" s="892"/>
      <c r="E206" s="892"/>
      <c r="F206" s="892"/>
      <c r="G206" s="892"/>
      <c r="H206" s="892"/>
    </row>
    <row r="207" spans="2:8">
      <c r="B207" s="898"/>
      <c r="C207" s="892"/>
      <c r="D207" s="892"/>
      <c r="E207" s="892"/>
      <c r="F207" s="892"/>
      <c r="G207" s="892"/>
      <c r="H207" s="892"/>
    </row>
    <row r="208" spans="2:8">
      <c r="B208" s="898"/>
      <c r="C208" s="892"/>
      <c r="D208" s="892"/>
      <c r="E208" s="892"/>
      <c r="F208" s="892"/>
      <c r="G208" s="892"/>
      <c r="H208" s="892"/>
    </row>
    <row r="209" spans="2:8">
      <c r="B209" s="898"/>
      <c r="C209" s="892"/>
      <c r="D209" s="892"/>
      <c r="E209" s="892"/>
      <c r="F209" s="892"/>
      <c r="G209" s="892"/>
      <c r="H209" s="892"/>
    </row>
    <row r="210" spans="2:8">
      <c r="B210" s="898"/>
      <c r="C210" s="892"/>
      <c r="D210" s="892"/>
      <c r="E210" s="892"/>
      <c r="F210" s="892"/>
      <c r="G210" s="892"/>
      <c r="H210" s="892"/>
    </row>
    <row r="211" spans="2:8">
      <c r="B211" s="898"/>
      <c r="C211" s="892"/>
      <c r="D211" s="892"/>
      <c r="E211" s="892"/>
      <c r="F211" s="892"/>
      <c r="G211" s="892"/>
      <c r="H211" s="892"/>
    </row>
    <row r="212" spans="2:8">
      <c r="B212" s="898"/>
      <c r="C212" s="892"/>
      <c r="D212" s="892"/>
      <c r="E212" s="892"/>
      <c r="F212" s="892"/>
      <c r="G212" s="892"/>
      <c r="H212" s="892"/>
    </row>
    <row r="213" spans="2:8">
      <c r="B213" s="898"/>
      <c r="C213" s="892"/>
      <c r="D213" s="892"/>
      <c r="E213" s="892"/>
      <c r="F213" s="892"/>
      <c r="G213" s="892"/>
      <c r="H213" s="892"/>
    </row>
    <row r="214" spans="2:8">
      <c r="B214" s="898"/>
      <c r="C214" s="892"/>
      <c r="D214" s="892"/>
      <c r="E214" s="892"/>
      <c r="F214" s="892"/>
      <c r="G214" s="892"/>
      <c r="H214" s="892"/>
    </row>
    <row r="215" spans="2:8">
      <c r="B215" s="898"/>
      <c r="C215" s="892"/>
      <c r="D215" s="892"/>
      <c r="E215" s="892"/>
      <c r="F215" s="892"/>
      <c r="G215" s="892"/>
      <c r="H215" s="892"/>
    </row>
    <row r="216" spans="2:8">
      <c r="B216" s="898"/>
      <c r="C216" s="892"/>
      <c r="D216" s="892"/>
      <c r="E216" s="892"/>
      <c r="F216" s="892"/>
      <c r="G216" s="892"/>
      <c r="H216" s="892"/>
    </row>
    <row r="217" spans="2:8">
      <c r="B217" s="898"/>
      <c r="C217" s="892"/>
      <c r="D217" s="892"/>
      <c r="E217" s="892"/>
      <c r="F217" s="892"/>
      <c r="G217" s="892"/>
      <c r="H217" s="892"/>
    </row>
    <row r="218" spans="2:8">
      <c r="B218" s="898"/>
      <c r="C218" s="892"/>
      <c r="D218" s="892"/>
      <c r="E218" s="892"/>
      <c r="F218" s="892"/>
      <c r="G218" s="892"/>
      <c r="H218" s="892"/>
    </row>
    <row r="219" spans="2:8">
      <c r="B219" s="898"/>
      <c r="C219" s="892"/>
      <c r="D219" s="892"/>
      <c r="E219" s="892"/>
      <c r="F219" s="892"/>
      <c r="G219" s="892"/>
      <c r="H219" s="892"/>
    </row>
    <row r="220" spans="2:8">
      <c r="B220" s="898"/>
      <c r="C220" s="892"/>
      <c r="D220" s="892"/>
      <c r="E220" s="892"/>
      <c r="F220" s="892"/>
      <c r="G220" s="892"/>
      <c r="H220" s="892"/>
    </row>
    <row r="221" spans="2:8">
      <c r="B221" s="898"/>
      <c r="C221" s="892"/>
      <c r="D221" s="892"/>
      <c r="E221" s="892"/>
      <c r="F221" s="892"/>
      <c r="G221" s="892"/>
      <c r="H221" s="892"/>
    </row>
    <row r="222" spans="2:8">
      <c r="B222" s="898"/>
      <c r="C222" s="892"/>
      <c r="D222" s="892"/>
      <c r="E222" s="892"/>
      <c r="F222" s="892"/>
      <c r="G222" s="892"/>
      <c r="H222" s="892"/>
    </row>
    <row r="223" spans="2:8">
      <c r="B223" s="898"/>
      <c r="C223" s="892"/>
      <c r="D223" s="892"/>
      <c r="E223" s="892"/>
      <c r="F223" s="892"/>
      <c r="G223" s="892"/>
      <c r="H223" s="892"/>
    </row>
    <row r="224" spans="2:8">
      <c r="B224" s="898"/>
      <c r="C224" s="892"/>
      <c r="D224" s="892"/>
      <c r="E224" s="892"/>
      <c r="F224" s="892"/>
      <c r="G224" s="892"/>
      <c r="H224" s="892"/>
    </row>
    <row r="225" spans="2:8">
      <c r="B225" s="898"/>
      <c r="C225" s="892"/>
      <c r="D225" s="892"/>
      <c r="E225" s="892"/>
      <c r="F225" s="892"/>
      <c r="G225" s="892"/>
      <c r="H225" s="892"/>
    </row>
    <row r="226" spans="2:8">
      <c r="B226" s="898"/>
      <c r="C226" s="892"/>
      <c r="D226" s="892"/>
      <c r="E226" s="892"/>
      <c r="F226" s="892"/>
      <c r="G226" s="892"/>
      <c r="H226" s="892"/>
    </row>
    <row r="227" spans="2:8">
      <c r="B227" s="898"/>
      <c r="C227" s="892"/>
      <c r="D227" s="892"/>
      <c r="E227" s="892"/>
      <c r="F227" s="892"/>
      <c r="G227" s="892"/>
      <c r="H227" s="892"/>
    </row>
    <row r="228" spans="2:8">
      <c r="B228" s="898"/>
      <c r="C228" s="892"/>
      <c r="D228" s="892"/>
      <c r="E228" s="892"/>
      <c r="F228" s="892"/>
      <c r="G228" s="892"/>
      <c r="H228" s="892"/>
    </row>
    <row r="229" spans="2:8">
      <c r="B229" s="898"/>
      <c r="C229" s="892"/>
      <c r="D229" s="892"/>
      <c r="E229" s="892"/>
      <c r="F229" s="892"/>
      <c r="G229" s="892"/>
      <c r="H229" s="892"/>
    </row>
    <row r="230" spans="2:8">
      <c r="B230" s="898"/>
      <c r="C230" s="892"/>
      <c r="D230" s="892"/>
      <c r="E230" s="892"/>
      <c r="F230" s="892"/>
      <c r="G230" s="892"/>
      <c r="H230" s="892"/>
    </row>
    <row r="231" spans="2:8">
      <c r="B231" s="898"/>
      <c r="C231" s="892"/>
      <c r="D231" s="892"/>
      <c r="E231" s="892"/>
      <c r="F231" s="892"/>
      <c r="G231" s="892"/>
      <c r="H231" s="892"/>
    </row>
    <row r="232" spans="2:8">
      <c r="B232" s="898"/>
      <c r="C232" s="892"/>
      <c r="D232" s="892"/>
      <c r="E232" s="892"/>
      <c r="F232" s="892"/>
      <c r="G232" s="892"/>
      <c r="H232" s="892"/>
    </row>
    <row r="233" spans="2:8">
      <c r="B233" s="898"/>
      <c r="C233" s="892"/>
      <c r="D233" s="892"/>
      <c r="E233" s="892"/>
      <c r="F233" s="892"/>
      <c r="G233" s="892"/>
      <c r="H233" s="892"/>
    </row>
    <row r="234" spans="2:8">
      <c r="B234" s="898"/>
      <c r="C234" s="892"/>
      <c r="D234" s="892"/>
      <c r="E234" s="892"/>
      <c r="F234" s="892"/>
      <c r="G234" s="892"/>
      <c r="H234" s="892"/>
    </row>
    <row r="235" spans="2:8">
      <c r="B235" s="898"/>
      <c r="C235" s="892"/>
      <c r="D235" s="892"/>
      <c r="E235" s="892"/>
      <c r="F235" s="892"/>
      <c r="G235" s="892"/>
      <c r="H235" s="892"/>
    </row>
    <row r="236" spans="2:8">
      <c r="B236" s="898"/>
      <c r="C236" s="892"/>
      <c r="D236" s="892"/>
      <c r="E236" s="892"/>
      <c r="F236" s="892"/>
      <c r="G236" s="892"/>
      <c r="H236" s="892"/>
    </row>
    <row r="237" spans="2:8">
      <c r="B237" s="898"/>
      <c r="C237" s="892"/>
      <c r="D237" s="892"/>
      <c r="E237" s="892"/>
      <c r="F237" s="892"/>
      <c r="G237" s="892"/>
      <c r="H237" s="892"/>
    </row>
    <row r="238" spans="2:8">
      <c r="B238" s="898"/>
      <c r="C238" s="892"/>
      <c r="D238" s="892"/>
      <c r="E238" s="892"/>
      <c r="F238" s="892"/>
      <c r="G238" s="892"/>
      <c r="H238" s="892"/>
    </row>
    <row r="239" spans="2:8">
      <c r="B239" s="898"/>
      <c r="C239" s="892"/>
      <c r="D239" s="892"/>
      <c r="E239" s="892"/>
      <c r="F239" s="892"/>
      <c r="G239" s="892"/>
      <c r="H239" s="892"/>
    </row>
    <row r="240" spans="2:8">
      <c r="B240" s="898"/>
      <c r="C240" s="892"/>
      <c r="D240" s="892"/>
      <c r="E240" s="892"/>
      <c r="F240" s="892"/>
      <c r="G240" s="892"/>
      <c r="H240" s="892"/>
    </row>
    <row r="241" spans="2:8">
      <c r="B241" s="898"/>
      <c r="C241" s="892"/>
      <c r="D241" s="892"/>
      <c r="E241" s="892"/>
      <c r="F241" s="892"/>
      <c r="G241" s="892"/>
      <c r="H241" s="892"/>
    </row>
    <row r="242" spans="2:8">
      <c r="B242" s="898"/>
      <c r="C242" s="892"/>
      <c r="D242" s="892"/>
      <c r="E242" s="892"/>
      <c r="F242" s="892"/>
      <c r="G242" s="892"/>
      <c r="H242" s="892"/>
    </row>
    <row r="243" spans="2:8">
      <c r="B243" s="898"/>
      <c r="C243" s="892"/>
      <c r="D243" s="892"/>
      <c r="E243" s="892"/>
      <c r="F243" s="892"/>
      <c r="G243" s="892"/>
      <c r="H243" s="892"/>
    </row>
    <row r="244" spans="2:8">
      <c r="B244" s="898"/>
      <c r="C244" s="892"/>
      <c r="D244" s="892"/>
      <c r="E244" s="892"/>
      <c r="F244" s="892"/>
      <c r="G244" s="892"/>
      <c r="H244" s="892"/>
    </row>
    <row r="245" spans="2:8">
      <c r="B245" s="898"/>
      <c r="C245" s="892"/>
      <c r="D245" s="892"/>
      <c r="E245" s="892"/>
      <c r="F245" s="892"/>
      <c r="G245" s="892"/>
      <c r="H245" s="892"/>
    </row>
    <row r="246" spans="2:8">
      <c r="B246" s="898"/>
      <c r="C246" s="892"/>
      <c r="D246" s="892"/>
      <c r="E246" s="892"/>
      <c r="F246" s="892"/>
      <c r="G246" s="892"/>
      <c r="H246" s="892"/>
    </row>
    <row r="247" spans="2:8">
      <c r="B247" s="898"/>
      <c r="C247" s="892"/>
      <c r="D247" s="892"/>
      <c r="E247" s="892"/>
      <c r="F247" s="892"/>
      <c r="G247" s="892"/>
      <c r="H247" s="892"/>
    </row>
    <row r="248" spans="2:8">
      <c r="B248" s="898"/>
      <c r="C248" s="892"/>
      <c r="D248" s="892"/>
      <c r="E248" s="892"/>
      <c r="F248" s="892"/>
      <c r="G248" s="892"/>
      <c r="H248" s="892"/>
    </row>
    <row r="249" spans="2:8">
      <c r="B249" s="898"/>
      <c r="C249" s="892"/>
      <c r="D249" s="892"/>
      <c r="E249" s="892"/>
      <c r="F249" s="892"/>
      <c r="G249" s="892"/>
      <c r="H249" s="892"/>
    </row>
    <row r="250" spans="2:8">
      <c r="B250" s="898"/>
      <c r="C250" s="892"/>
      <c r="D250" s="892"/>
      <c r="E250" s="892"/>
      <c r="F250" s="892"/>
      <c r="G250" s="892"/>
      <c r="H250" s="892"/>
    </row>
    <row r="251" spans="2:8">
      <c r="B251" s="898"/>
      <c r="C251" s="892"/>
      <c r="D251" s="892"/>
      <c r="E251" s="892"/>
      <c r="F251" s="892"/>
      <c r="G251" s="892"/>
      <c r="H251" s="892"/>
    </row>
    <row r="252" spans="2:8">
      <c r="B252" s="898"/>
      <c r="C252" s="892"/>
      <c r="D252" s="892"/>
      <c r="E252" s="892"/>
      <c r="F252" s="892"/>
      <c r="G252" s="892"/>
      <c r="H252" s="892"/>
    </row>
    <row r="253" spans="2:8">
      <c r="B253" s="898"/>
      <c r="C253" s="892"/>
      <c r="D253" s="892"/>
      <c r="E253" s="892"/>
      <c r="F253" s="892"/>
      <c r="G253" s="892"/>
      <c r="H253" s="892"/>
    </row>
    <row r="254" spans="2:8">
      <c r="B254" s="898"/>
      <c r="C254" s="892"/>
      <c r="D254" s="892"/>
      <c r="E254" s="892"/>
      <c r="F254" s="892"/>
      <c r="G254" s="892"/>
      <c r="H254" s="892"/>
    </row>
    <row r="255" spans="2:8">
      <c r="B255" s="898"/>
      <c r="C255" s="892"/>
      <c r="D255" s="892"/>
      <c r="E255" s="892"/>
      <c r="F255" s="892"/>
      <c r="G255" s="892"/>
      <c r="H255" s="892"/>
    </row>
    <row r="256" spans="2:8">
      <c r="B256" s="898"/>
      <c r="C256" s="892"/>
      <c r="D256" s="892"/>
      <c r="E256" s="892"/>
      <c r="F256" s="892"/>
      <c r="G256" s="892"/>
      <c r="H256" s="892"/>
    </row>
    <row r="257" spans="2:8">
      <c r="B257" s="898"/>
      <c r="C257" s="892"/>
      <c r="D257" s="892"/>
      <c r="E257" s="892"/>
      <c r="F257" s="892"/>
      <c r="G257" s="892"/>
      <c r="H257" s="892"/>
    </row>
    <row r="258" spans="2:8">
      <c r="B258" s="898"/>
      <c r="C258" s="892"/>
      <c r="D258" s="892"/>
      <c r="E258" s="892"/>
      <c r="F258" s="892"/>
      <c r="G258" s="892"/>
      <c r="H258" s="892"/>
    </row>
    <row r="259" spans="2:8">
      <c r="B259" s="898"/>
      <c r="C259" s="892"/>
      <c r="D259" s="892"/>
      <c r="E259" s="892"/>
      <c r="F259" s="892"/>
      <c r="G259" s="892"/>
      <c r="H259" s="892"/>
    </row>
    <row r="260" spans="2:8">
      <c r="B260" s="898"/>
      <c r="C260" s="892"/>
      <c r="D260" s="892"/>
      <c r="E260" s="892"/>
      <c r="F260" s="892"/>
      <c r="G260" s="892"/>
      <c r="H260" s="892"/>
    </row>
    <row r="261" spans="2:8">
      <c r="B261" s="898"/>
      <c r="C261" s="892"/>
      <c r="D261" s="892"/>
      <c r="E261" s="892"/>
      <c r="F261" s="892"/>
      <c r="G261" s="892"/>
      <c r="H261" s="892"/>
    </row>
    <row r="262" spans="2:8">
      <c r="B262" s="898"/>
      <c r="C262" s="892"/>
      <c r="D262" s="892"/>
      <c r="E262" s="892"/>
      <c r="F262" s="892"/>
      <c r="G262" s="892"/>
      <c r="H262" s="892"/>
    </row>
    <row r="263" spans="2:8">
      <c r="B263" s="898"/>
      <c r="C263" s="892"/>
      <c r="D263" s="892"/>
      <c r="E263" s="892"/>
      <c r="F263" s="892"/>
      <c r="G263" s="892"/>
      <c r="H263" s="892"/>
    </row>
    <row r="264" spans="2:8">
      <c r="B264" s="898"/>
      <c r="C264" s="892"/>
      <c r="D264" s="892"/>
      <c r="E264" s="892"/>
      <c r="F264" s="892"/>
      <c r="G264" s="892"/>
      <c r="H264" s="892"/>
    </row>
    <row r="265" spans="2:8">
      <c r="B265" s="898"/>
      <c r="C265" s="892"/>
      <c r="D265" s="892"/>
      <c r="E265" s="892"/>
      <c r="F265" s="892"/>
      <c r="G265" s="892"/>
      <c r="H265" s="892"/>
    </row>
    <row r="266" spans="2:8">
      <c r="B266" s="898"/>
      <c r="C266" s="892"/>
      <c r="D266" s="892"/>
      <c r="E266" s="892"/>
      <c r="F266" s="892"/>
      <c r="G266" s="892"/>
      <c r="H266" s="892"/>
    </row>
    <row r="267" spans="2:8">
      <c r="B267" s="898"/>
      <c r="C267" s="892"/>
      <c r="D267" s="892"/>
      <c r="E267" s="892"/>
      <c r="F267" s="892"/>
      <c r="G267" s="892"/>
      <c r="H267" s="892"/>
    </row>
    <row r="268" spans="2:8">
      <c r="B268" s="898"/>
      <c r="C268" s="892"/>
      <c r="D268" s="892"/>
      <c r="E268" s="892"/>
      <c r="F268" s="892"/>
      <c r="G268" s="892"/>
      <c r="H268" s="892"/>
    </row>
    <row r="269" spans="2:8">
      <c r="B269" s="898"/>
      <c r="C269" s="892"/>
      <c r="D269" s="892"/>
      <c r="E269" s="892"/>
      <c r="F269" s="892"/>
      <c r="G269" s="892"/>
      <c r="H269" s="892"/>
    </row>
    <row r="270" spans="2:8">
      <c r="B270" s="898"/>
      <c r="C270" s="892"/>
      <c r="D270" s="892"/>
      <c r="E270" s="892"/>
      <c r="F270" s="892"/>
      <c r="G270" s="892"/>
      <c r="H270" s="892"/>
    </row>
    <row r="271" spans="2:8">
      <c r="B271" s="898"/>
      <c r="C271" s="892"/>
      <c r="D271" s="892"/>
      <c r="E271" s="892"/>
      <c r="F271" s="892"/>
      <c r="G271" s="892"/>
      <c r="H271" s="892"/>
    </row>
    <row r="272" spans="2:8">
      <c r="B272" s="898"/>
      <c r="C272" s="892"/>
      <c r="D272" s="892"/>
      <c r="E272" s="892"/>
      <c r="F272" s="892"/>
      <c r="G272" s="892"/>
      <c r="H272" s="892"/>
    </row>
    <row r="273" spans="2:8">
      <c r="B273" s="898"/>
      <c r="C273" s="892"/>
      <c r="D273" s="892"/>
      <c r="E273" s="892"/>
      <c r="F273" s="892"/>
      <c r="G273" s="892"/>
      <c r="H273" s="892"/>
    </row>
    <row r="274" spans="2:8">
      <c r="B274" s="898"/>
      <c r="C274" s="892"/>
      <c r="D274" s="892"/>
      <c r="E274" s="892"/>
      <c r="F274" s="892"/>
      <c r="G274" s="892"/>
      <c r="H274" s="892"/>
    </row>
    <row r="275" spans="2:8">
      <c r="B275" s="898"/>
      <c r="C275" s="892"/>
      <c r="D275" s="892"/>
      <c r="E275" s="892"/>
      <c r="F275" s="892"/>
      <c r="G275" s="892"/>
      <c r="H275" s="892"/>
    </row>
    <row r="276" spans="2:8">
      <c r="B276" s="898"/>
      <c r="C276" s="892"/>
      <c r="D276" s="892"/>
      <c r="E276" s="892"/>
      <c r="F276" s="892"/>
      <c r="G276" s="892"/>
      <c r="H276" s="892"/>
    </row>
    <row r="277" spans="2:8">
      <c r="B277" s="898"/>
      <c r="C277" s="892"/>
      <c r="D277" s="892"/>
      <c r="E277" s="892"/>
      <c r="F277" s="892"/>
      <c r="G277" s="892"/>
      <c r="H277" s="892"/>
    </row>
    <row r="278" spans="2:8">
      <c r="B278" s="898"/>
      <c r="C278" s="892"/>
      <c r="D278" s="892"/>
      <c r="E278" s="892"/>
      <c r="F278" s="892"/>
      <c r="G278" s="892"/>
      <c r="H278" s="892"/>
    </row>
    <row r="279" spans="2:8">
      <c r="B279" s="898"/>
      <c r="C279" s="892"/>
      <c r="D279" s="892"/>
      <c r="E279" s="892"/>
      <c r="F279" s="892"/>
      <c r="G279" s="892"/>
      <c r="H279" s="892"/>
    </row>
    <row r="280" spans="2:8">
      <c r="B280" s="898"/>
      <c r="C280" s="892"/>
      <c r="D280" s="892"/>
      <c r="E280" s="892"/>
      <c r="F280" s="892"/>
      <c r="G280" s="892"/>
      <c r="H280" s="892"/>
    </row>
    <row r="281" spans="2:8">
      <c r="B281" s="898"/>
      <c r="C281" s="892"/>
      <c r="D281" s="892"/>
      <c r="E281" s="892"/>
      <c r="F281" s="892"/>
      <c r="G281" s="892"/>
      <c r="H281" s="892"/>
    </row>
    <row r="282" spans="2:8">
      <c r="B282" s="898"/>
      <c r="C282" s="892"/>
      <c r="D282" s="892"/>
      <c r="E282" s="892"/>
      <c r="F282" s="892"/>
      <c r="G282" s="892"/>
      <c r="H282" s="892"/>
    </row>
    <row r="283" spans="2:8">
      <c r="B283" s="898"/>
      <c r="C283" s="892"/>
      <c r="D283" s="892"/>
      <c r="E283" s="892"/>
      <c r="F283" s="892"/>
      <c r="G283" s="892"/>
      <c r="H283" s="892"/>
    </row>
    <row r="284" spans="2:8">
      <c r="B284" s="898"/>
      <c r="C284" s="892"/>
      <c r="D284" s="892"/>
      <c r="E284" s="892"/>
      <c r="F284" s="892"/>
      <c r="G284" s="892"/>
      <c r="H284" s="892"/>
    </row>
    <row r="285" spans="2:8">
      <c r="B285" s="898"/>
      <c r="C285" s="892"/>
      <c r="D285" s="892"/>
      <c r="E285" s="892"/>
      <c r="F285" s="892"/>
      <c r="G285" s="892"/>
      <c r="H285" s="892"/>
    </row>
    <row r="286" spans="2:8">
      <c r="B286" s="898"/>
      <c r="C286" s="892"/>
      <c r="D286" s="892"/>
      <c r="E286" s="892"/>
      <c r="F286" s="892"/>
      <c r="G286" s="892"/>
      <c r="H286" s="892"/>
    </row>
    <row r="287" spans="2:8">
      <c r="B287" s="898"/>
      <c r="C287" s="892"/>
      <c r="D287" s="892"/>
      <c r="E287" s="892"/>
      <c r="F287" s="892"/>
      <c r="G287" s="892"/>
      <c r="H287" s="892"/>
    </row>
    <row r="288" spans="2:8">
      <c r="B288" s="898"/>
      <c r="C288" s="892"/>
      <c r="D288" s="892"/>
      <c r="E288" s="892"/>
      <c r="F288" s="892"/>
      <c r="G288" s="892"/>
      <c r="H288" s="892"/>
    </row>
    <row r="289" spans="2:8">
      <c r="B289" s="898"/>
      <c r="C289" s="892"/>
      <c r="D289" s="892"/>
      <c r="E289" s="892"/>
      <c r="F289" s="892"/>
      <c r="G289" s="892"/>
      <c r="H289" s="892"/>
    </row>
    <row r="290" spans="2:8">
      <c r="B290" s="898"/>
      <c r="C290" s="892"/>
      <c r="D290" s="892"/>
      <c r="E290" s="892"/>
      <c r="F290" s="892"/>
      <c r="G290" s="892"/>
      <c r="H290" s="892"/>
    </row>
    <row r="291" spans="2:8">
      <c r="B291" s="898"/>
      <c r="C291" s="892"/>
      <c r="D291" s="892"/>
      <c r="E291" s="892"/>
      <c r="F291" s="892"/>
      <c r="G291" s="892"/>
      <c r="H291" s="892"/>
    </row>
    <row r="292" spans="2:8">
      <c r="B292" s="898"/>
      <c r="C292" s="892"/>
      <c r="D292" s="892"/>
      <c r="E292" s="892"/>
      <c r="F292" s="892"/>
      <c r="G292" s="892"/>
      <c r="H292" s="892"/>
    </row>
    <row r="293" spans="2:8">
      <c r="B293" s="898"/>
      <c r="C293" s="892"/>
      <c r="D293" s="892"/>
      <c r="E293" s="892"/>
      <c r="F293" s="892"/>
      <c r="G293" s="892"/>
      <c r="H293" s="892"/>
    </row>
    <row r="294" spans="2:8">
      <c r="B294" s="898"/>
      <c r="C294" s="892"/>
      <c r="D294" s="892"/>
      <c r="E294" s="892"/>
      <c r="F294" s="892"/>
      <c r="G294" s="892"/>
      <c r="H294" s="892"/>
    </row>
    <row r="295" spans="2:8">
      <c r="B295" s="898"/>
      <c r="C295" s="892"/>
      <c r="D295" s="892"/>
      <c r="E295" s="892"/>
      <c r="F295" s="892"/>
      <c r="G295" s="892"/>
      <c r="H295" s="892"/>
    </row>
    <row r="296" spans="2:8">
      <c r="B296" s="898"/>
      <c r="C296" s="892"/>
      <c r="D296" s="892"/>
      <c r="E296" s="892"/>
      <c r="F296" s="892"/>
      <c r="G296" s="892"/>
      <c r="H296" s="892"/>
    </row>
    <row r="297" spans="2:8">
      <c r="B297" s="898"/>
      <c r="C297" s="892"/>
      <c r="D297" s="892"/>
      <c r="E297" s="892"/>
      <c r="F297" s="892"/>
      <c r="G297" s="892"/>
      <c r="H297" s="892"/>
    </row>
    <row r="298" spans="2:8">
      <c r="B298" s="898"/>
      <c r="C298" s="892"/>
      <c r="D298" s="892"/>
      <c r="E298" s="892"/>
      <c r="F298" s="892"/>
      <c r="G298" s="892"/>
      <c r="H298" s="892"/>
    </row>
    <row r="299" spans="2:8">
      <c r="B299" s="898"/>
      <c r="C299" s="892"/>
      <c r="D299" s="892"/>
      <c r="E299" s="892"/>
      <c r="F299" s="892"/>
      <c r="G299" s="892"/>
      <c r="H299" s="892"/>
    </row>
    <row r="300" spans="2:8">
      <c r="B300" s="898"/>
      <c r="C300" s="892"/>
      <c r="D300" s="892"/>
      <c r="E300" s="892"/>
      <c r="F300" s="892"/>
      <c r="G300" s="892"/>
      <c r="H300" s="892"/>
    </row>
    <row r="301" spans="2:8">
      <c r="B301" s="898"/>
      <c r="C301" s="892"/>
      <c r="D301" s="892"/>
      <c r="E301" s="892"/>
      <c r="F301" s="892"/>
      <c r="G301" s="892"/>
      <c r="H301" s="892"/>
    </row>
    <row r="302" spans="2:8">
      <c r="B302" s="898"/>
      <c r="C302" s="892"/>
      <c r="D302" s="892"/>
      <c r="E302" s="892"/>
      <c r="F302" s="892"/>
      <c r="G302" s="892"/>
      <c r="H302" s="892"/>
    </row>
    <row r="303" spans="2:8">
      <c r="B303" s="898"/>
      <c r="C303" s="892"/>
      <c r="D303" s="892"/>
      <c r="E303" s="892"/>
      <c r="F303" s="892"/>
      <c r="G303" s="892"/>
      <c r="H303" s="892"/>
    </row>
    <row r="304" spans="2:8">
      <c r="B304" s="898"/>
      <c r="C304" s="892"/>
      <c r="D304" s="892"/>
      <c r="E304" s="892"/>
      <c r="F304" s="892"/>
      <c r="G304" s="892"/>
      <c r="H304" s="892"/>
    </row>
    <row r="305" spans="2:8">
      <c r="B305" s="898"/>
      <c r="C305" s="892"/>
      <c r="D305" s="892"/>
      <c r="E305" s="892"/>
      <c r="F305" s="892"/>
      <c r="G305" s="892"/>
      <c r="H305" s="892"/>
    </row>
    <row r="306" spans="2:8">
      <c r="B306" s="898"/>
      <c r="C306" s="892"/>
      <c r="D306" s="892"/>
      <c r="E306" s="892"/>
      <c r="F306" s="892"/>
      <c r="G306" s="892"/>
      <c r="H306" s="892"/>
    </row>
    <row r="307" spans="2:8">
      <c r="B307" s="898"/>
      <c r="C307" s="892"/>
      <c r="D307" s="892"/>
      <c r="E307" s="892"/>
      <c r="F307" s="892"/>
      <c r="G307" s="892"/>
      <c r="H307" s="892"/>
    </row>
    <row r="308" spans="2:8">
      <c r="B308" s="898"/>
      <c r="C308" s="892"/>
      <c r="D308" s="892"/>
      <c r="E308" s="892"/>
      <c r="F308" s="892"/>
      <c r="G308" s="892"/>
      <c r="H308" s="892"/>
    </row>
    <row r="309" spans="2:8">
      <c r="B309" s="898"/>
      <c r="C309" s="892"/>
      <c r="D309" s="892"/>
      <c r="E309" s="892"/>
      <c r="F309" s="892"/>
      <c r="G309" s="892"/>
      <c r="H309" s="892"/>
    </row>
    <row r="310" spans="2:8">
      <c r="B310" s="898"/>
      <c r="C310" s="892"/>
      <c r="D310" s="892"/>
      <c r="E310" s="892"/>
      <c r="F310" s="892"/>
      <c r="G310" s="892"/>
      <c r="H310" s="892"/>
    </row>
    <row r="311" spans="2:8">
      <c r="B311" s="898"/>
      <c r="C311" s="892"/>
      <c r="D311" s="892"/>
      <c r="E311" s="892"/>
      <c r="F311" s="892"/>
      <c r="G311" s="892"/>
      <c r="H311" s="892"/>
    </row>
    <row r="312" spans="2:8">
      <c r="B312" s="898"/>
      <c r="C312" s="892"/>
      <c r="D312" s="892"/>
      <c r="E312" s="892"/>
      <c r="F312" s="892"/>
      <c r="G312" s="892"/>
      <c r="H312" s="892"/>
    </row>
    <row r="313" spans="2:8">
      <c r="B313" s="898"/>
      <c r="C313" s="892"/>
      <c r="D313" s="892"/>
      <c r="E313" s="892"/>
      <c r="F313" s="892"/>
      <c r="G313" s="892"/>
      <c r="H313" s="892"/>
    </row>
    <row r="314" spans="2:8">
      <c r="B314" s="898"/>
      <c r="C314" s="892"/>
      <c r="D314" s="892"/>
      <c r="E314" s="892"/>
      <c r="F314" s="892"/>
      <c r="G314" s="892"/>
      <c r="H314" s="892"/>
    </row>
    <row r="315" spans="2:8">
      <c r="B315" s="898"/>
      <c r="C315" s="892"/>
      <c r="D315" s="892"/>
      <c r="E315" s="892"/>
      <c r="F315" s="892"/>
      <c r="G315" s="892"/>
      <c r="H315" s="892"/>
    </row>
    <row r="316" spans="2:8">
      <c r="B316" s="898"/>
      <c r="C316" s="892"/>
      <c r="D316" s="892"/>
      <c r="E316" s="892"/>
      <c r="F316" s="892"/>
      <c r="G316" s="892"/>
      <c r="H316" s="892"/>
    </row>
    <row r="317" spans="2:8">
      <c r="B317" s="898"/>
      <c r="C317" s="892"/>
      <c r="D317" s="892"/>
      <c r="E317" s="892"/>
      <c r="F317" s="892"/>
      <c r="G317" s="892"/>
      <c r="H317" s="892"/>
    </row>
    <row r="318" spans="2:8">
      <c r="B318" s="898"/>
      <c r="C318" s="892"/>
      <c r="D318" s="892"/>
      <c r="E318" s="892"/>
      <c r="F318" s="892"/>
      <c r="G318" s="892"/>
      <c r="H318" s="892"/>
    </row>
    <row r="319" spans="2:8">
      <c r="B319" s="898"/>
      <c r="C319" s="892"/>
      <c r="D319" s="892"/>
      <c r="E319" s="892"/>
      <c r="F319" s="892"/>
      <c r="G319" s="892"/>
      <c r="H319" s="892"/>
    </row>
    <row r="320" spans="2:8">
      <c r="B320" s="898"/>
      <c r="C320" s="892"/>
      <c r="D320" s="892"/>
      <c r="E320" s="892"/>
      <c r="F320" s="892"/>
      <c r="G320" s="892"/>
      <c r="H320" s="892"/>
    </row>
    <row r="321" spans="2:8">
      <c r="B321" s="898"/>
      <c r="C321" s="892"/>
      <c r="D321" s="892"/>
      <c r="E321" s="892"/>
      <c r="F321" s="892"/>
      <c r="G321" s="892"/>
      <c r="H321" s="892"/>
    </row>
    <row r="322" spans="2:8">
      <c r="B322" s="898"/>
      <c r="C322" s="892"/>
      <c r="D322" s="892"/>
      <c r="E322" s="892"/>
      <c r="F322" s="892"/>
      <c r="G322" s="892"/>
      <c r="H322" s="892"/>
    </row>
    <row r="323" spans="2:8">
      <c r="B323" s="898"/>
      <c r="C323" s="892"/>
      <c r="D323" s="892"/>
      <c r="E323" s="892"/>
      <c r="F323" s="892"/>
      <c r="G323" s="892"/>
      <c r="H323" s="892"/>
    </row>
    <row r="324" spans="2:8">
      <c r="B324" s="898"/>
      <c r="C324" s="892"/>
      <c r="D324" s="892"/>
      <c r="E324" s="892"/>
      <c r="F324" s="892"/>
      <c r="G324" s="892"/>
      <c r="H324" s="892"/>
    </row>
    <row r="325" spans="2:8">
      <c r="B325" s="898"/>
      <c r="C325" s="892"/>
      <c r="D325" s="892"/>
      <c r="E325" s="892"/>
      <c r="F325" s="892"/>
      <c r="G325" s="892"/>
      <c r="H325" s="892"/>
    </row>
    <row r="326" spans="2:8">
      <c r="B326" s="898"/>
      <c r="C326" s="892"/>
      <c r="D326" s="892"/>
      <c r="E326" s="892"/>
      <c r="F326" s="892"/>
      <c r="G326" s="892"/>
      <c r="H326" s="892"/>
    </row>
    <row r="327" spans="2:8">
      <c r="B327" s="898"/>
      <c r="C327" s="892"/>
      <c r="D327" s="892"/>
      <c r="E327" s="892"/>
      <c r="F327" s="892"/>
      <c r="G327" s="892"/>
      <c r="H327" s="892"/>
    </row>
    <row r="328" spans="2:8">
      <c r="B328" s="898"/>
      <c r="C328" s="892"/>
      <c r="D328" s="892"/>
      <c r="E328" s="892"/>
      <c r="F328" s="892"/>
      <c r="G328" s="892"/>
      <c r="H328" s="892"/>
    </row>
    <row r="329" spans="2:8">
      <c r="B329" s="898"/>
      <c r="C329" s="892"/>
      <c r="D329" s="892"/>
      <c r="E329" s="892"/>
      <c r="F329" s="892"/>
      <c r="G329" s="892"/>
      <c r="H329" s="892"/>
    </row>
    <row r="330" spans="2:8">
      <c r="B330" s="898"/>
      <c r="C330" s="892"/>
      <c r="D330" s="892"/>
      <c r="E330" s="892"/>
      <c r="F330" s="892"/>
      <c r="G330" s="892"/>
      <c r="H330" s="892"/>
    </row>
    <row r="331" spans="2:8">
      <c r="B331" s="898"/>
      <c r="C331" s="892"/>
      <c r="D331" s="892"/>
      <c r="E331" s="892"/>
      <c r="F331" s="892"/>
      <c r="G331" s="892"/>
      <c r="H331" s="892"/>
    </row>
    <row r="332" spans="2:8">
      <c r="B332" s="898"/>
      <c r="C332" s="892"/>
      <c r="D332" s="892"/>
      <c r="E332" s="892"/>
      <c r="F332" s="892"/>
      <c r="G332" s="892"/>
      <c r="H332" s="892"/>
    </row>
    <row r="333" spans="2:8">
      <c r="B333" s="898"/>
      <c r="C333" s="892"/>
      <c r="D333" s="892"/>
      <c r="E333" s="892"/>
      <c r="F333" s="892"/>
      <c r="G333" s="892"/>
      <c r="H333" s="892"/>
    </row>
    <row r="334" spans="2:8">
      <c r="B334" s="898"/>
      <c r="C334" s="892"/>
      <c r="D334" s="892"/>
      <c r="E334" s="892"/>
      <c r="F334" s="892"/>
      <c r="G334" s="892"/>
      <c r="H334" s="892"/>
    </row>
    <row r="335" spans="2:8">
      <c r="B335" s="898"/>
      <c r="C335" s="892"/>
      <c r="D335" s="892"/>
      <c r="E335" s="892"/>
      <c r="F335" s="892"/>
      <c r="G335" s="892"/>
      <c r="H335" s="892"/>
    </row>
    <row r="336" spans="2:8">
      <c r="B336" s="898"/>
      <c r="C336" s="892"/>
      <c r="D336" s="892"/>
      <c r="E336" s="892"/>
      <c r="F336" s="892"/>
      <c r="G336" s="892"/>
      <c r="H336" s="892"/>
    </row>
    <row r="337" spans="2:8">
      <c r="B337" s="898"/>
      <c r="C337" s="892"/>
      <c r="D337" s="892"/>
      <c r="E337" s="892"/>
      <c r="F337" s="892"/>
      <c r="G337" s="892"/>
      <c r="H337" s="892"/>
    </row>
    <row r="338" spans="2:8">
      <c r="B338" s="898"/>
      <c r="C338" s="892"/>
      <c r="D338" s="892"/>
      <c r="E338" s="892"/>
      <c r="F338" s="892"/>
      <c r="G338" s="892"/>
      <c r="H338" s="892"/>
    </row>
    <row r="339" spans="2:8">
      <c r="B339" s="898"/>
      <c r="C339" s="892"/>
      <c r="D339" s="892"/>
      <c r="E339" s="892"/>
      <c r="F339" s="892"/>
      <c r="G339" s="892"/>
      <c r="H339" s="892"/>
    </row>
    <row r="340" spans="2:8">
      <c r="B340" s="898"/>
      <c r="C340" s="892"/>
      <c r="D340" s="892"/>
      <c r="E340" s="892"/>
      <c r="F340" s="892"/>
      <c r="G340" s="892"/>
      <c r="H340" s="892"/>
    </row>
    <row r="341" spans="2:8">
      <c r="B341" s="898"/>
      <c r="C341" s="892"/>
      <c r="D341" s="892"/>
      <c r="E341" s="892"/>
      <c r="F341" s="892"/>
      <c r="G341" s="892"/>
      <c r="H341" s="892"/>
    </row>
    <row r="342" spans="2:8">
      <c r="B342" s="898"/>
      <c r="C342" s="892"/>
      <c r="D342" s="892"/>
      <c r="E342" s="892"/>
      <c r="F342" s="892"/>
      <c r="G342" s="892"/>
      <c r="H342" s="892"/>
    </row>
    <row r="343" spans="2:8">
      <c r="B343" s="898"/>
      <c r="C343" s="892"/>
      <c r="D343" s="892"/>
      <c r="E343" s="892"/>
      <c r="F343" s="892"/>
      <c r="G343" s="892"/>
      <c r="H343" s="892"/>
    </row>
    <row r="344" spans="2:8">
      <c r="B344" s="898"/>
      <c r="C344" s="892"/>
      <c r="D344" s="892"/>
      <c r="E344" s="892"/>
      <c r="F344" s="892"/>
      <c r="G344" s="892"/>
      <c r="H344" s="892"/>
    </row>
    <row r="345" spans="2:8">
      <c r="B345" s="898"/>
      <c r="C345" s="892"/>
      <c r="D345" s="892"/>
      <c r="E345" s="892"/>
      <c r="F345" s="892"/>
      <c r="G345" s="892"/>
      <c r="H345" s="892"/>
    </row>
    <row r="346" spans="2:8">
      <c r="B346" s="898"/>
      <c r="C346" s="892"/>
      <c r="D346" s="892"/>
      <c r="E346" s="892"/>
      <c r="F346" s="892"/>
      <c r="G346" s="892"/>
      <c r="H346" s="892"/>
    </row>
    <row r="347" spans="2:8">
      <c r="B347" s="898"/>
      <c r="C347" s="892"/>
      <c r="D347" s="892"/>
      <c r="E347" s="892"/>
      <c r="F347" s="892"/>
      <c r="G347" s="892"/>
      <c r="H347" s="892"/>
    </row>
    <row r="348" spans="2:8">
      <c r="B348" s="898"/>
      <c r="C348" s="892"/>
      <c r="D348" s="892"/>
      <c r="E348" s="892"/>
      <c r="F348" s="892"/>
      <c r="G348" s="892"/>
      <c r="H348" s="892"/>
    </row>
    <row r="349" spans="2:8">
      <c r="B349" s="898"/>
      <c r="C349" s="892"/>
      <c r="D349" s="892"/>
      <c r="E349" s="892"/>
      <c r="F349" s="892"/>
      <c r="G349" s="892"/>
      <c r="H349" s="892"/>
    </row>
    <row r="350" spans="2:8">
      <c r="B350" s="898"/>
      <c r="C350" s="892"/>
      <c r="D350" s="892"/>
      <c r="E350" s="892"/>
      <c r="F350" s="892"/>
      <c r="G350" s="892"/>
      <c r="H350" s="892"/>
    </row>
    <row r="351" spans="2:8">
      <c r="B351" s="898"/>
      <c r="C351" s="892"/>
      <c r="D351" s="892"/>
      <c r="E351" s="892"/>
      <c r="F351" s="892"/>
      <c r="G351" s="892"/>
      <c r="H351" s="892"/>
    </row>
    <row r="352" spans="2:8">
      <c r="B352" s="898"/>
      <c r="C352" s="892"/>
      <c r="D352" s="892"/>
      <c r="E352" s="892"/>
      <c r="F352" s="892"/>
      <c r="G352" s="892"/>
      <c r="H352" s="892"/>
    </row>
    <row r="353" spans="2:8">
      <c r="B353" s="898"/>
      <c r="C353" s="892"/>
      <c r="D353" s="892"/>
      <c r="E353" s="892"/>
      <c r="F353" s="892"/>
      <c r="G353" s="892"/>
      <c r="H353" s="892"/>
    </row>
    <row r="354" spans="2:8">
      <c r="B354" s="898"/>
      <c r="C354" s="892"/>
      <c r="D354" s="892"/>
      <c r="E354" s="892"/>
      <c r="F354" s="892"/>
      <c r="G354" s="892"/>
      <c r="H354" s="892"/>
    </row>
    <row r="355" spans="2:8">
      <c r="B355" s="898"/>
      <c r="C355" s="892"/>
      <c r="D355" s="892"/>
      <c r="E355" s="892"/>
      <c r="F355" s="892"/>
      <c r="G355" s="892"/>
      <c r="H355" s="892"/>
    </row>
    <row r="356" spans="2:8">
      <c r="B356" s="898"/>
      <c r="C356" s="892"/>
      <c r="D356" s="892"/>
      <c r="E356" s="892"/>
      <c r="F356" s="892"/>
      <c r="G356" s="892"/>
      <c r="H356" s="892"/>
    </row>
    <row r="357" spans="2:8">
      <c r="B357" s="898"/>
      <c r="C357" s="892"/>
      <c r="D357" s="892"/>
      <c r="E357" s="892"/>
      <c r="F357" s="892"/>
      <c r="G357" s="892"/>
      <c r="H357" s="892"/>
    </row>
    <row r="358" spans="2:8">
      <c r="B358" s="898"/>
      <c r="C358" s="892"/>
      <c r="D358" s="892"/>
      <c r="E358" s="892"/>
      <c r="F358" s="892"/>
      <c r="G358" s="892"/>
      <c r="H358" s="892"/>
    </row>
    <row r="359" spans="2:8">
      <c r="B359" s="898"/>
      <c r="C359" s="892"/>
      <c r="D359" s="892"/>
      <c r="E359" s="892"/>
      <c r="F359" s="892"/>
      <c r="G359" s="892"/>
      <c r="H359" s="892"/>
    </row>
    <row r="360" spans="2:8">
      <c r="B360" s="898"/>
      <c r="C360" s="892"/>
      <c r="D360" s="892"/>
      <c r="E360" s="892"/>
      <c r="F360" s="892"/>
      <c r="G360" s="892"/>
      <c r="H360" s="892"/>
    </row>
    <row r="361" spans="2:8">
      <c r="B361" s="898"/>
      <c r="C361" s="892"/>
      <c r="D361" s="892"/>
      <c r="E361" s="892"/>
      <c r="F361" s="892"/>
      <c r="G361" s="892"/>
      <c r="H361" s="892"/>
    </row>
    <row r="362" spans="2:8">
      <c r="B362" s="898"/>
      <c r="C362" s="892"/>
      <c r="D362" s="892"/>
      <c r="E362" s="892"/>
      <c r="F362" s="892"/>
      <c r="G362" s="892"/>
      <c r="H362" s="892"/>
    </row>
    <row r="363" spans="2:8">
      <c r="B363" s="898"/>
      <c r="C363" s="892"/>
      <c r="D363" s="892"/>
      <c r="E363" s="892"/>
      <c r="F363" s="892"/>
      <c r="G363" s="892"/>
      <c r="H363" s="892"/>
    </row>
    <row r="364" spans="2:8">
      <c r="B364" s="898"/>
      <c r="C364" s="892"/>
      <c r="D364" s="892"/>
      <c r="E364" s="892"/>
      <c r="F364" s="892"/>
      <c r="G364" s="892"/>
      <c r="H364" s="892"/>
    </row>
    <row r="365" spans="2:8">
      <c r="B365" s="898"/>
      <c r="C365" s="892"/>
      <c r="D365" s="892"/>
      <c r="E365" s="892"/>
      <c r="F365" s="892"/>
      <c r="G365" s="892"/>
      <c r="H365" s="892"/>
    </row>
    <row r="366" spans="2:8">
      <c r="B366" s="898"/>
      <c r="C366" s="892"/>
      <c r="D366" s="892"/>
      <c r="E366" s="892"/>
      <c r="F366" s="892"/>
      <c r="G366" s="892"/>
      <c r="H366" s="892"/>
    </row>
    <row r="367" spans="2:8">
      <c r="B367" s="898"/>
      <c r="C367" s="892"/>
      <c r="D367" s="892"/>
      <c r="E367" s="892"/>
      <c r="F367" s="892"/>
      <c r="G367" s="892"/>
      <c r="H367" s="892"/>
    </row>
    <row r="368" spans="2:8">
      <c r="B368" s="898"/>
      <c r="C368" s="892"/>
      <c r="D368" s="892"/>
      <c r="E368" s="892"/>
      <c r="F368" s="892"/>
      <c r="G368" s="892"/>
      <c r="H368" s="892"/>
    </row>
    <row r="369" spans="2:8">
      <c r="B369" s="898"/>
      <c r="C369" s="892"/>
      <c r="D369" s="892"/>
      <c r="E369" s="892"/>
      <c r="F369" s="892"/>
      <c r="G369" s="892"/>
      <c r="H369" s="892"/>
    </row>
    <row r="370" spans="2:8">
      <c r="B370" s="898"/>
      <c r="C370" s="892"/>
      <c r="D370" s="892"/>
      <c r="E370" s="892"/>
      <c r="F370" s="892"/>
      <c r="G370" s="892"/>
      <c r="H370" s="892"/>
    </row>
    <row r="371" spans="2:8">
      <c r="B371" s="898"/>
      <c r="C371" s="892"/>
      <c r="D371" s="892"/>
      <c r="E371" s="892"/>
      <c r="F371" s="892"/>
      <c r="G371" s="892"/>
      <c r="H371" s="892"/>
    </row>
    <row r="372" spans="2:8">
      <c r="B372" s="898"/>
      <c r="C372" s="892"/>
      <c r="D372" s="892"/>
      <c r="E372" s="892"/>
      <c r="F372" s="892"/>
      <c r="G372" s="892"/>
      <c r="H372" s="892"/>
    </row>
    <row r="373" spans="2:8">
      <c r="B373" s="898"/>
      <c r="C373" s="892"/>
      <c r="D373" s="892"/>
      <c r="E373" s="892"/>
      <c r="F373" s="892"/>
      <c r="G373" s="892"/>
      <c r="H373" s="892"/>
    </row>
    <row r="374" spans="2:8">
      <c r="B374" s="898"/>
      <c r="C374" s="892"/>
      <c r="D374" s="892"/>
      <c r="E374" s="892"/>
      <c r="F374" s="892"/>
      <c r="G374" s="892"/>
      <c r="H374" s="892"/>
    </row>
    <row r="375" spans="2:8">
      <c r="B375" s="898"/>
      <c r="C375" s="892"/>
      <c r="D375" s="892"/>
      <c r="E375" s="892"/>
      <c r="F375" s="892"/>
      <c r="G375" s="892"/>
      <c r="H375" s="892"/>
    </row>
    <row r="376" spans="2:8">
      <c r="B376" s="898"/>
      <c r="C376" s="892"/>
      <c r="D376" s="892"/>
      <c r="E376" s="892"/>
      <c r="F376" s="892"/>
      <c r="G376" s="892"/>
      <c r="H376" s="892"/>
    </row>
    <row r="377" spans="2:8">
      <c r="B377" s="898"/>
      <c r="C377" s="892"/>
      <c r="D377" s="892"/>
      <c r="E377" s="892"/>
      <c r="F377" s="892"/>
      <c r="G377" s="892"/>
      <c r="H377" s="892"/>
    </row>
    <row r="378" spans="2:8">
      <c r="B378" s="898"/>
      <c r="C378" s="892"/>
      <c r="D378" s="892"/>
      <c r="E378" s="892"/>
      <c r="F378" s="892"/>
      <c r="G378" s="892"/>
      <c r="H378" s="892"/>
    </row>
    <row r="379" spans="2:8">
      <c r="B379" s="898"/>
      <c r="C379" s="892"/>
      <c r="D379" s="892"/>
      <c r="E379" s="892"/>
      <c r="F379" s="892"/>
      <c r="G379" s="892"/>
      <c r="H379" s="892"/>
    </row>
    <row r="380" spans="2:8">
      <c r="B380" s="898"/>
      <c r="C380" s="892"/>
      <c r="D380" s="892"/>
      <c r="E380" s="892"/>
      <c r="F380" s="892"/>
      <c r="G380" s="892"/>
      <c r="H380" s="892"/>
    </row>
    <row r="381" spans="2:8">
      <c r="B381" s="898"/>
      <c r="C381" s="892"/>
      <c r="D381" s="892"/>
      <c r="E381" s="892"/>
      <c r="F381" s="892"/>
      <c r="G381" s="892"/>
      <c r="H381" s="892"/>
    </row>
    <row r="382" spans="2:8">
      <c r="B382" s="898"/>
      <c r="C382" s="892"/>
      <c r="D382" s="892"/>
      <c r="E382" s="892"/>
      <c r="F382" s="892"/>
      <c r="G382" s="892"/>
      <c r="H382" s="892"/>
    </row>
    <row r="383" spans="2:8">
      <c r="B383" s="898"/>
      <c r="C383" s="892"/>
      <c r="D383" s="892"/>
      <c r="E383" s="892"/>
      <c r="F383" s="892"/>
      <c r="G383" s="892"/>
      <c r="H383" s="892"/>
    </row>
    <row r="384" spans="2:8">
      <c r="B384" s="898"/>
      <c r="C384" s="892"/>
      <c r="D384" s="892"/>
      <c r="E384" s="892"/>
      <c r="F384" s="892"/>
      <c r="G384" s="892"/>
      <c r="H384" s="892"/>
    </row>
    <row r="385" spans="2:8">
      <c r="B385" s="898"/>
      <c r="C385" s="892"/>
      <c r="D385" s="892"/>
      <c r="E385" s="892"/>
      <c r="F385" s="892"/>
      <c r="G385" s="892"/>
      <c r="H385" s="892"/>
    </row>
    <row r="386" spans="2:8">
      <c r="B386" s="898"/>
      <c r="C386" s="892"/>
      <c r="D386" s="892"/>
      <c r="E386" s="892"/>
      <c r="F386" s="892"/>
      <c r="G386" s="892"/>
      <c r="H386" s="892"/>
    </row>
    <row r="387" spans="2:8">
      <c r="B387" s="898"/>
      <c r="C387" s="892"/>
      <c r="D387" s="892"/>
      <c r="E387" s="892"/>
      <c r="F387" s="892"/>
      <c r="G387" s="892"/>
      <c r="H387" s="892"/>
    </row>
    <row r="388" spans="2:8">
      <c r="B388" s="898"/>
      <c r="C388" s="892"/>
      <c r="D388" s="892"/>
      <c r="E388" s="892"/>
      <c r="F388" s="892"/>
      <c r="G388" s="892"/>
      <c r="H388" s="892"/>
    </row>
    <row r="389" spans="2:8">
      <c r="B389" s="898"/>
      <c r="C389" s="892"/>
      <c r="D389" s="892"/>
      <c r="E389" s="892"/>
      <c r="F389" s="892"/>
      <c r="G389" s="892"/>
      <c r="H389" s="892"/>
    </row>
    <row r="390" spans="2:8">
      <c r="B390" s="898"/>
      <c r="C390" s="892"/>
      <c r="D390" s="892"/>
      <c r="E390" s="892"/>
      <c r="F390" s="892"/>
      <c r="G390" s="892"/>
      <c r="H390" s="892"/>
    </row>
    <row r="391" spans="2:8">
      <c r="B391" s="898"/>
      <c r="C391" s="892"/>
      <c r="D391" s="892"/>
      <c r="E391" s="892"/>
      <c r="F391" s="892"/>
      <c r="G391" s="892"/>
      <c r="H391" s="892"/>
    </row>
    <row r="392" spans="2:8">
      <c r="B392" s="898"/>
      <c r="C392" s="892"/>
      <c r="D392" s="892"/>
      <c r="E392" s="892"/>
      <c r="F392" s="892"/>
      <c r="G392" s="892"/>
      <c r="H392" s="892"/>
    </row>
    <row r="393" spans="2:8">
      <c r="B393" s="898"/>
      <c r="C393" s="892"/>
      <c r="D393" s="892"/>
      <c r="E393" s="892"/>
      <c r="F393" s="892"/>
      <c r="G393" s="892"/>
      <c r="H393" s="892"/>
    </row>
    <row r="394" spans="2:8">
      <c r="B394" s="898"/>
      <c r="C394" s="892"/>
      <c r="D394" s="892"/>
      <c r="E394" s="892"/>
      <c r="F394" s="892"/>
      <c r="G394" s="892"/>
      <c r="H394" s="892"/>
    </row>
    <row r="395" spans="2:8">
      <c r="B395" s="898"/>
      <c r="C395" s="892"/>
      <c r="D395" s="892"/>
      <c r="E395" s="892"/>
      <c r="F395" s="892"/>
      <c r="G395" s="892"/>
      <c r="H395" s="892"/>
    </row>
    <row r="396" spans="2:8">
      <c r="B396" s="898"/>
      <c r="C396" s="892"/>
      <c r="D396" s="892"/>
      <c r="E396" s="892"/>
      <c r="F396" s="892"/>
      <c r="G396" s="892"/>
      <c r="H396" s="892"/>
    </row>
    <row r="397" spans="2:8">
      <c r="B397" s="898"/>
      <c r="C397" s="892"/>
      <c r="D397" s="892"/>
      <c r="E397" s="892"/>
      <c r="F397" s="892"/>
      <c r="G397" s="892"/>
      <c r="H397" s="892"/>
    </row>
    <row r="398" spans="2:8">
      <c r="B398" s="898"/>
      <c r="C398" s="892"/>
      <c r="D398" s="892"/>
      <c r="E398" s="892"/>
      <c r="F398" s="892"/>
      <c r="G398" s="892"/>
      <c r="H398" s="892"/>
    </row>
    <row r="399" spans="2:8">
      <c r="B399" s="898"/>
      <c r="C399" s="892"/>
      <c r="D399" s="892"/>
      <c r="E399" s="892"/>
      <c r="F399" s="892"/>
      <c r="G399" s="892"/>
      <c r="H399" s="892"/>
    </row>
    <row r="400" spans="2:8">
      <c r="B400" s="898"/>
      <c r="C400" s="892"/>
      <c r="D400" s="892"/>
      <c r="E400" s="892"/>
      <c r="F400" s="892"/>
      <c r="G400" s="892"/>
      <c r="H400" s="892"/>
    </row>
    <row r="401" spans="2:8">
      <c r="B401" s="898"/>
      <c r="C401" s="892"/>
      <c r="D401" s="892"/>
      <c r="E401" s="892"/>
      <c r="F401" s="892"/>
      <c r="G401" s="892"/>
      <c r="H401" s="892"/>
    </row>
    <row r="402" spans="2:8">
      <c r="B402" s="898"/>
      <c r="C402" s="892"/>
      <c r="D402" s="892"/>
      <c r="E402" s="892"/>
      <c r="F402" s="892"/>
      <c r="G402" s="892"/>
      <c r="H402" s="892"/>
    </row>
    <row r="403" spans="2:8">
      <c r="B403" s="898"/>
      <c r="C403" s="892"/>
      <c r="D403" s="892"/>
      <c r="E403" s="892"/>
      <c r="F403" s="892"/>
      <c r="G403" s="892"/>
      <c r="H403" s="892"/>
    </row>
    <row r="404" spans="2:8">
      <c r="B404" s="898"/>
      <c r="C404" s="892"/>
      <c r="D404" s="892"/>
      <c r="E404" s="892"/>
      <c r="F404" s="892"/>
      <c r="G404" s="892"/>
      <c r="H404" s="892"/>
    </row>
    <row r="405" spans="2:8">
      <c r="B405" s="898"/>
      <c r="C405" s="892"/>
      <c r="D405" s="892"/>
      <c r="E405" s="892"/>
      <c r="F405" s="892"/>
      <c r="G405" s="892"/>
      <c r="H405" s="892"/>
    </row>
    <row r="406" spans="2:8">
      <c r="B406" s="898"/>
      <c r="C406" s="892"/>
      <c r="D406" s="892"/>
      <c r="E406" s="892"/>
      <c r="F406" s="892"/>
      <c r="G406" s="892"/>
      <c r="H406" s="892"/>
    </row>
    <row r="407" spans="2:8">
      <c r="B407" s="898"/>
      <c r="C407" s="892"/>
      <c r="D407" s="892"/>
      <c r="E407" s="892"/>
      <c r="F407" s="892"/>
      <c r="G407" s="892"/>
      <c r="H407" s="892"/>
    </row>
    <row r="408" spans="2:8">
      <c r="B408" s="898"/>
      <c r="C408" s="892"/>
      <c r="D408" s="892"/>
      <c r="E408" s="892"/>
      <c r="F408" s="892"/>
      <c r="G408" s="892"/>
      <c r="H408" s="892"/>
    </row>
    <row r="409" spans="2:8">
      <c r="B409" s="898"/>
      <c r="C409" s="892"/>
      <c r="D409" s="892"/>
      <c r="E409" s="892"/>
      <c r="F409" s="892"/>
      <c r="G409" s="892"/>
      <c r="H409" s="892"/>
    </row>
    <row r="410" spans="2:8">
      <c r="B410" s="898"/>
      <c r="C410" s="892"/>
      <c r="D410" s="892"/>
      <c r="E410" s="892"/>
      <c r="F410" s="892"/>
      <c r="G410" s="892"/>
      <c r="H410" s="892"/>
    </row>
    <row r="411" spans="2:8">
      <c r="B411" s="898"/>
      <c r="C411" s="892"/>
      <c r="D411" s="892"/>
      <c r="E411" s="892"/>
      <c r="F411" s="892"/>
      <c r="G411" s="892"/>
      <c r="H411" s="892"/>
    </row>
    <row r="412" spans="2:8">
      <c r="B412" s="898"/>
      <c r="C412" s="892"/>
      <c r="D412" s="892"/>
      <c r="E412" s="892"/>
      <c r="F412" s="892"/>
      <c r="G412" s="892"/>
      <c r="H412" s="892"/>
    </row>
    <row r="413" spans="2:8">
      <c r="B413" s="898"/>
      <c r="C413" s="892"/>
      <c r="D413" s="892"/>
      <c r="E413" s="892"/>
      <c r="F413" s="892"/>
      <c r="G413" s="892"/>
      <c r="H413" s="892"/>
    </row>
    <row r="414" spans="2:8">
      <c r="B414" s="898"/>
      <c r="C414" s="892"/>
      <c r="D414" s="892"/>
      <c r="E414" s="892"/>
      <c r="F414" s="892"/>
      <c r="G414" s="892"/>
      <c r="H414" s="892"/>
    </row>
    <row r="415" spans="2:8">
      <c r="B415" s="898"/>
      <c r="C415" s="892"/>
      <c r="D415" s="892"/>
      <c r="E415" s="892"/>
      <c r="F415" s="892"/>
      <c r="G415" s="892"/>
      <c r="H415" s="892"/>
    </row>
    <row r="416" spans="2:8">
      <c r="B416" s="898"/>
      <c r="C416" s="892"/>
      <c r="D416" s="892"/>
      <c r="E416" s="892"/>
      <c r="F416" s="892"/>
      <c r="G416" s="892"/>
      <c r="H416" s="892"/>
    </row>
    <row r="417" spans="2:8">
      <c r="B417" s="898"/>
      <c r="C417" s="892"/>
      <c r="D417" s="892"/>
      <c r="E417" s="892"/>
      <c r="F417" s="892"/>
      <c r="G417" s="892"/>
      <c r="H417" s="892"/>
    </row>
    <row r="418" spans="2:8">
      <c r="B418" s="898"/>
      <c r="C418" s="892"/>
      <c r="D418" s="892"/>
      <c r="E418" s="892"/>
      <c r="F418" s="892"/>
      <c r="G418" s="892"/>
      <c r="H418" s="892"/>
    </row>
    <row r="419" spans="2:8">
      <c r="B419" s="898"/>
      <c r="C419" s="892"/>
      <c r="D419" s="892"/>
      <c r="E419" s="892"/>
      <c r="F419" s="892"/>
      <c r="G419" s="892"/>
      <c r="H419" s="892"/>
    </row>
    <row r="420" spans="2:8">
      <c r="B420" s="898"/>
      <c r="C420" s="892"/>
      <c r="D420" s="892"/>
      <c r="E420" s="892"/>
      <c r="F420" s="892"/>
      <c r="G420" s="892"/>
      <c r="H420" s="892"/>
    </row>
    <row r="421" spans="2:8">
      <c r="B421" s="898"/>
      <c r="C421" s="892"/>
      <c r="D421" s="892"/>
      <c r="E421" s="892"/>
      <c r="F421" s="892"/>
      <c r="G421" s="892"/>
      <c r="H421" s="892"/>
    </row>
    <row r="422" spans="2:8">
      <c r="B422" s="898"/>
      <c r="C422" s="892"/>
      <c r="D422" s="892"/>
      <c r="E422" s="892"/>
      <c r="F422" s="892"/>
      <c r="G422" s="892"/>
      <c r="H422" s="892"/>
    </row>
    <row r="423" spans="2:8">
      <c r="B423" s="898"/>
      <c r="C423" s="892"/>
      <c r="D423" s="892"/>
      <c r="E423" s="892"/>
      <c r="F423" s="892"/>
      <c r="G423" s="892"/>
      <c r="H423" s="892"/>
    </row>
    <row r="424" spans="2:8">
      <c r="B424" s="898"/>
      <c r="C424" s="892"/>
      <c r="D424" s="892"/>
      <c r="E424" s="892"/>
      <c r="F424" s="892"/>
      <c r="G424" s="892"/>
      <c r="H424" s="892"/>
    </row>
    <row r="425" spans="2:8">
      <c r="B425" s="898"/>
      <c r="C425" s="892"/>
      <c r="D425" s="892"/>
      <c r="E425" s="892"/>
      <c r="F425" s="892"/>
      <c r="G425" s="892"/>
      <c r="H425" s="892"/>
    </row>
    <row r="426" spans="2:8">
      <c r="B426" s="898"/>
      <c r="C426" s="892"/>
      <c r="D426" s="892"/>
      <c r="E426" s="892"/>
      <c r="F426" s="892"/>
      <c r="G426" s="892"/>
      <c r="H426" s="892"/>
    </row>
    <row r="427" spans="2:8">
      <c r="B427" s="898"/>
      <c r="C427" s="892"/>
      <c r="D427" s="892"/>
      <c r="E427" s="892"/>
      <c r="F427" s="892"/>
      <c r="G427" s="892"/>
      <c r="H427" s="892"/>
    </row>
    <row r="428" spans="2:8">
      <c r="B428" s="898"/>
      <c r="C428" s="892"/>
      <c r="D428" s="892"/>
      <c r="E428" s="892"/>
      <c r="F428" s="892"/>
      <c r="G428" s="892"/>
      <c r="H428" s="892"/>
    </row>
    <row r="429" spans="2:8">
      <c r="B429" s="898"/>
      <c r="C429" s="892"/>
      <c r="D429" s="892"/>
      <c r="E429" s="892"/>
      <c r="F429" s="892"/>
      <c r="G429" s="892"/>
      <c r="H429" s="892"/>
    </row>
    <row r="430" spans="2:8">
      <c r="B430" s="898"/>
      <c r="C430" s="892"/>
      <c r="D430" s="892"/>
      <c r="E430" s="892"/>
      <c r="F430" s="892"/>
      <c r="G430" s="892"/>
      <c r="H430" s="892"/>
    </row>
    <row r="431" spans="2:8">
      <c r="B431" s="898"/>
      <c r="C431" s="892"/>
      <c r="D431" s="892"/>
      <c r="E431" s="892"/>
      <c r="F431" s="892"/>
      <c r="G431" s="892"/>
      <c r="H431" s="892"/>
    </row>
    <row r="432" spans="2:8">
      <c r="B432" s="898"/>
      <c r="C432" s="892"/>
      <c r="D432" s="892"/>
      <c r="E432" s="892"/>
      <c r="F432" s="892"/>
      <c r="G432" s="892"/>
      <c r="H432" s="892"/>
    </row>
    <row r="433" spans="2:8">
      <c r="B433" s="898"/>
      <c r="C433" s="892"/>
      <c r="D433" s="892"/>
      <c r="E433" s="892"/>
      <c r="F433" s="892"/>
      <c r="G433" s="892"/>
      <c r="H433" s="892"/>
    </row>
    <row r="434" spans="2:8">
      <c r="B434" s="898"/>
      <c r="C434" s="892"/>
      <c r="D434" s="892"/>
      <c r="E434" s="892"/>
      <c r="F434" s="892"/>
      <c r="G434" s="892"/>
      <c r="H434" s="892"/>
    </row>
    <row r="435" spans="2:8">
      <c r="B435" s="898"/>
      <c r="C435" s="892"/>
      <c r="D435" s="892"/>
      <c r="E435" s="892"/>
      <c r="F435" s="892"/>
      <c r="G435" s="892"/>
      <c r="H435" s="892"/>
    </row>
    <row r="436" spans="2:8">
      <c r="B436" s="898"/>
      <c r="C436" s="892"/>
      <c r="D436" s="892"/>
      <c r="E436" s="892"/>
      <c r="F436" s="892"/>
      <c r="G436" s="892"/>
      <c r="H436" s="892"/>
    </row>
    <row r="437" spans="2:8">
      <c r="B437" s="898"/>
      <c r="C437" s="892"/>
      <c r="D437" s="892"/>
      <c r="E437" s="892"/>
      <c r="F437" s="892"/>
      <c r="G437" s="892"/>
      <c r="H437" s="892"/>
    </row>
    <row r="438" spans="2:8">
      <c r="B438" s="898"/>
      <c r="C438" s="892"/>
      <c r="D438" s="892"/>
      <c r="E438" s="892"/>
      <c r="F438" s="892"/>
      <c r="G438" s="892"/>
      <c r="H438" s="892"/>
    </row>
    <row r="439" spans="2:8">
      <c r="B439" s="898"/>
      <c r="C439" s="892"/>
      <c r="D439" s="892"/>
      <c r="E439" s="892"/>
      <c r="F439" s="892"/>
      <c r="G439" s="892"/>
      <c r="H439" s="892"/>
    </row>
    <row r="440" spans="2:8">
      <c r="B440" s="898"/>
      <c r="C440" s="892"/>
      <c r="D440" s="892"/>
      <c r="E440" s="892"/>
      <c r="F440" s="892"/>
      <c r="G440" s="892"/>
      <c r="H440" s="892"/>
    </row>
    <row r="441" spans="2:8">
      <c r="B441" s="898"/>
      <c r="C441" s="892"/>
      <c r="D441" s="892"/>
      <c r="E441" s="892"/>
      <c r="F441" s="892"/>
      <c r="G441" s="892"/>
      <c r="H441" s="892"/>
    </row>
    <row r="442" spans="2:8">
      <c r="B442" s="898"/>
      <c r="C442" s="892"/>
      <c r="D442" s="892"/>
      <c r="E442" s="892"/>
      <c r="F442" s="892"/>
      <c r="G442" s="892"/>
      <c r="H442" s="892"/>
    </row>
    <row r="443" spans="2:8">
      <c r="B443" s="898"/>
      <c r="C443" s="892"/>
      <c r="D443" s="892"/>
      <c r="E443" s="892"/>
      <c r="F443" s="892"/>
      <c r="G443" s="892"/>
      <c r="H443" s="892"/>
    </row>
    <row r="444" spans="2:8">
      <c r="B444" s="898"/>
      <c r="C444" s="892"/>
      <c r="D444" s="892"/>
      <c r="E444" s="892"/>
      <c r="F444" s="892"/>
      <c r="G444" s="892"/>
      <c r="H444" s="892"/>
    </row>
    <row r="445" spans="2:8">
      <c r="B445" s="898"/>
      <c r="C445" s="892"/>
      <c r="D445" s="892"/>
      <c r="E445" s="892"/>
      <c r="F445" s="892"/>
      <c r="G445" s="892"/>
      <c r="H445" s="892"/>
    </row>
    <row r="446" spans="2:8">
      <c r="B446" s="898"/>
      <c r="C446" s="892"/>
      <c r="D446" s="892"/>
      <c r="E446" s="892"/>
      <c r="F446" s="892"/>
      <c r="G446" s="892"/>
      <c r="H446" s="892"/>
    </row>
    <row r="447" spans="2:8">
      <c r="B447" s="898"/>
      <c r="C447" s="892"/>
      <c r="D447" s="892"/>
      <c r="E447" s="892"/>
      <c r="F447" s="892"/>
      <c r="G447" s="892"/>
      <c r="H447" s="892"/>
    </row>
    <row r="448" spans="2:8">
      <c r="B448" s="898"/>
      <c r="C448" s="892"/>
      <c r="D448" s="892"/>
      <c r="E448" s="892"/>
      <c r="F448" s="892"/>
      <c r="G448" s="892"/>
      <c r="H448" s="892"/>
    </row>
    <row r="449" spans="2:8">
      <c r="B449" s="898"/>
      <c r="C449" s="892"/>
      <c r="D449" s="892"/>
      <c r="E449" s="892"/>
      <c r="F449" s="892"/>
      <c r="G449" s="892"/>
      <c r="H449" s="892"/>
    </row>
    <row r="450" spans="2:8">
      <c r="B450" s="898"/>
      <c r="C450" s="892"/>
      <c r="D450" s="892"/>
      <c r="E450" s="892"/>
      <c r="F450" s="892"/>
      <c r="G450" s="892"/>
      <c r="H450" s="892"/>
    </row>
    <row r="451" spans="2:8">
      <c r="B451" s="898"/>
      <c r="C451" s="892"/>
      <c r="D451" s="892"/>
      <c r="E451" s="892"/>
      <c r="F451" s="892"/>
      <c r="G451" s="892"/>
      <c r="H451" s="892"/>
    </row>
    <row r="452" spans="2:8">
      <c r="B452" s="898"/>
      <c r="C452" s="892"/>
      <c r="D452" s="892"/>
      <c r="E452" s="892"/>
      <c r="F452" s="892"/>
      <c r="G452" s="892"/>
      <c r="H452" s="892"/>
    </row>
    <row r="453" spans="2:8">
      <c r="B453" s="898"/>
      <c r="C453" s="892"/>
      <c r="D453" s="892"/>
      <c r="E453" s="892"/>
      <c r="F453" s="892"/>
      <c r="G453" s="892"/>
      <c r="H453" s="892"/>
    </row>
    <row r="454" spans="2:8">
      <c r="B454" s="898"/>
      <c r="C454" s="892"/>
      <c r="D454" s="892"/>
      <c r="E454" s="892"/>
      <c r="F454" s="892"/>
      <c r="G454" s="892"/>
      <c r="H454" s="892"/>
    </row>
    <row r="455" spans="2:8">
      <c r="B455" s="898"/>
      <c r="C455" s="892"/>
      <c r="D455" s="892"/>
      <c r="E455" s="892"/>
      <c r="F455" s="892"/>
      <c r="G455" s="892"/>
      <c r="H455" s="892"/>
    </row>
    <row r="456" spans="2:8">
      <c r="B456" s="898"/>
      <c r="C456" s="892"/>
      <c r="D456" s="892"/>
      <c r="E456" s="892"/>
      <c r="F456" s="892"/>
      <c r="G456" s="892"/>
      <c r="H456" s="892"/>
    </row>
    <row r="457" spans="2:8">
      <c r="B457" s="898"/>
      <c r="C457" s="892"/>
      <c r="D457" s="892"/>
      <c r="E457" s="892"/>
      <c r="F457" s="892"/>
      <c r="G457" s="892"/>
      <c r="H457" s="892"/>
    </row>
    <row r="458" spans="2:8">
      <c r="B458" s="898"/>
      <c r="C458" s="892"/>
      <c r="D458" s="892"/>
      <c r="E458" s="892"/>
      <c r="F458" s="892"/>
      <c r="G458" s="892"/>
      <c r="H458" s="892"/>
    </row>
    <row r="459" spans="2:8">
      <c r="B459" s="898"/>
      <c r="C459" s="892"/>
      <c r="D459" s="892"/>
      <c r="E459" s="892"/>
      <c r="F459" s="892"/>
      <c r="G459" s="892"/>
      <c r="H459" s="892"/>
    </row>
    <row r="460" spans="2:8">
      <c r="B460" s="898"/>
      <c r="C460" s="892"/>
      <c r="D460" s="892"/>
      <c r="E460" s="892"/>
      <c r="F460" s="892"/>
      <c r="G460" s="892"/>
      <c r="H460" s="892"/>
    </row>
    <row r="461" spans="2:8">
      <c r="B461" s="898"/>
      <c r="C461" s="892"/>
      <c r="D461" s="892"/>
      <c r="E461" s="892"/>
      <c r="F461" s="892"/>
      <c r="G461" s="892"/>
      <c r="H461" s="892"/>
    </row>
    <row r="462" spans="2:8">
      <c r="B462" s="898"/>
      <c r="C462" s="892"/>
      <c r="D462" s="892"/>
      <c r="E462" s="892"/>
      <c r="F462" s="892"/>
      <c r="G462" s="892"/>
      <c r="H462" s="892"/>
    </row>
    <row r="463" spans="2:8">
      <c r="B463" s="898"/>
      <c r="C463" s="892"/>
      <c r="D463" s="892"/>
      <c r="E463" s="892"/>
      <c r="F463" s="892"/>
      <c r="G463" s="892"/>
      <c r="H463" s="892"/>
    </row>
    <row r="464" spans="2:8">
      <c r="B464" s="898"/>
      <c r="C464" s="892"/>
      <c r="D464" s="892"/>
      <c r="E464" s="892"/>
      <c r="F464" s="892"/>
      <c r="G464" s="892"/>
      <c r="H464" s="892"/>
    </row>
    <row r="465" spans="2:8">
      <c r="B465" s="898"/>
      <c r="C465" s="892"/>
      <c r="D465" s="892"/>
      <c r="E465" s="892"/>
      <c r="F465" s="892"/>
      <c r="G465" s="892"/>
      <c r="H465" s="892"/>
    </row>
    <row r="466" spans="2:8">
      <c r="B466" s="898"/>
      <c r="C466" s="892"/>
      <c r="D466" s="892"/>
      <c r="E466" s="892"/>
      <c r="F466" s="892"/>
      <c r="G466" s="892"/>
      <c r="H466" s="892"/>
    </row>
    <row r="467" spans="2:8">
      <c r="B467" s="898"/>
      <c r="C467" s="892"/>
      <c r="D467" s="892"/>
      <c r="E467" s="892"/>
      <c r="F467" s="892"/>
      <c r="G467" s="892"/>
      <c r="H467" s="892"/>
    </row>
    <row r="468" spans="2:8">
      <c r="B468" s="898"/>
      <c r="C468" s="892"/>
      <c r="D468" s="892"/>
      <c r="E468" s="892"/>
      <c r="F468" s="892"/>
      <c r="G468" s="892"/>
      <c r="H468" s="892"/>
    </row>
    <row r="469" spans="2:8">
      <c r="B469" s="898"/>
      <c r="C469" s="892"/>
      <c r="D469" s="892"/>
      <c r="E469" s="892"/>
      <c r="F469" s="892"/>
      <c r="G469" s="892"/>
      <c r="H469" s="892"/>
    </row>
    <row r="470" spans="2:8">
      <c r="B470" s="898"/>
      <c r="C470" s="892"/>
      <c r="D470" s="892"/>
      <c r="E470" s="892"/>
      <c r="F470" s="892"/>
      <c r="G470" s="892"/>
      <c r="H470" s="892"/>
    </row>
    <row r="471" spans="2:8">
      <c r="B471" s="898"/>
      <c r="C471" s="892"/>
      <c r="D471" s="892"/>
      <c r="E471" s="892"/>
      <c r="F471" s="892"/>
      <c r="G471" s="892"/>
      <c r="H471" s="892"/>
    </row>
  </sheetData>
  <mergeCells count="3">
    <mergeCell ref="A1:L1"/>
    <mergeCell ref="A2:L2"/>
    <mergeCell ref="A3:L3"/>
  </mergeCells>
  <printOptions horizontalCentered="1"/>
  <pageMargins left="0.25" right="0.25" top="0.5" bottom="0.5" header="0.3" footer="0.3"/>
  <pageSetup scale="45" fitToWidth="0"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03"/>
  <sheetViews>
    <sheetView view="pageBreakPreview" topLeftCell="A52" zoomScale="70" zoomScaleNormal="70" zoomScaleSheetLayoutView="70" workbookViewId="0">
      <selection activeCell="Q60" sqref="Q60"/>
    </sheetView>
  </sheetViews>
  <sheetFormatPr defaultColWidth="8.90625" defaultRowHeight="13.2"/>
  <cols>
    <col min="1" max="1" width="5.36328125" style="845" customWidth="1"/>
    <col min="2" max="2" width="51.453125" style="852" customWidth="1"/>
    <col min="3" max="3" width="22.08984375" style="845" customWidth="1"/>
    <col min="4" max="4" width="16.36328125" style="845" customWidth="1"/>
    <col min="5" max="5" width="11.90625" style="845" customWidth="1"/>
    <col min="6" max="6" width="13.90625" style="845" customWidth="1"/>
    <col min="7" max="7" width="13.08984375" style="845" customWidth="1"/>
    <col min="8" max="8" width="77.6328125" style="845" customWidth="1"/>
    <col min="9" max="16384" width="8.90625" style="845"/>
  </cols>
  <sheetData>
    <row r="1" spans="1:21">
      <c r="B1" s="1129" t="s">
        <v>1034</v>
      </c>
      <c r="C1" s="1129"/>
      <c r="D1" s="1129"/>
      <c r="E1" s="1129"/>
      <c r="F1" s="1129"/>
      <c r="G1" s="1129"/>
      <c r="H1" s="1129"/>
    </row>
    <row r="2" spans="1:21">
      <c r="B2" s="1129" t="s">
        <v>1141</v>
      </c>
      <c r="C2" s="1129"/>
      <c r="D2" s="1129"/>
      <c r="E2" s="1129"/>
      <c r="F2" s="1129"/>
      <c r="G2" s="1129"/>
      <c r="H2" s="1129"/>
    </row>
    <row r="3" spans="1:21">
      <c r="B3" s="1129"/>
      <c r="C3" s="1129"/>
      <c r="D3" s="1129"/>
      <c r="E3" s="1129"/>
      <c r="F3" s="1129"/>
      <c r="G3" s="1129"/>
      <c r="H3" s="1130"/>
    </row>
    <row r="4" spans="1:21" s="853" customFormat="1"/>
    <row r="5" spans="1:21" s="853" customFormat="1">
      <c r="B5" s="855"/>
      <c r="D5" s="847"/>
      <c r="E5" s="847"/>
      <c r="G5" s="847"/>
    </row>
    <row r="6" spans="1:21" s="853" customFormat="1">
      <c r="B6" s="855"/>
      <c r="J6" s="844"/>
      <c r="K6" s="844"/>
      <c r="L6" s="844"/>
      <c r="M6" s="844"/>
      <c r="N6" s="844"/>
      <c r="O6" s="844"/>
      <c r="P6" s="844"/>
      <c r="Q6" s="844"/>
      <c r="R6" s="844"/>
      <c r="S6" s="844"/>
      <c r="T6" s="844"/>
      <c r="U6" s="847"/>
    </row>
    <row r="7" spans="1:21" s="853" customFormat="1" ht="34.5" customHeight="1">
      <c r="A7" s="902" t="s">
        <v>992</v>
      </c>
      <c r="B7" s="902" t="s">
        <v>1035</v>
      </c>
      <c r="C7" s="903"/>
      <c r="D7" s="903"/>
      <c r="E7" s="904" t="s">
        <v>995</v>
      </c>
      <c r="F7" s="904" t="s">
        <v>996</v>
      </c>
      <c r="G7" s="902" t="s">
        <v>997</v>
      </c>
      <c r="H7" s="903"/>
      <c r="J7" s="844"/>
      <c r="K7" s="844"/>
      <c r="L7" s="844"/>
      <c r="M7" s="844"/>
      <c r="N7" s="844"/>
      <c r="O7" s="844"/>
      <c r="P7" s="844"/>
      <c r="Q7" s="844"/>
      <c r="R7" s="844"/>
      <c r="S7" s="844"/>
      <c r="T7" s="844"/>
      <c r="U7" s="847"/>
    </row>
    <row r="8" spans="1:21" s="853" customFormat="1">
      <c r="B8" s="854"/>
      <c r="L8" s="134"/>
    </row>
    <row r="9" spans="1:21" s="853" customFormat="1" ht="20.100000000000001" customHeight="1">
      <c r="A9" s="853">
        <v>1</v>
      </c>
      <c r="B9" s="853" t="s">
        <v>999</v>
      </c>
      <c r="E9" s="767">
        <f>+E54</f>
        <v>-604380.61580149084</v>
      </c>
      <c r="F9" s="767">
        <f>+F54</f>
        <v>0</v>
      </c>
      <c r="G9" s="767">
        <f>+G54</f>
        <v>0</v>
      </c>
      <c r="H9" s="853" t="s">
        <v>1036</v>
      </c>
    </row>
    <row r="10" spans="1:21" s="853" customFormat="1" ht="20.100000000000001" customHeight="1">
      <c r="A10" s="853">
        <f>+A9+1</f>
        <v>2</v>
      </c>
      <c r="B10" s="853" t="s">
        <v>1007</v>
      </c>
      <c r="E10" s="767">
        <f>+E78</f>
        <v>0</v>
      </c>
      <c r="F10" s="767">
        <f>+F78</f>
        <v>0</v>
      </c>
      <c r="G10" s="767">
        <f>+G78</f>
        <v>0</v>
      </c>
      <c r="H10" s="853" t="s">
        <v>1037</v>
      </c>
    </row>
    <row r="11" spans="1:21" s="853" customFormat="1" ht="20.100000000000001" customHeight="1">
      <c r="A11" s="853">
        <f>+A10+1</f>
        <v>3</v>
      </c>
      <c r="B11" s="853" t="s">
        <v>1009</v>
      </c>
      <c r="E11" s="767">
        <f>E32</f>
        <v>0</v>
      </c>
      <c r="F11" s="767">
        <f>F32</f>
        <v>0</v>
      </c>
      <c r="G11" s="767">
        <f>G32</f>
        <v>0</v>
      </c>
      <c r="H11" s="853" t="s">
        <v>1038</v>
      </c>
    </row>
    <row r="12" spans="1:21" s="853" customFormat="1" ht="20.100000000000001" customHeight="1">
      <c r="A12" s="853">
        <f>+A11+1</f>
        <v>4</v>
      </c>
      <c r="B12" s="853" t="s">
        <v>1039</v>
      </c>
      <c r="E12" s="767">
        <f>SUM(E9:E11)</f>
        <v>-604380.61580149084</v>
      </c>
      <c r="F12" s="767">
        <f>SUM(F9:F11)</f>
        <v>0</v>
      </c>
      <c r="G12" s="767">
        <f>SUM(G9:G11)</f>
        <v>0</v>
      </c>
      <c r="H12" s="905" t="s">
        <v>1040</v>
      </c>
    </row>
    <row r="13" spans="1:21" s="853" customFormat="1">
      <c r="D13" s="905"/>
      <c r="H13" s="767"/>
    </row>
    <row r="14" spans="1:21" s="853" customFormat="1">
      <c r="H14" s="857"/>
    </row>
    <row r="15" spans="1:21" s="853" customFormat="1">
      <c r="B15" s="1136" t="s">
        <v>1041</v>
      </c>
      <c r="C15" s="1136"/>
      <c r="D15" s="1136"/>
      <c r="E15" s="1136"/>
      <c r="F15" s="1136"/>
      <c r="G15" s="1136"/>
      <c r="H15" s="1136"/>
    </row>
    <row r="16" spans="1:21" s="853" customFormat="1">
      <c r="B16" s="855"/>
      <c r="D16" s="847"/>
      <c r="E16" s="847"/>
      <c r="F16" s="847"/>
      <c r="G16" s="847"/>
    </row>
    <row r="17" spans="1:9" s="853" customFormat="1">
      <c r="B17" s="847" t="s">
        <v>75</v>
      </c>
      <c r="C17" s="847" t="s">
        <v>76</v>
      </c>
      <c r="D17" s="847" t="s">
        <v>77</v>
      </c>
      <c r="E17" s="847" t="s">
        <v>78</v>
      </c>
      <c r="F17" s="847" t="s">
        <v>79</v>
      </c>
      <c r="G17" s="847" t="s">
        <v>80</v>
      </c>
      <c r="H17" s="847" t="s">
        <v>81</v>
      </c>
    </row>
    <row r="18" spans="1:9" s="853" customFormat="1" ht="26.4">
      <c r="B18" s="855" t="s">
        <v>1009</v>
      </c>
      <c r="C18" s="906" t="s">
        <v>21</v>
      </c>
      <c r="D18" s="906" t="s">
        <v>1042</v>
      </c>
      <c r="E18" s="906" t="s">
        <v>995</v>
      </c>
      <c r="F18" s="906" t="s">
        <v>996</v>
      </c>
      <c r="G18" s="906" t="s">
        <v>997</v>
      </c>
      <c r="H18" s="906" t="s">
        <v>1043</v>
      </c>
    </row>
    <row r="19" spans="1:9" ht="30" customHeight="1">
      <c r="A19" s="853">
        <f>A12+1</f>
        <v>5</v>
      </c>
      <c r="B19" s="907"/>
      <c r="C19" s="908"/>
      <c r="D19" s="909"/>
      <c r="E19" s="909"/>
      <c r="F19" s="909"/>
      <c r="G19" s="909"/>
      <c r="H19" s="910"/>
      <c r="I19" s="862"/>
    </row>
    <row r="20" spans="1:9" ht="30" customHeight="1">
      <c r="A20" s="853">
        <f t="shared" ref="A20:A32" si="0">+A19+1</f>
        <v>6</v>
      </c>
      <c r="B20" s="911"/>
      <c r="C20" s="908"/>
      <c r="D20" s="909"/>
      <c r="E20" s="909"/>
      <c r="F20" s="909"/>
      <c r="G20" s="909"/>
      <c r="H20" s="910"/>
      <c r="I20" s="862"/>
    </row>
    <row r="21" spans="1:9" ht="30" customHeight="1">
      <c r="A21" s="853">
        <f t="shared" si="0"/>
        <v>7</v>
      </c>
      <c r="B21" s="911"/>
      <c r="C21" s="908"/>
      <c r="D21" s="909"/>
      <c r="E21" s="909"/>
      <c r="F21" s="909"/>
      <c r="G21" s="909"/>
      <c r="H21" s="910"/>
      <c r="I21" s="862"/>
    </row>
    <row r="22" spans="1:9" ht="30" customHeight="1">
      <c r="A22" s="853">
        <f t="shared" si="0"/>
        <v>8</v>
      </c>
      <c r="B22" s="911"/>
      <c r="C22" s="908"/>
      <c r="D22" s="909"/>
      <c r="E22" s="909"/>
      <c r="F22" s="909"/>
      <c r="G22" s="909"/>
      <c r="H22" s="910"/>
      <c r="I22" s="862"/>
    </row>
    <row r="23" spans="1:9" ht="30" customHeight="1">
      <c r="A23" s="853">
        <f t="shared" si="0"/>
        <v>9</v>
      </c>
      <c r="B23" s="911"/>
      <c r="C23" s="908"/>
      <c r="D23" s="909"/>
      <c r="E23" s="909"/>
      <c r="F23" s="909"/>
      <c r="G23" s="909"/>
      <c r="H23" s="910"/>
      <c r="I23" s="862"/>
    </row>
    <row r="24" spans="1:9" ht="30" customHeight="1">
      <c r="A24" s="853">
        <f t="shared" si="0"/>
        <v>10</v>
      </c>
      <c r="B24" s="911"/>
      <c r="C24" s="908"/>
      <c r="D24" s="909"/>
      <c r="E24" s="909"/>
      <c r="F24" s="909"/>
      <c r="G24" s="909"/>
      <c r="H24" s="910"/>
      <c r="I24" s="862"/>
    </row>
    <row r="25" spans="1:9" ht="30" customHeight="1">
      <c r="A25" s="853">
        <f t="shared" si="0"/>
        <v>11</v>
      </c>
      <c r="B25" s="911"/>
      <c r="C25" s="908"/>
      <c r="D25" s="909"/>
      <c r="E25" s="909"/>
      <c r="F25" s="909"/>
      <c r="G25" s="909"/>
      <c r="H25" s="910"/>
      <c r="I25" s="862"/>
    </row>
    <row r="26" spans="1:9" ht="30" customHeight="1">
      <c r="A26" s="853">
        <f t="shared" si="0"/>
        <v>12</v>
      </c>
      <c r="B26" s="1008" t="s">
        <v>1116</v>
      </c>
      <c r="C26" s="908">
        <f>E26</f>
        <v>0</v>
      </c>
      <c r="D26" s="912"/>
      <c r="E26" s="909"/>
      <c r="F26" s="909"/>
      <c r="G26" s="909"/>
      <c r="H26" s="910"/>
      <c r="I26" s="862"/>
    </row>
    <row r="27" spans="1:9" ht="30" customHeight="1">
      <c r="A27" s="853">
        <f t="shared" si="0"/>
        <v>13</v>
      </c>
      <c r="B27" s="1008" t="s">
        <v>1117</v>
      </c>
      <c r="C27" s="908">
        <f>E27</f>
        <v>0</v>
      </c>
      <c r="D27" s="909"/>
      <c r="E27" s="909">
        <v>0</v>
      </c>
      <c r="F27" s="909"/>
      <c r="G27" s="909"/>
      <c r="H27" s="910"/>
      <c r="I27" s="862"/>
    </row>
    <row r="28" spans="1:9" ht="30" customHeight="1">
      <c r="A28" s="853">
        <f t="shared" si="0"/>
        <v>14</v>
      </c>
      <c r="B28" s="913" t="s">
        <v>1044</v>
      </c>
      <c r="C28" s="914"/>
      <c r="D28" s="914"/>
      <c r="E28" s="914"/>
      <c r="F28" s="914"/>
      <c r="G28" s="914"/>
      <c r="H28" s="915" t="s">
        <v>1045</v>
      </c>
      <c r="I28" s="862"/>
    </row>
    <row r="29" spans="1:9" ht="20.100000000000001" customHeight="1">
      <c r="A29" s="853">
        <f t="shared" si="0"/>
        <v>15</v>
      </c>
      <c r="B29" s="916" t="s">
        <v>1046</v>
      </c>
      <c r="C29" s="917">
        <f>SUBTOTAL(9,C19:C28)</f>
        <v>0</v>
      </c>
      <c r="D29" s="918">
        <f>SUM(D19:D28)</f>
        <v>0</v>
      </c>
      <c r="E29" s="918">
        <f>SUM(E19:E28)</f>
        <v>0</v>
      </c>
      <c r="F29" s="918">
        <f>SUM(F19:F28)</f>
        <v>0</v>
      </c>
      <c r="G29" s="918">
        <f>SUM(G19:G28)</f>
        <v>0</v>
      </c>
      <c r="H29" s="919"/>
      <c r="I29" s="862"/>
    </row>
    <row r="30" spans="1:9" ht="20.100000000000001" customHeight="1">
      <c r="A30" s="853">
        <f t="shared" si="0"/>
        <v>16</v>
      </c>
      <c r="B30" s="920" t="s">
        <v>1047</v>
      </c>
      <c r="C30" s="921"/>
      <c r="D30" s="921"/>
      <c r="E30" s="921"/>
      <c r="F30" s="922"/>
      <c r="G30" s="923"/>
      <c r="H30" s="910"/>
      <c r="I30" s="862"/>
    </row>
    <row r="31" spans="1:9" ht="20.100000000000001" customHeight="1">
      <c r="A31" s="853">
        <f t="shared" si="0"/>
        <v>17</v>
      </c>
      <c r="B31" s="924" t="s">
        <v>1048</v>
      </c>
      <c r="C31" s="925"/>
      <c r="D31" s="925"/>
      <c r="E31" s="925"/>
      <c r="F31" s="925"/>
      <c r="G31" s="925"/>
      <c r="H31" s="926"/>
      <c r="I31" s="862"/>
    </row>
    <row r="32" spans="1:9" ht="20.100000000000001" customHeight="1" thickBot="1">
      <c r="A32" s="853">
        <f t="shared" si="0"/>
        <v>18</v>
      </c>
      <c r="B32" s="927" t="s">
        <v>21</v>
      </c>
      <c r="C32" s="928">
        <f>+C29-C30-C31</f>
        <v>0</v>
      </c>
      <c r="D32" s="928">
        <f>+D29-D30-D31</f>
        <v>0</v>
      </c>
      <c r="E32" s="928">
        <f>+E29-E30-E31</f>
        <v>0</v>
      </c>
      <c r="F32" s="928">
        <f>+F29-F30-F31</f>
        <v>0</v>
      </c>
      <c r="G32" s="928">
        <f>+G29-G30-G31</f>
        <v>0</v>
      </c>
      <c r="H32" s="929"/>
      <c r="I32" s="862"/>
    </row>
    <row r="33" spans="1:9" ht="20.100000000000001" customHeight="1" thickTop="1">
      <c r="A33" s="853"/>
      <c r="B33" s="861" t="s">
        <v>1049</v>
      </c>
      <c r="C33" s="930"/>
      <c r="D33" s="931"/>
      <c r="E33" s="866"/>
      <c r="F33" s="862"/>
      <c r="G33" s="932"/>
      <c r="H33" s="862"/>
    </row>
    <row r="34" spans="1:9" ht="20.100000000000001" customHeight="1">
      <c r="A34" s="853"/>
      <c r="B34" s="1133" t="s">
        <v>1050</v>
      </c>
      <c r="C34" s="1134"/>
      <c r="D34" s="1134"/>
      <c r="E34" s="1134"/>
      <c r="F34" s="1134"/>
      <c r="G34" s="1134"/>
      <c r="H34" s="862"/>
    </row>
    <row r="35" spans="1:9" ht="20.100000000000001" customHeight="1">
      <c r="A35" s="853"/>
      <c r="B35" s="865" t="s">
        <v>1051</v>
      </c>
      <c r="C35" s="862"/>
      <c r="D35" s="861"/>
      <c r="E35" s="861"/>
      <c r="F35" s="866"/>
      <c r="G35" s="866"/>
      <c r="H35" s="862"/>
    </row>
    <row r="36" spans="1:9" ht="20.100000000000001" customHeight="1">
      <c r="A36" s="853"/>
      <c r="B36" s="865" t="s">
        <v>1052</v>
      </c>
      <c r="C36" s="862"/>
      <c r="D36" s="861"/>
      <c r="E36" s="861"/>
      <c r="F36" s="866"/>
      <c r="G36" s="866"/>
      <c r="H36" s="862"/>
    </row>
    <row r="37" spans="1:9" ht="20.100000000000001" customHeight="1">
      <c r="A37" s="853"/>
      <c r="B37" s="865" t="s">
        <v>1053</v>
      </c>
      <c r="C37" s="862"/>
      <c r="D37" s="861"/>
      <c r="E37" s="861"/>
      <c r="F37" s="866"/>
      <c r="G37" s="866"/>
      <c r="H37" s="862"/>
    </row>
    <row r="38" spans="1:9" ht="35.25" customHeight="1">
      <c r="A38" s="853"/>
      <c r="B38" s="1133" t="s">
        <v>1054</v>
      </c>
      <c r="C38" s="1133"/>
      <c r="D38" s="1133"/>
      <c r="E38" s="1133"/>
      <c r="F38" s="1133"/>
      <c r="G38" s="1133"/>
      <c r="H38" s="933"/>
    </row>
    <row r="39" spans="1:9">
      <c r="A39" s="853"/>
      <c r="B39" s="934"/>
      <c r="C39" s="934"/>
      <c r="D39" s="934"/>
      <c r="E39" s="934"/>
      <c r="F39" s="934"/>
      <c r="G39" s="934"/>
      <c r="H39" s="933"/>
    </row>
    <row r="40" spans="1:9" s="853" customFormat="1">
      <c r="B40" s="935"/>
      <c r="C40" s="935"/>
      <c r="D40" s="935"/>
      <c r="E40" s="935"/>
      <c r="F40" s="935"/>
      <c r="G40" s="935"/>
      <c r="H40" s="935"/>
      <c r="I40" s="861"/>
    </row>
    <row r="41" spans="1:9" s="853" customFormat="1">
      <c r="B41" s="847" t="s">
        <v>75</v>
      </c>
      <c r="C41" s="847" t="s">
        <v>76</v>
      </c>
      <c r="D41" s="847" t="s">
        <v>77</v>
      </c>
      <c r="E41" s="847" t="s">
        <v>78</v>
      </c>
      <c r="F41" s="847" t="s">
        <v>79</v>
      </c>
      <c r="G41" s="847" t="s">
        <v>80</v>
      </c>
      <c r="H41" s="847" t="s">
        <v>81</v>
      </c>
      <c r="I41" s="861"/>
    </row>
    <row r="42" spans="1:9" ht="26.4">
      <c r="A42" s="853"/>
      <c r="B42" s="861" t="s">
        <v>1055</v>
      </c>
      <c r="C42" s="906" t="s">
        <v>21</v>
      </c>
      <c r="D42" s="936" t="s">
        <v>1042</v>
      </c>
      <c r="E42" s="936" t="s">
        <v>995</v>
      </c>
      <c r="F42" s="936" t="s">
        <v>996</v>
      </c>
      <c r="G42" s="936" t="s">
        <v>997</v>
      </c>
      <c r="H42" s="906" t="s">
        <v>1043</v>
      </c>
      <c r="I42" s="862"/>
    </row>
    <row r="43" spans="1:9" ht="30" customHeight="1">
      <c r="A43" s="853">
        <f>A32+1</f>
        <v>19</v>
      </c>
      <c r="B43" s="911"/>
      <c r="C43" s="908"/>
      <c r="D43" s="909"/>
      <c r="E43" s="909"/>
      <c r="F43" s="909"/>
      <c r="G43" s="909"/>
      <c r="H43" s="910"/>
      <c r="I43" s="862"/>
    </row>
    <row r="44" spans="1:9" ht="30" customHeight="1">
      <c r="A44" s="853">
        <f t="shared" ref="A44:A54" si="1">+A43+1</f>
        <v>20</v>
      </c>
      <c r="B44" s="911"/>
      <c r="C44" s="908"/>
      <c r="D44" s="909"/>
      <c r="E44" s="909"/>
      <c r="F44" s="909"/>
      <c r="G44" s="909"/>
      <c r="H44" s="910"/>
      <c r="I44" s="862"/>
    </row>
    <row r="45" spans="1:9" ht="30" customHeight="1">
      <c r="A45" s="853">
        <f t="shared" si="1"/>
        <v>21</v>
      </c>
      <c r="B45" s="911"/>
      <c r="C45" s="908"/>
      <c r="D45" s="909"/>
      <c r="E45" s="909"/>
      <c r="F45" s="909"/>
      <c r="G45" s="909"/>
      <c r="H45" s="910"/>
      <c r="I45" s="862"/>
    </row>
    <row r="46" spans="1:9" ht="30" customHeight="1">
      <c r="A46" s="853">
        <f t="shared" si="1"/>
        <v>22</v>
      </c>
      <c r="B46" s="911"/>
      <c r="C46" s="909"/>
      <c r="D46" s="909"/>
      <c r="E46" s="909"/>
      <c r="F46" s="909"/>
      <c r="G46" s="909"/>
      <c r="H46" s="910"/>
      <c r="I46" s="862"/>
    </row>
    <row r="47" spans="1:9" ht="30" customHeight="1">
      <c r="A47" s="853">
        <f t="shared" si="1"/>
        <v>23</v>
      </c>
      <c r="B47" s="911"/>
      <c r="C47" s="909"/>
      <c r="D47" s="909"/>
      <c r="E47" s="909"/>
      <c r="F47" s="909"/>
      <c r="G47" s="909"/>
      <c r="H47" s="910"/>
      <c r="I47" s="862"/>
    </row>
    <row r="48" spans="1:9" ht="30" customHeight="1">
      <c r="A48" s="853">
        <f t="shared" si="1"/>
        <v>24</v>
      </c>
      <c r="B48" s="1008" t="s">
        <v>1116</v>
      </c>
      <c r="C48" s="937">
        <f>E48</f>
        <v>0</v>
      </c>
      <c r="D48" s="937"/>
      <c r="E48" s="937"/>
      <c r="F48" s="937"/>
      <c r="G48" s="937"/>
      <c r="H48" s="910"/>
      <c r="I48" s="862"/>
    </row>
    <row r="49" spans="1:9" ht="30" customHeight="1">
      <c r="A49" s="853">
        <f t="shared" si="1"/>
        <v>25</v>
      </c>
      <c r="B49" s="1008" t="s">
        <v>1117</v>
      </c>
      <c r="C49" s="937">
        <f>E49</f>
        <v>0</v>
      </c>
      <c r="D49" s="937"/>
      <c r="E49" s="937">
        <v>0</v>
      </c>
      <c r="F49" s="937"/>
      <c r="G49" s="937"/>
      <c r="H49" s="910"/>
      <c r="I49" s="862"/>
    </row>
    <row r="50" spans="1:9" ht="30" customHeight="1">
      <c r="A50" s="853">
        <f t="shared" si="1"/>
        <v>26</v>
      </c>
      <c r="B50" s="960" t="s">
        <v>1118</v>
      </c>
      <c r="C50" s="961">
        <f>E50</f>
        <v>-604380.61580149084</v>
      </c>
      <c r="D50" s="961"/>
      <c r="E50" s="961">
        <v>-604380.61580149084</v>
      </c>
      <c r="F50" s="961"/>
      <c r="G50" s="961"/>
      <c r="H50" s="915"/>
      <c r="I50" s="862"/>
    </row>
    <row r="51" spans="1:9" ht="20.100000000000001" customHeight="1">
      <c r="A51" s="853">
        <f t="shared" si="1"/>
        <v>27</v>
      </c>
      <c r="B51" s="938" t="s">
        <v>1056</v>
      </c>
      <c r="C51" s="918">
        <f>SUBTOTAL(9,C43:C50)</f>
        <v>-604380.61580149084</v>
      </c>
      <c r="D51" s="918">
        <f>SUM(D43:D50)</f>
        <v>0</v>
      </c>
      <c r="E51" s="918">
        <f>SUM(E43:E50)</f>
        <v>-604380.61580149084</v>
      </c>
      <c r="F51" s="918">
        <f>SUM(F43:F50)</f>
        <v>0</v>
      </c>
      <c r="G51" s="918">
        <f>SUM(G43:G50)</f>
        <v>0</v>
      </c>
      <c r="H51" s="919"/>
      <c r="I51" s="862"/>
    </row>
    <row r="52" spans="1:9" ht="20.100000000000001" customHeight="1">
      <c r="A52" s="853">
        <f t="shared" si="1"/>
        <v>28</v>
      </c>
      <c r="B52" s="939" t="s">
        <v>1047</v>
      </c>
      <c r="C52" s="921"/>
      <c r="D52" s="921"/>
      <c r="E52" s="921"/>
      <c r="F52" s="921"/>
      <c r="G52" s="921"/>
      <c r="H52" s="910"/>
      <c r="I52" s="862"/>
    </row>
    <row r="53" spans="1:9" ht="20.100000000000001" customHeight="1">
      <c r="A53" s="853">
        <f t="shared" si="1"/>
        <v>29</v>
      </c>
      <c r="B53" s="940" t="s">
        <v>1048</v>
      </c>
      <c r="C53" s="925"/>
      <c r="D53" s="925"/>
      <c r="E53" s="925"/>
      <c r="F53" s="925"/>
      <c r="G53" s="925"/>
      <c r="H53" s="926"/>
      <c r="I53" s="862"/>
    </row>
    <row r="54" spans="1:9" ht="20.100000000000001" customHeight="1" thickBot="1">
      <c r="A54" s="853">
        <f t="shared" si="1"/>
        <v>30</v>
      </c>
      <c r="B54" s="927" t="s">
        <v>21</v>
      </c>
      <c r="C54" s="928">
        <f>+C51-C52-C53</f>
        <v>-604380.61580149084</v>
      </c>
      <c r="D54" s="928">
        <f>+D51-D52-D53</f>
        <v>0</v>
      </c>
      <c r="E54" s="928">
        <f>+E51-E52-E53</f>
        <v>-604380.61580149084</v>
      </c>
      <c r="F54" s="928">
        <f>+F51-F52-F53</f>
        <v>0</v>
      </c>
      <c r="G54" s="928">
        <f>+G51-G52-G53</f>
        <v>0</v>
      </c>
      <c r="H54" s="929"/>
      <c r="I54" s="862"/>
    </row>
    <row r="55" spans="1:9" ht="20.100000000000001" customHeight="1" thickTop="1">
      <c r="A55" s="853"/>
      <c r="B55" s="861" t="s">
        <v>1057</v>
      </c>
      <c r="C55" s="861"/>
      <c r="D55" s="866"/>
      <c r="E55" s="931"/>
      <c r="F55" s="862"/>
      <c r="G55" s="933"/>
      <c r="H55" s="862"/>
    </row>
    <row r="56" spans="1:9" ht="20.100000000000001" customHeight="1">
      <c r="A56" s="853"/>
      <c r="B56" s="1133" t="s">
        <v>1050</v>
      </c>
      <c r="C56" s="1134"/>
      <c r="D56" s="1134"/>
      <c r="E56" s="1134"/>
      <c r="F56" s="1134"/>
      <c r="G56" s="1134"/>
      <c r="H56" s="862"/>
    </row>
    <row r="57" spans="1:9" ht="20.100000000000001" customHeight="1">
      <c r="A57" s="853"/>
      <c r="B57" s="865" t="s">
        <v>1051</v>
      </c>
      <c r="C57" s="862"/>
      <c r="D57" s="861"/>
      <c r="E57" s="861"/>
      <c r="F57" s="866"/>
      <c r="G57" s="866"/>
      <c r="H57" s="862"/>
    </row>
    <row r="58" spans="1:9" ht="20.100000000000001" customHeight="1">
      <c r="A58" s="853"/>
      <c r="B58" s="865" t="s">
        <v>1052</v>
      </c>
      <c r="C58" s="862"/>
      <c r="D58" s="861"/>
      <c r="E58" s="861"/>
      <c r="F58" s="866"/>
      <c r="G58" s="866"/>
      <c r="H58" s="862"/>
    </row>
    <row r="59" spans="1:9" ht="20.100000000000001" customHeight="1">
      <c r="A59" s="853"/>
      <c r="B59" s="865" t="s">
        <v>1053</v>
      </c>
      <c r="C59" s="862"/>
      <c r="D59" s="861"/>
      <c r="E59" s="861"/>
      <c r="F59" s="866"/>
      <c r="G59" s="866"/>
      <c r="H59" s="862"/>
    </row>
    <row r="60" spans="1:9" ht="35.1" customHeight="1">
      <c r="A60" s="853"/>
      <c r="B60" s="1133" t="s">
        <v>1054</v>
      </c>
      <c r="C60" s="1133"/>
      <c r="D60" s="1133"/>
      <c r="E60" s="1133"/>
      <c r="F60" s="1133"/>
      <c r="G60" s="1133"/>
      <c r="H60" s="933"/>
    </row>
    <row r="61" spans="1:9" s="853" customFormat="1">
      <c r="B61" s="865"/>
      <c r="C61" s="861"/>
      <c r="D61" s="861"/>
      <c r="E61" s="861"/>
      <c r="F61" s="861"/>
      <c r="G61" s="861"/>
      <c r="H61" s="933"/>
      <c r="I61" s="861"/>
    </row>
    <row r="62" spans="1:9" s="853" customFormat="1">
      <c r="B62" s="865"/>
      <c r="C62" s="861"/>
      <c r="D62" s="861"/>
      <c r="E62" s="861"/>
      <c r="F62" s="861"/>
      <c r="G62" s="861"/>
      <c r="H62" s="933"/>
      <c r="I62" s="861"/>
    </row>
    <row r="63" spans="1:9" s="853" customFormat="1">
      <c r="B63" s="847" t="s">
        <v>75</v>
      </c>
      <c r="C63" s="847" t="s">
        <v>76</v>
      </c>
      <c r="D63" s="847" t="s">
        <v>77</v>
      </c>
      <c r="E63" s="847" t="s">
        <v>78</v>
      </c>
      <c r="F63" s="847" t="s">
        <v>79</v>
      </c>
      <c r="G63" s="847" t="s">
        <v>80</v>
      </c>
      <c r="H63" s="847" t="s">
        <v>81</v>
      </c>
      <c r="I63" s="861"/>
    </row>
    <row r="64" spans="1:9" s="853" customFormat="1" ht="26.4">
      <c r="B64" s="861" t="s">
        <v>1058</v>
      </c>
      <c r="C64" s="906" t="s">
        <v>21</v>
      </c>
      <c r="D64" s="936" t="s">
        <v>1042</v>
      </c>
      <c r="E64" s="936" t="s">
        <v>995</v>
      </c>
      <c r="F64" s="936" t="s">
        <v>996</v>
      </c>
      <c r="G64" s="936" t="s">
        <v>997</v>
      </c>
      <c r="H64" s="906" t="s">
        <v>1043</v>
      </c>
      <c r="I64" s="861"/>
    </row>
    <row r="65" spans="1:10" ht="30" customHeight="1">
      <c r="A65" s="853">
        <f>A54+1</f>
        <v>31</v>
      </c>
      <c r="B65" s="941"/>
      <c r="C65" s="908"/>
      <c r="D65" s="909"/>
      <c r="E65" s="909"/>
      <c r="F65" s="909"/>
      <c r="G65" s="909"/>
      <c r="H65" s="910"/>
      <c r="I65" s="862"/>
    </row>
    <row r="66" spans="1:10" ht="30" customHeight="1">
      <c r="A66" s="853">
        <f t="shared" ref="A66:A78" si="2">+A65+1</f>
        <v>32</v>
      </c>
      <c r="B66" s="911"/>
      <c r="C66" s="908"/>
      <c r="D66" s="909"/>
      <c r="E66" s="909"/>
      <c r="F66" s="909"/>
      <c r="G66" s="909"/>
      <c r="H66" s="910"/>
      <c r="I66" s="862"/>
      <c r="J66" s="942"/>
    </row>
    <row r="67" spans="1:10" ht="30" customHeight="1">
      <c r="A67" s="853">
        <f t="shared" si="2"/>
        <v>33</v>
      </c>
      <c r="B67" s="911"/>
      <c r="C67" s="908"/>
      <c r="D67" s="909"/>
      <c r="E67" s="909"/>
      <c r="F67" s="909"/>
      <c r="G67" s="909"/>
      <c r="H67" s="910"/>
      <c r="I67" s="862"/>
    </row>
    <row r="68" spans="1:10" ht="30" customHeight="1">
      <c r="A68" s="853">
        <f t="shared" si="2"/>
        <v>34</v>
      </c>
      <c r="B68" s="911"/>
      <c r="C68" s="908"/>
      <c r="D68" s="909"/>
      <c r="E68" s="909"/>
      <c r="F68" s="909"/>
      <c r="G68" s="909"/>
      <c r="H68" s="910"/>
      <c r="I68" s="862"/>
    </row>
    <row r="69" spans="1:10" ht="30" customHeight="1">
      <c r="A69" s="853">
        <f t="shared" si="2"/>
        <v>35</v>
      </c>
      <c r="B69" s="911"/>
      <c r="C69" s="909"/>
      <c r="D69" s="937"/>
      <c r="E69" s="909"/>
      <c r="F69" s="909"/>
      <c r="G69" s="909"/>
      <c r="H69" s="910"/>
      <c r="I69" s="862"/>
    </row>
    <row r="70" spans="1:10" ht="30" customHeight="1">
      <c r="A70" s="853">
        <f t="shared" si="2"/>
        <v>36</v>
      </c>
      <c r="B70" s="911"/>
      <c r="C70" s="909"/>
      <c r="D70" s="937"/>
      <c r="E70" s="909"/>
      <c r="F70" s="909"/>
      <c r="G70" s="909"/>
      <c r="H70" s="910"/>
      <c r="I70" s="862"/>
    </row>
    <row r="71" spans="1:10" ht="30" customHeight="1">
      <c r="A71" s="853">
        <f t="shared" si="2"/>
        <v>37</v>
      </c>
      <c r="B71" s="911"/>
      <c r="C71" s="909"/>
      <c r="D71" s="937"/>
      <c r="E71" s="909"/>
      <c r="F71" s="909"/>
      <c r="G71" s="909"/>
      <c r="H71" s="910"/>
      <c r="I71" s="862"/>
    </row>
    <row r="72" spans="1:10" ht="30" customHeight="1">
      <c r="A72" s="853">
        <f t="shared" si="2"/>
        <v>38</v>
      </c>
      <c r="B72" s="1008" t="s">
        <v>1116</v>
      </c>
      <c r="C72" s="909">
        <f>E72</f>
        <v>0</v>
      </c>
      <c r="D72" s="912"/>
      <c r="E72" s="909">
        <v>0</v>
      </c>
      <c r="F72" s="909"/>
      <c r="G72" s="909"/>
      <c r="H72" s="910"/>
      <c r="I72" s="862"/>
    </row>
    <row r="73" spans="1:10" ht="30" customHeight="1">
      <c r="A73" s="853">
        <f t="shared" si="2"/>
        <v>39</v>
      </c>
      <c r="B73" s="1008" t="s">
        <v>1117</v>
      </c>
      <c r="C73" s="909">
        <f>E73</f>
        <v>0</v>
      </c>
      <c r="D73" s="909"/>
      <c r="E73" s="909"/>
      <c r="F73" s="909"/>
      <c r="G73" s="909"/>
      <c r="H73" s="910"/>
      <c r="I73" s="862"/>
    </row>
    <row r="74" spans="1:10" ht="30" customHeight="1">
      <c r="A74" s="853">
        <f t="shared" si="2"/>
        <v>40</v>
      </c>
      <c r="B74" s="913" t="s">
        <v>1118</v>
      </c>
      <c r="C74" s="943">
        <f>E74</f>
        <v>0</v>
      </c>
      <c r="D74" s="943"/>
      <c r="E74" s="943">
        <v>0</v>
      </c>
      <c r="F74" s="943"/>
      <c r="G74" s="943"/>
      <c r="H74" s="915" t="s">
        <v>1045</v>
      </c>
      <c r="I74" s="862"/>
    </row>
    <row r="75" spans="1:10" ht="20.100000000000001" customHeight="1">
      <c r="A75" s="853">
        <f t="shared" si="2"/>
        <v>41</v>
      </c>
      <c r="B75" s="944" t="s">
        <v>1059</v>
      </c>
      <c r="C75" s="917">
        <f>SUBTOTAL(9,C65:C74)</f>
        <v>0</v>
      </c>
      <c r="D75" s="917">
        <f>SUM(D65:D74)</f>
        <v>0</v>
      </c>
      <c r="E75" s="917">
        <f>SUM(E65:E74)</f>
        <v>0</v>
      </c>
      <c r="F75" s="917">
        <f>SUM(F65:F74)</f>
        <v>0</v>
      </c>
      <c r="G75" s="917">
        <f>SUM(G65:G74)</f>
        <v>0</v>
      </c>
      <c r="H75" s="910"/>
      <c r="I75" s="862"/>
    </row>
    <row r="76" spans="1:10" ht="20.100000000000001" customHeight="1">
      <c r="A76" s="853">
        <f t="shared" si="2"/>
        <v>42</v>
      </c>
      <c r="B76" s="945" t="s">
        <v>1047</v>
      </c>
      <c r="C76" s="922"/>
      <c r="D76" s="922"/>
      <c r="E76" s="922"/>
      <c r="F76" s="922"/>
      <c r="G76" s="922"/>
      <c r="H76" s="910"/>
      <c r="I76" s="862"/>
    </row>
    <row r="77" spans="1:10" ht="20.100000000000001" customHeight="1">
      <c r="A77" s="853">
        <f t="shared" si="2"/>
        <v>43</v>
      </c>
      <c r="B77" s="946" t="s">
        <v>1048</v>
      </c>
      <c r="C77" s="947"/>
      <c r="D77" s="947"/>
      <c r="E77" s="947"/>
      <c r="F77" s="947"/>
      <c r="G77" s="947"/>
      <c r="H77" s="926"/>
      <c r="I77" s="862"/>
    </row>
    <row r="78" spans="1:10" ht="20.100000000000001" customHeight="1" thickBot="1">
      <c r="A78" s="853">
        <f t="shared" si="2"/>
        <v>44</v>
      </c>
      <c r="B78" s="927" t="s">
        <v>21</v>
      </c>
      <c r="C78" s="948">
        <f>+C75-C76-C77</f>
        <v>0</v>
      </c>
      <c r="D78" s="948">
        <f>+D75-D76-D77</f>
        <v>0</v>
      </c>
      <c r="E78" s="948">
        <f>+E75-E76-E77</f>
        <v>0</v>
      </c>
      <c r="F78" s="948">
        <f>+F75-F76-F77</f>
        <v>0</v>
      </c>
      <c r="G78" s="948">
        <f>+G75-G76-G77</f>
        <v>0</v>
      </c>
      <c r="H78" s="929"/>
      <c r="I78" s="862"/>
    </row>
    <row r="79" spans="1:10" ht="20.100000000000001" customHeight="1" thickTop="1">
      <c r="A79" s="853"/>
      <c r="B79" s="861" t="s">
        <v>1060</v>
      </c>
      <c r="C79" s="861"/>
      <c r="D79" s="861"/>
      <c r="E79" s="866"/>
      <c r="F79" s="866"/>
      <c r="G79" s="862"/>
      <c r="H79" s="949"/>
      <c r="I79" s="862"/>
    </row>
    <row r="80" spans="1:10" ht="20.100000000000001" customHeight="1">
      <c r="A80" s="853"/>
      <c r="B80" s="1133" t="s">
        <v>1050</v>
      </c>
      <c r="C80" s="1134"/>
      <c r="D80" s="1134"/>
      <c r="E80" s="1134"/>
      <c r="F80" s="1134"/>
      <c r="G80" s="1134"/>
      <c r="H80" s="862"/>
    </row>
    <row r="81" spans="1:9" ht="20.100000000000001" customHeight="1">
      <c r="A81" s="853"/>
      <c r="B81" s="865" t="s">
        <v>1051</v>
      </c>
      <c r="C81" s="862"/>
      <c r="D81" s="861"/>
      <c r="E81" s="861"/>
      <c r="F81" s="866"/>
      <c r="G81" s="866"/>
      <c r="H81" s="862"/>
    </row>
    <row r="82" spans="1:9" ht="20.100000000000001" customHeight="1">
      <c r="A82" s="853"/>
      <c r="B82" s="865" t="s">
        <v>1052</v>
      </c>
      <c r="C82" s="862"/>
      <c r="D82" s="861"/>
      <c r="E82" s="861"/>
      <c r="F82" s="866"/>
      <c r="G82" s="866"/>
      <c r="H82" s="862"/>
    </row>
    <row r="83" spans="1:9" ht="20.100000000000001" customHeight="1">
      <c r="A83" s="853"/>
      <c r="B83" s="865" t="s">
        <v>1053</v>
      </c>
      <c r="C83" s="862"/>
      <c r="D83" s="861"/>
      <c r="E83" s="861"/>
      <c r="F83" s="866"/>
      <c r="G83" s="866"/>
      <c r="H83" s="862"/>
    </row>
    <row r="84" spans="1:9" ht="35.1" customHeight="1">
      <c r="A84" s="853"/>
      <c r="B84" s="1133" t="s">
        <v>1054</v>
      </c>
      <c r="C84" s="1133"/>
      <c r="D84" s="1133"/>
      <c r="E84" s="1133"/>
      <c r="F84" s="1133"/>
      <c r="G84" s="1133"/>
      <c r="H84" s="862"/>
    </row>
    <row r="85" spans="1:9">
      <c r="B85" s="950"/>
      <c r="C85" s="862"/>
      <c r="D85" s="862"/>
      <c r="E85" s="862"/>
      <c r="F85" s="862"/>
      <c r="G85" s="862"/>
      <c r="H85" s="862"/>
      <c r="I85" s="862"/>
    </row>
    <row r="86" spans="1:9" ht="15.75" customHeight="1">
      <c r="B86" s="951"/>
      <c r="C86" s="951"/>
      <c r="D86" s="951"/>
      <c r="E86" s="951"/>
      <c r="F86" s="951"/>
      <c r="G86" s="951"/>
      <c r="H86" s="951"/>
      <c r="I86" s="862"/>
    </row>
    <row r="87" spans="1:9">
      <c r="B87" s="1135"/>
      <c r="C87" s="1135"/>
      <c r="D87" s="1135"/>
      <c r="E87" s="1135"/>
      <c r="F87" s="1135"/>
      <c r="G87" s="1135"/>
      <c r="H87" s="1135"/>
      <c r="I87" s="952"/>
    </row>
    <row r="88" spans="1:9">
      <c r="B88" s="861"/>
      <c r="C88" s="861"/>
      <c r="D88" s="861"/>
      <c r="E88" s="861"/>
      <c r="F88" s="861"/>
      <c r="G88" s="861"/>
      <c r="H88" s="861"/>
      <c r="I88" s="862"/>
    </row>
    <row r="89" spans="1:9">
      <c r="B89" s="861"/>
      <c r="C89" s="861"/>
      <c r="D89" s="861"/>
      <c r="E89" s="861"/>
      <c r="F89" s="861"/>
      <c r="G89" s="861"/>
      <c r="H89" s="861"/>
      <c r="I89" s="862"/>
    </row>
    <row r="90" spans="1:9" ht="15.75" customHeight="1">
      <c r="B90" s="861"/>
      <c r="C90" s="861"/>
      <c r="D90" s="861"/>
      <c r="E90" s="861"/>
      <c r="F90" s="861"/>
      <c r="G90" s="861"/>
      <c r="H90" s="861"/>
      <c r="I90" s="862"/>
    </row>
    <row r="91" spans="1:9">
      <c r="B91" s="861"/>
      <c r="C91" s="861"/>
      <c r="D91" s="863"/>
      <c r="E91" s="863"/>
      <c r="F91" s="863"/>
      <c r="G91" s="863"/>
      <c r="H91" s="863"/>
      <c r="I91" s="864"/>
    </row>
    <row r="92" spans="1:9">
      <c r="B92" s="861"/>
      <c r="C92" s="861"/>
      <c r="D92" s="863"/>
      <c r="E92" s="863"/>
      <c r="F92" s="863"/>
      <c r="G92" s="863"/>
      <c r="H92" s="863"/>
      <c r="I92" s="864"/>
    </row>
    <row r="93" spans="1:9">
      <c r="B93" s="865"/>
      <c r="C93" s="861"/>
      <c r="D93" s="866"/>
      <c r="E93" s="866"/>
      <c r="F93" s="861"/>
      <c r="G93" s="861"/>
      <c r="H93" s="861"/>
      <c r="I93" s="862"/>
    </row>
    <row r="94" spans="1:9">
      <c r="B94" s="865"/>
      <c r="C94" s="861"/>
      <c r="D94" s="546"/>
      <c r="E94" s="546"/>
      <c r="F94" s="861"/>
      <c r="G94" s="861"/>
      <c r="H94" s="861"/>
      <c r="I94" s="862"/>
    </row>
    <row r="95" spans="1:9">
      <c r="B95" s="865"/>
      <c r="C95" s="861"/>
      <c r="D95" s="546"/>
      <c r="E95" s="546"/>
      <c r="F95" s="861"/>
      <c r="G95" s="861"/>
      <c r="H95" s="861"/>
      <c r="I95" s="862"/>
    </row>
    <row r="96" spans="1:9">
      <c r="B96" s="865"/>
      <c r="C96" s="861"/>
      <c r="D96" s="546"/>
      <c r="E96" s="546"/>
      <c r="F96" s="861"/>
      <c r="G96" s="861"/>
      <c r="H96" s="861"/>
      <c r="I96" s="862"/>
    </row>
    <row r="97" spans="2:9">
      <c r="B97" s="865"/>
      <c r="C97" s="861"/>
      <c r="D97" s="546"/>
      <c r="E97" s="546"/>
      <c r="F97" s="861"/>
      <c r="G97" s="861"/>
      <c r="H97" s="861"/>
      <c r="I97" s="862"/>
    </row>
    <row r="98" spans="2:9">
      <c r="B98" s="865"/>
      <c r="C98" s="861"/>
      <c r="D98" s="546"/>
      <c r="E98" s="546"/>
      <c r="F98" s="861"/>
      <c r="G98" s="861"/>
      <c r="H98" s="861"/>
      <c r="I98" s="862"/>
    </row>
    <row r="99" spans="2:9">
      <c r="B99" s="865"/>
      <c r="C99" s="861"/>
      <c r="D99" s="546"/>
      <c r="E99" s="546"/>
      <c r="F99" s="861"/>
      <c r="G99" s="861"/>
      <c r="H99" s="861"/>
      <c r="I99" s="862"/>
    </row>
    <row r="100" spans="2:9">
      <c r="B100" s="865"/>
      <c r="C100" s="861"/>
      <c r="D100" s="546"/>
      <c r="E100" s="546"/>
      <c r="F100" s="861"/>
      <c r="G100" s="861"/>
      <c r="H100" s="861"/>
      <c r="I100" s="862"/>
    </row>
    <row r="101" spans="2:9">
      <c r="B101" s="865"/>
      <c r="C101" s="861"/>
      <c r="D101" s="546"/>
      <c r="E101" s="546"/>
      <c r="F101" s="861"/>
      <c r="G101" s="861"/>
      <c r="H101" s="861"/>
      <c r="I101" s="862"/>
    </row>
    <row r="102" spans="2:9">
      <c r="B102" s="865"/>
      <c r="C102" s="861"/>
      <c r="D102" s="546"/>
      <c r="E102" s="546"/>
      <c r="F102" s="861"/>
      <c r="G102" s="861"/>
      <c r="H102" s="861"/>
      <c r="I102" s="862"/>
    </row>
    <row r="103" spans="2:9">
      <c r="B103" s="865"/>
      <c r="C103" s="861"/>
      <c r="D103" s="546"/>
      <c r="E103" s="546"/>
      <c r="F103" s="861"/>
      <c r="G103" s="861"/>
      <c r="H103" s="861"/>
      <c r="I103" s="862"/>
    </row>
    <row r="104" spans="2:9">
      <c r="B104" s="861"/>
      <c r="C104" s="861"/>
      <c r="D104" s="546"/>
      <c r="E104" s="546"/>
      <c r="F104" s="861"/>
      <c r="G104" s="861"/>
      <c r="H104" s="861"/>
      <c r="I104" s="862"/>
    </row>
    <row r="105" spans="2:9">
      <c r="B105" s="865"/>
      <c r="C105" s="861"/>
      <c r="D105" s="546"/>
      <c r="E105" s="546"/>
      <c r="F105" s="861"/>
      <c r="G105" s="861"/>
      <c r="H105" s="861"/>
      <c r="I105" s="862"/>
    </row>
    <row r="106" spans="2:9">
      <c r="B106" s="861"/>
      <c r="C106" s="861"/>
      <c r="D106" s="546"/>
      <c r="E106" s="546"/>
      <c r="F106" s="861"/>
      <c r="G106" s="861"/>
      <c r="H106" s="861"/>
      <c r="I106" s="862"/>
    </row>
    <row r="107" spans="2:9">
      <c r="B107" s="865"/>
      <c r="C107" s="861"/>
      <c r="D107" s="861"/>
      <c r="E107" s="861"/>
      <c r="F107" s="861"/>
      <c r="G107" s="861"/>
      <c r="H107" s="861"/>
      <c r="I107" s="862"/>
    </row>
    <row r="108" spans="2:9">
      <c r="B108" s="865"/>
      <c r="C108" s="861"/>
      <c r="D108" s="861"/>
      <c r="E108" s="861"/>
      <c r="F108" s="861"/>
      <c r="G108" s="861"/>
      <c r="H108" s="861"/>
    </row>
    <row r="109" spans="2:9">
      <c r="B109" s="865"/>
      <c r="C109" s="861"/>
      <c r="D109" s="861"/>
      <c r="E109" s="861"/>
      <c r="F109" s="861"/>
      <c r="G109" s="861"/>
      <c r="H109" s="861"/>
    </row>
    <row r="110" spans="2:9">
      <c r="B110" s="865"/>
      <c r="C110" s="861"/>
      <c r="D110" s="861"/>
      <c r="E110" s="861"/>
      <c r="F110" s="861"/>
      <c r="G110" s="861"/>
      <c r="H110" s="861"/>
    </row>
    <row r="111" spans="2:9">
      <c r="B111" s="865"/>
      <c r="C111" s="861"/>
      <c r="D111" s="861"/>
      <c r="E111" s="861"/>
      <c r="F111" s="861"/>
      <c r="G111" s="861"/>
      <c r="H111" s="861"/>
    </row>
    <row r="112" spans="2:9">
      <c r="B112" s="865"/>
      <c r="C112" s="861"/>
      <c r="D112" s="861"/>
      <c r="E112" s="861"/>
      <c r="F112" s="861"/>
      <c r="G112" s="861"/>
      <c r="H112" s="861"/>
    </row>
    <row r="113" spans="2:8">
      <c r="B113" s="865"/>
      <c r="C113" s="861"/>
      <c r="D113" s="861"/>
      <c r="E113" s="861"/>
      <c r="F113" s="861"/>
      <c r="G113" s="861"/>
      <c r="H113" s="861"/>
    </row>
    <row r="114" spans="2:8">
      <c r="B114" s="865"/>
      <c r="C114" s="861"/>
      <c r="D114" s="861"/>
      <c r="E114" s="861"/>
      <c r="F114" s="861"/>
      <c r="G114" s="861"/>
      <c r="H114" s="861"/>
    </row>
    <row r="115" spans="2:8">
      <c r="B115" s="865"/>
      <c r="C115" s="861"/>
      <c r="D115" s="861"/>
      <c r="E115" s="861"/>
      <c r="F115" s="861"/>
      <c r="G115" s="861"/>
      <c r="H115" s="861"/>
    </row>
    <row r="116" spans="2:8">
      <c r="B116" s="865"/>
      <c r="C116" s="861"/>
      <c r="D116" s="861"/>
      <c r="E116" s="861"/>
      <c r="F116" s="861"/>
      <c r="G116" s="861"/>
      <c r="H116" s="861"/>
    </row>
    <row r="117" spans="2:8">
      <c r="B117" s="865"/>
      <c r="C117" s="861"/>
      <c r="D117" s="861"/>
      <c r="E117" s="861"/>
      <c r="F117" s="861"/>
      <c r="G117" s="861"/>
      <c r="H117" s="861"/>
    </row>
    <row r="118" spans="2:8">
      <c r="B118" s="865"/>
      <c r="C118" s="861"/>
      <c r="D118" s="861"/>
      <c r="E118" s="861"/>
      <c r="F118" s="861"/>
      <c r="G118" s="861"/>
      <c r="H118" s="861"/>
    </row>
    <row r="119" spans="2:8">
      <c r="B119" s="865"/>
      <c r="C119" s="861"/>
      <c r="D119" s="861"/>
      <c r="E119" s="861"/>
      <c r="F119" s="861"/>
      <c r="G119" s="861"/>
      <c r="H119" s="861"/>
    </row>
    <row r="120" spans="2:8">
      <c r="B120" s="865"/>
      <c r="C120" s="861"/>
      <c r="D120" s="861"/>
      <c r="E120" s="861"/>
      <c r="F120" s="861"/>
      <c r="G120" s="861"/>
      <c r="H120" s="861"/>
    </row>
    <row r="121" spans="2:8">
      <c r="B121" s="865"/>
      <c r="C121" s="861"/>
      <c r="D121" s="861"/>
      <c r="E121" s="861"/>
      <c r="F121" s="861"/>
      <c r="G121" s="861"/>
      <c r="H121" s="861"/>
    </row>
    <row r="122" spans="2:8">
      <c r="B122" s="865"/>
      <c r="C122" s="861"/>
      <c r="D122" s="861"/>
      <c r="E122" s="861"/>
      <c r="F122" s="861"/>
      <c r="G122" s="861"/>
      <c r="H122" s="861"/>
    </row>
    <row r="123" spans="2:8">
      <c r="B123" s="865"/>
      <c r="C123" s="861"/>
      <c r="D123" s="861"/>
      <c r="E123" s="861"/>
      <c r="F123" s="861"/>
      <c r="G123" s="861"/>
      <c r="H123" s="861"/>
    </row>
    <row r="124" spans="2:8">
      <c r="B124" s="865"/>
      <c r="C124" s="861"/>
      <c r="D124" s="861"/>
      <c r="E124" s="861"/>
      <c r="F124" s="861"/>
      <c r="G124" s="861"/>
      <c r="H124" s="861"/>
    </row>
    <row r="125" spans="2:8">
      <c r="B125" s="865"/>
      <c r="C125" s="861"/>
      <c r="D125" s="861"/>
      <c r="E125" s="861"/>
      <c r="F125" s="861"/>
      <c r="G125" s="861"/>
      <c r="H125" s="861"/>
    </row>
    <row r="126" spans="2:8">
      <c r="B126" s="865"/>
      <c r="C126" s="861"/>
      <c r="D126" s="861"/>
      <c r="E126" s="861"/>
      <c r="F126" s="861"/>
      <c r="G126" s="861"/>
      <c r="H126" s="861"/>
    </row>
    <row r="127" spans="2:8">
      <c r="B127" s="865"/>
      <c r="C127" s="861"/>
      <c r="D127" s="861"/>
      <c r="E127" s="861"/>
      <c r="F127" s="861"/>
      <c r="G127" s="861"/>
      <c r="H127" s="861"/>
    </row>
    <row r="128" spans="2:8">
      <c r="B128" s="865"/>
      <c r="C128" s="861"/>
      <c r="D128" s="861"/>
      <c r="E128" s="861"/>
      <c r="F128" s="861"/>
      <c r="G128" s="861"/>
      <c r="H128" s="861"/>
    </row>
    <row r="129" spans="2:8">
      <c r="B129" s="865"/>
      <c r="C129" s="861"/>
      <c r="D129" s="861"/>
      <c r="E129" s="861"/>
      <c r="F129" s="861"/>
      <c r="G129" s="861"/>
      <c r="H129" s="861"/>
    </row>
    <row r="130" spans="2:8">
      <c r="B130" s="865"/>
      <c r="C130" s="861"/>
      <c r="D130" s="861"/>
      <c r="E130" s="861"/>
      <c r="F130" s="861"/>
      <c r="G130" s="861"/>
      <c r="H130" s="861"/>
    </row>
    <row r="131" spans="2:8">
      <c r="B131" s="865"/>
      <c r="C131" s="861"/>
      <c r="D131" s="861"/>
      <c r="E131" s="861"/>
      <c r="F131" s="861"/>
      <c r="G131" s="861"/>
      <c r="H131" s="861"/>
    </row>
    <row r="132" spans="2:8">
      <c r="B132" s="865"/>
      <c r="C132" s="861"/>
      <c r="D132" s="861"/>
      <c r="E132" s="861"/>
      <c r="F132" s="861"/>
      <c r="G132" s="861"/>
      <c r="H132" s="861"/>
    </row>
    <row r="133" spans="2:8">
      <c r="B133" s="865"/>
      <c r="C133" s="861"/>
      <c r="D133" s="861"/>
      <c r="E133" s="861"/>
      <c r="F133" s="861"/>
      <c r="G133" s="861"/>
      <c r="H133" s="861"/>
    </row>
    <row r="134" spans="2:8">
      <c r="B134" s="865"/>
      <c r="C134" s="861"/>
      <c r="D134" s="861"/>
      <c r="E134" s="861"/>
      <c r="F134" s="861"/>
      <c r="G134" s="861"/>
      <c r="H134" s="861"/>
    </row>
    <row r="135" spans="2:8">
      <c r="B135" s="865"/>
      <c r="C135" s="861"/>
      <c r="D135" s="861"/>
      <c r="E135" s="861"/>
      <c r="F135" s="861"/>
      <c r="G135" s="861"/>
      <c r="H135" s="861"/>
    </row>
    <row r="136" spans="2:8">
      <c r="B136" s="865"/>
      <c r="C136" s="861"/>
      <c r="D136" s="861"/>
      <c r="E136" s="861"/>
      <c r="F136" s="861"/>
      <c r="G136" s="861"/>
      <c r="H136" s="861"/>
    </row>
    <row r="137" spans="2:8">
      <c r="B137" s="865"/>
      <c r="C137" s="861"/>
      <c r="D137" s="861"/>
      <c r="E137" s="861"/>
      <c r="F137" s="861"/>
      <c r="G137" s="861"/>
      <c r="H137" s="861"/>
    </row>
    <row r="138" spans="2:8">
      <c r="B138" s="865"/>
      <c r="C138" s="861"/>
      <c r="D138" s="861"/>
      <c r="E138" s="861"/>
      <c r="F138" s="861"/>
      <c r="G138" s="861"/>
      <c r="H138" s="861"/>
    </row>
    <row r="139" spans="2:8">
      <c r="B139" s="865"/>
      <c r="C139" s="861"/>
      <c r="D139" s="861"/>
      <c r="E139" s="861"/>
      <c r="F139" s="861"/>
      <c r="G139" s="861"/>
      <c r="H139" s="861"/>
    </row>
    <row r="140" spans="2:8">
      <c r="B140" s="865"/>
      <c r="C140" s="861"/>
      <c r="D140" s="861"/>
      <c r="E140" s="861"/>
      <c r="F140" s="861"/>
      <c r="G140" s="861"/>
      <c r="H140" s="861"/>
    </row>
    <row r="141" spans="2:8">
      <c r="B141" s="865"/>
      <c r="C141" s="861"/>
      <c r="D141" s="861"/>
      <c r="E141" s="861"/>
      <c r="F141" s="861"/>
      <c r="G141" s="861"/>
      <c r="H141" s="861"/>
    </row>
    <row r="142" spans="2:8">
      <c r="B142" s="865"/>
      <c r="C142" s="861"/>
      <c r="D142" s="861"/>
      <c r="E142" s="861"/>
      <c r="F142" s="861"/>
      <c r="G142" s="861"/>
      <c r="H142" s="861"/>
    </row>
    <row r="143" spans="2:8">
      <c r="B143" s="865"/>
      <c r="C143" s="861"/>
      <c r="D143" s="861"/>
      <c r="E143" s="861"/>
      <c r="F143" s="861"/>
      <c r="G143" s="861"/>
      <c r="H143" s="861"/>
    </row>
    <row r="144" spans="2:8">
      <c r="B144" s="865"/>
      <c r="C144" s="861"/>
      <c r="D144" s="861"/>
      <c r="E144" s="861"/>
      <c r="F144" s="861"/>
      <c r="G144" s="861"/>
      <c r="H144" s="861"/>
    </row>
    <row r="145" spans="2:8">
      <c r="B145" s="865"/>
      <c r="C145" s="861"/>
      <c r="D145" s="861"/>
      <c r="E145" s="861"/>
      <c r="F145" s="861"/>
      <c r="G145" s="861"/>
      <c r="H145" s="861"/>
    </row>
    <row r="146" spans="2:8">
      <c r="B146" s="865"/>
      <c r="C146" s="861"/>
      <c r="D146" s="861"/>
      <c r="E146" s="861"/>
      <c r="F146" s="861"/>
      <c r="G146" s="861"/>
      <c r="H146" s="861"/>
    </row>
    <row r="147" spans="2:8">
      <c r="B147" s="865"/>
      <c r="C147" s="861"/>
      <c r="D147" s="861"/>
      <c r="E147" s="861"/>
      <c r="F147" s="861"/>
      <c r="G147" s="861"/>
      <c r="H147" s="861"/>
    </row>
    <row r="148" spans="2:8">
      <c r="B148" s="865"/>
      <c r="C148" s="861"/>
      <c r="D148" s="861"/>
      <c r="E148" s="861"/>
      <c r="F148" s="861"/>
      <c r="G148" s="861"/>
      <c r="H148" s="861"/>
    </row>
    <row r="149" spans="2:8">
      <c r="B149" s="865"/>
      <c r="C149" s="861"/>
      <c r="D149" s="861"/>
      <c r="E149" s="861"/>
      <c r="F149" s="861"/>
      <c r="G149" s="861"/>
      <c r="H149" s="861"/>
    </row>
    <row r="150" spans="2:8">
      <c r="B150" s="865"/>
      <c r="C150" s="861"/>
      <c r="D150" s="861"/>
      <c r="E150" s="861"/>
      <c r="F150" s="861"/>
      <c r="G150" s="861"/>
      <c r="H150" s="861"/>
    </row>
    <row r="151" spans="2:8">
      <c r="B151" s="865"/>
      <c r="C151" s="861"/>
      <c r="D151" s="861"/>
      <c r="E151" s="861"/>
      <c r="F151" s="861"/>
      <c r="G151" s="861"/>
      <c r="H151" s="861"/>
    </row>
    <row r="152" spans="2:8">
      <c r="B152" s="865"/>
      <c r="C152" s="861"/>
      <c r="D152" s="861"/>
      <c r="E152" s="861"/>
      <c r="F152" s="861"/>
      <c r="G152" s="861"/>
      <c r="H152" s="861"/>
    </row>
    <row r="153" spans="2:8">
      <c r="B153" s="865"/>
      <c r="C153" s="861"/>
      <c r="D153" s="861"/>
      <c r="E153" s="861"/>
      <c r="F153" s="861"/>
      <c r="G153" s="861"/>
      <c r="H153" s="861"/>
    </row>
    <row r="154" spans="2:8">
      <c r="B154" s="865"/>
      <c r="C154" s="861"/>
      <c r="D154" s="861"/>
      <c r="E154" s="861"/>
      <c r="F154" s="861"/>
      <c r="G154" s="861"/>
      <c r="H154" s="861"/>
    </row>
    <row r="155" spans="2:8">
      <c r="B155" s="865"/>
      <c r="C155" s="861"/>
      <c r="D155" s="861"/>
      <c r="E155" s="861"/>
      <c r="F155" s="861"/>
      <c r="G155" s="861"/>
      <c r="H155" s="861"/>
    </row>
    <row r="156" spans="2:8">
      <c r="B156" s="865"/>
      <c r="C156" s="861"/>
      <c r="D156" s="861"/>
      <c r="E156" s="861"/>
      <c r="F156" s="861"/>
      <c r="G156" s="861"/>
      <c r="H156" s="861"/>
    </row>
    <row r="157" spans="2:8">
      <c r="B157" s="865"/>
      <c r="C157" s="861"/>
      <c r="D157" s="861"/>
      <c r="E157" s="861"/>
      <c r="F157" s="861"/>
      <c r="G157" s="861"/>
      <c r="H157" s="861"/>
    </row>
    <row r="158" spans="2:8">
      <c r="B158" s="865"/>
      <c r="C158" s="861"/>
      <c r="D158" s="861"/>
      <c r="E158" s="861"/>
      <c r="F158" s="861"/>
      <c r="G158" s="861"/>
      <c r="H158" s="861"/>
    </row>
    <row r="159" spans="2:8">
      <c r="B159" s="865"/>
      <c r="C159" s="861"/>
      <c r="D159" s="861"/>
      <c r="E159" s="861"/>
      <c r="F159" s="861"/>
      <c r="G159" s="861"/>
      <c r="H159" s="861"/>
    </row>
    <row r="160" spans="2:8">
      <c r="B160" s="865"/>
      <c r="C160" s="861"/>
      <c r="D160" s="861"/>
      <c r="E160" s="861"/>
      <c r="F160" s="861"/>
      <c r="G160" s="861"/>
      <c r="H160" s="861"/>
    </row>
    <row r="161" spans="2:8">
      <c r="B161" s="865"/>
      <c r="C161" s="861"/>
      <c r="D161" s="861"/>
      <c r="E161" s="861"/>
      <c r="F161" s="861"/>
      <c r="G161" s="861"/>
      <c r="H161" s="861"/>
    </row>
    <row r="162" spans="2:8">
      <c r="B162" s="865"/>
      <c r="C162" s="861"/>
      <c r="D162" s="861"/>
      <c r="E162" s="861"/>
      <c r="F162" s="861"/>
      <c r="G162" s="861"/>
      <c r="H162" s="861"/>
    </row>
    <row r="163" spans="2:8">
      <c r="B163" s="865"/>
      <c r="C163" s="861"/>
      <c r="D163" s="861"/>
      <c r="E163" s="861"/>
      <c r="F163" s="861"/>
      <c r="G163" s="861"/>
      <c r="H163" s="861"/>
    </row>
    <row r="164" spans="2:8">
      <c r="B164" s="865"/>
      <c r="C164" s="861"/>
      <c r="D164" s="861"/>
      <c r="E164" s="861"/>
      <c r="F164" s="861"/>
      <c r="G164" s="861"/>
      <c r="H164" s="861"/>
    </row>
    <row r="165" spans="2:8">
      <c r="B165" s="865"/>
      <c r="C165" s="861"/>
      <c r="D165" s="861"/>
      <c r="E165" s="861"/>
      <c r="F165" s="861"/>
      <c r="G165" s="861"/>
      <c r="H165" s="861"/>
    </row>
    <row r="166" spans="2:8">
      <c r="B166" s="865"/>
      <c r="C166" s="861"/>
      <c r="D166" s="861"/>
      <c r="E166" s="861"/>
      <c r="F166" s="861"/>
      <c r="G166" s="861"/>
      <c r="H166" s="861"/>
    </row>
    <row r="167" spans="2:8">
      <c r="B167" s="865"/>
      <c r="C167" s="861"/>
      <c r="D167" s="861"/>
      <c r="E167" s="861"/>
      <c r="F167" s="861"/>
      <c r="G167" s="861"/>
      <c r="H167" s="861"/>
    </row>
    <row r="168" spans="2:8">
      <c r="B168" s="865"/>
      <c r="C168" s="861"/>
      <c r="D168" s="861"/>
      <c r="E168" s="861"/>
      <c r="F168" s="861"/>
      <c r="G168" s="861"/>
      <c r="H168" s="861"/>
    </row>
    <row r="169" spans="2:8">
      <c r="B169" s="865"/>
      <c r="C169" s="861"/>
      <c r="D169" s="861"/>
      <c r="E169" s="861"/>
      <c r="F169" s="861"/>
      <c r="G169" s="861"/>
      <c r="H169" s="861"/>
    </row>
    <row r="170" spans="2:8">
      <c r="B170" s="865"/>
      <c r="C170" s="861"/>
      <c r="D170" s="861"/>
      <c r="E170" s="861"/>
      <c r="F170" s="861"/>
      <c r="G170" s="861"/>
      <c r="H170" s="861"/>
    </row>
    <row r="171" spans="2:8">
      <c r="B171" s="865"/>
      <c r="C171" s="861"/>
      <c r="D171" s="861"/>
      <c r="E171" s="861"/>
      <c r="F171" s="861"/>
      <c r="G171" s="861"/>
      <c r="H171" s="861"/>
    </row>
    <row r="172" spans="2:8">
      <c r="B172" s="865"/>
      <c r="C172" s="861"/>
      <c r="D172" s="861"/>
      <c r="E172" s="861"/>
      <c r="F172" s="861"/>
      <c r="G172" s="861"/>
      <c r="H172" s="861"/>
    </row>
    <row r="173" spans="2:8">
      <c r="B173" s="865"/>
      <c r="C173" s="861"/>
      <c r="D173" s="861"/>
      <c r="E173" s="861"/>
      <c r="F173" s="861"/>
      <c r="G173" s="861"/>
      <c r="H173" s="861"/>
    </row>
    <row r="174" spans="2:8">
      <c r="B174" s="865"/>
      <c r="C174" s="861"/>
      <c r="D174" s="861"/>
      <c r="E174" s="861"/>
      <c r="F174" s="861"/>
      <c r="G174" s="861"/>
      <c r="H174" s="861"/>
    </row>
    <row r="175" spans="2:8">
      <c r="B175" s="865"/>
      <c r="C175" s="861"/>
      <c r="D175" s="861"/>
      <c r="E175" s="861"/>
      <c r="F175" s="861"/>
      <c r="G175" s="861"/>
      <c r="H175" s="861"/>
    </row>
    <row r="176" spans="2:8">
      <c r="B176" s="865"/>
      <c r="C176" s="861"/>
      <c r="D176" s="861"/>
      <c r="E176" s="861"/>
      <c r="F176" s="861"/>
      <c r="G176" s="861"/>
      <c r="H176" s="861"/>
    </row>
    <row r="177" spans="2:8">
      <c r="B177" s="865"/>
      <c r="C177" s="861"/>
      <c r="D177" s="861"/>
      <c r="E177" s="861"/>
      <c r="F177" s="861"/>
      <c r="G177" s="861"/>
      <c r="H177" s="861"/>
    </row>
    <row r="178" spans="2:8">
      <c r="B178" s="865"/>
      <c r="C178" s="861"/>
      <c r="D178" s="861"/>
      <c r="E178" s="861"/>
      <c r="F178" s="861"/>
      <c r="G178" s="861"/>
      <c r="H178" s="861"/>
    </row>
    <row r="179" spans="2:8">
      <c r="B179" s="865"/>
      <c r="C179" s="861"/>
      <c r="D179" s="861"/>
      <c r="E179" s="861"/>
      <c r="F179" s="861"/>
      <c r="G179" s="861"/>
      <c r="H179" s="861"/>
    </row>
    <row r="180" spans="2:8">
      <c r="B180" s="865"/>
      <c r="C180" s="861"/>
      <c r="D180" s="861"/>
      <c r="E180" s="861"/>
      <c r="F180" s="861"/>
      <c r="G180" s="861"/>
      <c r="H180" s="861"/>
    </row>
    <row r="181" spans="2:8">
      <c r="B181" s="865"/>
      <c r="C181" s="861"/>
      <c r="D181" s="861"/>
      <c r="E181" s="861"/>
      <c r="F181" s="861"/>
      <c r="G181" s="861"/>
      <c r="H181" s="861"/>
    </row>
    <row r="182" spans="2:8">
      <c r="B182" s="865"/>
      <c r="C182" s="861"/>
      <c r="D182" s="861"/>
      <c r="E182" s="861"/>
      <c r="F182" s="861"/>
      <c r="G182" s="861"/>
      <c r="H182" s="861"/>
    </row>
    <row r="183" spans="2:8">
      <c r="B183" s="865"/>
      <c r="C183" s="861"/>
      <c r="D183" s="861"/>
      <c r="E183" s="861"/>
      <c r="F183" s="861"/>
      <c r="G183" s="861"/>
      <c r="H183" s="861"/>
    </row>
    <row r="184" spans="2:8">
      <c r="B184" s="865"/>
      <c r="C184" s="861"/>
      <c r="D184" s="861"/>
      <c r="E184" s="861"/>
      <c r="F184" s="861"/>
      <c r="G184" s="861"/>
      <c r="H184" s="861"/>
    </row>
    <row r="185" spans="2:8">
      <c r="B185" s="865"/>
      <c r="C185" s="861"/>
      <c r="D185" s="861"/>
      <c r="E185" s="861"/>
      <c r="F185" s="861"/>
      <c r="G185" s="861"/>
      <c r="H185" s="861"/>
    </row>
    <row r="186" spans="2:8">
      <c r="B186" s="865"/>
      <c r="C186" s="861"/>
      <c r="D186" s="861"/>
      <c r="E186" s="861"/>
      <c r="F186" s="861"/>
      <c r="G186" s="861"/>
      <c r="H186" s="861"/>
    </row>
    <row r="187" spans="2:8">
      <c r="B187" s="865"/>
      <c r="C187" s="861"/>
      <c r="D187" s="861"/>
      <c r="E187" s="861"/>
      <c r="F187" s="861"/>
      <c r="G187" s="861"/>
      <c r="H187" s="861"/>
    </row>
    <row r="188" spans="2:8">
      <c r="B188" s="865"/>
      <c r="C188" s="861"/>
      <c r="D188" s="861"/>
      <c r="E188" s="861"/>
      <c r="F188" s="861"/>
      <c r="G188" s="861"/>
      <c r="H188" s="861"/>
    </row>
    <row r="189" spans="2:8">
      <c r="B189" s="865"/>
      <c r="C189" s="861"/>
      <c r="D189" s="861"/>
      <c r="E189" s="861"/>
      <c r="F189" s="861"/>
      <c r="G189" s="861"/>
      <c r="H189" s="861"/>
    </row>
    <row r="190" spans="2:8">
      <c r="B190" s="865"/>
      <c r="C190" s="861"/>
      <c r="D190" s="861"/>
      <c r="E190" s="861"/>
      <c r="F190" s="861"/>
      <c r="G190" s="861"/>
      <c r="H190" s="861"/>
    </row>
    <row r="191" spans="2:8">
      <c r="B191" s="865"/>
      <c r="C191" s="861"/>
      <c r="D191" s="861"/>
      <c r="E191" s="861"/>
      <c r="F191" s="861"/>
      <c r="G191" s="861"/>
      <c r="H191" s="861"/>
    </row>
    <row r="192" spans="2:8">
      <c r="B192" s="865"/>
      <c r="C192" s="861"/>
      <c r="D192" s="861"/>
      <c r="E192" s="861"/>
      <c r="F192" s="861"/>
      <c r="G192" s="861"/>
      <c r="H192" s="861"/>
    </row>
    <row r="193" spans="2:8">
      <c r="B193" s="865"/>
      <c r="C193" s="861"/>
      <c r="D193" s="861"/>
      <c r="E193" s="861"/>
      <c r="F193" s="861"/>
      <c r="G193" s="861"/>
      <c r="H193" s="861"/>
    </row>
    <row r="194" spans="2:8">
      <c r="B194" s="865"/>
      <c r="C194" s="861"/>
      <c r="D194" s="861"/>
      <c r="E194" s="861"/>
      <c r="F194" s="861"/>
      <c r="G194" s="861"/>
      <c r="H194" s="861"/>
    </row>
    <row r="195" spans="2:8">
      <c r="B195" s="865"/>
      <c r="C195" s="861"/>
      <c r="D195" s="861"/>
      <c r="E195" s="861"/>
      <c r="F195" s="861"/>
      <c r="G195" s="861"/>
      <c r="H195" s="861"/>
    </row>
    <row r="196" spans="2:8">
      <c r="B196" s="865"/>
      <c r="C196" s="861"/>
      <c r="D196" s="861"/>
      <c r="E196" s="861"/>
      <c r="F196" s="861"/>
      <c r="G196" s="861"/>
      <c r="H196" s="861"/>
    </row>
    <row r="197" spans="2:8">
      <c r="B197" s="865"/>
      <c r="C197" s="861"/>
      <c r="D197" s="861"/>
      <c r="E197" s="861"/>
      <c r="F197" s="861"/>
      <c r="G197" s="861"/>
      <c r="H197" s="861"/>
    </row>
    <row r="198" spans="2:8">
      <c r="B198" s="865"/>
      <c r="C198" s="861"/>
      <c r="D198" s="861"/>
      <c r="E198" s="861"/>
      <c r="F198" s="861"/>
      <c r="G198" s="861"/>
      <c r="H198" s="861"/>
    </row>
    <row r="199" spans="2:8">
      <c r="B199" s="865"/>
      <c r="C199" s="861"/>
      <c r="D199" s="861"/>
      <c r="E199" s="861"/>
      <c r="F199" s="861"/>
      <c r="G199" s="861"/>
      <c r="H199" s="861"/>
    </row>
    <row r="200" spans="2:8">
      <c r="B200" s="865"/>
      <c r="C200" s="861"/>
      <c r="D200" s="861"/>
      <c r="E200" s="861"/>
      <c r="F200" s="861"/>
      <c r="G200" s="861"/>
      <c r="H200" s="861"/>
    </row>
    <row r="201" spans="2:8">
      <c r="B201" s="865"/>
      <c r="C201" s="861"/>
      <c r="D201" s="861"/>
      <c r="E201" s="861"/>
      <c r="F201" s="861"/>
      <c r="G201" s="861"/>
      <c r="H201" s="861"/>
    </row>
    <row r="202" spans="2:8">
      <c r="B202" s="865"/>
      <c r="C202" s="861"/>
      <c r="D202" s="861"/>
      <c r="E202" s="861"/>
      <c r="F202" s="861"/>
      <c r="G202" s="861"/>
      <c r="H202" s="861"/>
    </row>
    <row r="203" spans="2:8">
      <c r="B203" s="865"/>
      <c r="C203" s="861"/>
      <c r="D203" s="861"/>
      <c r="E203" s="861"/>
      <c r="F203" s="861"/>
      <c r="G203" s="861"/>
      <c r="H203" s="861"/>
    </row>
    <row r="204" spans="2:8">
      <c r="B204" s="865"/>
      <c r="C204" s="861"/>
      <c r="D204" s="861"/>
      <c r="E204" s="861"/>
      <c r="F204" s="861"/>
      <c r="G204" s="861"/>
      <c r="H204" s="861"/>
    </row>
    <row r="205" spans="2:8">
      <c r="B205" s="865"/>
      <c r="C205" s="861"/>
      <c r="D205" s="861"/>
      <c r="E205" s="861"/>
      <c r="F205" s="861"/>
      <c r="G205" s="861"/>
      <c r="H205" s="861"/>
    </row>
    <row r="206" spans="2:8">
      <c r="B206" s="865"/>
      <c r="C206" s="861"/>
      <c r="D206" s="861"/>
      <c r="E206" s="861"/>
      <c r="F206" s="861"/>
      <c r="G206" s="861"/>
      <c r="H206" s="861"/>
    </row>
    <row r="207" spans="2:8">
      <c r="B207" s="865"/>
      <c r="C207" s="861"/>
      <c r="D207" s="861"/>
      <c r="E207" s="861"/>
      <c r="F207" s="861"/>
      <c r="G207" s="861"/>
      <c r="H207" s="861"/>
    </row>
    <row r="208" spans="2:8">
      <c r="B208" s="865"/>
      <c r="C208" s="861"/>
      <c r="D208" s="861"/>
      <c r="E208" s="861"/>
      <c r="F208" s="861"/>
      <c r="G208" s="861"/>
      <c r="H208" s="861"/>
    </row>
    <row r="209" spans="2:9">
      <c r="B209" s="865"/>
      <c r="C209" s="861"/>
      <c r="D209" s="861"/>
      <c r="E209" s="861"/>
      <c r="F209" s="861"/>
      <c r="G209" s="861"/>
      <c r="H209" s="861"/>
    </row>
    <row r="210" spans="2:9">
      <c r="B210" s="865"/>
      <c r="C210" s="861"/>
      <c r="D210" s="861"/>
      <c r="E210" s="861"/>
      <c r="F210" s="861"/>
      <c r="G210" s="861"/>
      <c r="H210" s="861"/>
      <c r="I210" s="867"/>
    </row>
    <row r="211" spans="2:9">
      <c r="B211" s="865"/>
      <c r="C211" s="861"/>
      <c r="D211" s="861"/>
      <c r="E211" s="861"/>
      <c r="F211" s="861"/>
      <c r="G211" s="861"/>
      <c r="H211" s="861"/>
    </row>
    <row r="212" spans="2:9">
      <c r="B212" s="865"/>
      <c r="C212" s="861"/>
      <c r="D212" s="861"/>
      <c r="E212" s="861"/>
      <c r="F212" s="861"/>
      <c r="G212" s="861"/>
      <c r="H212" s="861"/>
    </row>
    <row r="213" spans="2:9">
      <c r="B213" s="865"/>
      <c r="C213" s="861"/>
      <c r="D213" s="861"/>
      <c r="E213" s="861"/>
      <c r="F213" s="861"/>
      <c r="G213" s="861"/>
      <c r="H213" s="861"/>
    </row>
    <row r="214" spans="2:9">
      <c r="B214" s="865"/>
      <c r="C214" s="861"/>
      <c r="D214" s="861"/>
      <c r="E214" s="861"/>
      <c r="F214" s="861"/>
      <c r="G214" s="861"/>
      <c r="H214" s="861"/>
    </row>
    <row r="215" spans="2:9">
      <c r="B215" s="865"/>
      <c r="C215" s="861"/>
      <c r="D215" s="861"/>
      <c r="E215" s="861"/>
      <c r="F215" s="861"/>
      <c r="G215" s="861"/>
      <c r="H215" s="861"/>
    </row>
    <row r="216" spans="2:9">
      <c r="B216" s="865"/>
      <c r="C216" s="861"/>
      <c r="D216" s="861"/>
      <c r="E216" s="861"/>
      <c r="F216" s="861"/>
      <c r="G216" s="861"/>
      <c r="H216" s="861"/>
    </row>
    <row r="217" spans="2:9">
      <c r="B217" s="865"/>
      <c r="C217" s="861"/>
      <c r="D217" s="861"/>
      <c r="E217" s="861"/>
      <c r="F217" s="861"/>
      <c r="G217" s="861"/>
      <c r="H217" s="861"/>
    </row>
    <row r="218" spans="2:9">
      <c r="B218" s="865"/>
      <c r="C218" s="861"/>
      <c r="D218" s="861"/>
      <c r="E218" s="861"/>
      <c r="F218" s="861"/>
      <c r="G218" s="861"/>
      <c r="H218" s="861"/>
    </row>
    <row r="219" spans="2:9">
      <c r="B219" s="865"/>
      <c r="C219" s="861"/>
      <c r="D219" s="861"/>
      <c r="E219" s="861"/>
      <c r="F219" s="861"/>
      <c r="G219" s="861"/>
      <c r="H219" s="861"/>
    </row>
    <row r="220" spans="2:9">
      <c r="B220" s="865"/>
      <c r="C220" s="861"/>
      <c r="D220" s="861"/>
      <c r="E220" s="861"/>
      <c r="F220" s="861"/>
      <c r="G220" s="861"/>
      <c r="H220" s="861"/>
    </row>
    <row r="221" spans="2:9">
      <c r="B221" s="865"/>
      <c r="C221" s="861"/>
      <c r="D221" s="861"/>
      <c r="E221" s="861"/>
      <c r="F221" s="861"/>
      <c r="G221" s="861"/>
      <c r="H221" s="861"/>
    </row>
    <row r="222" spans="2:9">
      <c r="B222" s="865"/>
      <c r="C222" s="861"/>
      <c r="D222" s="861"/>
      <c r="E222" s="861"/>
      <c r="F222" s="861"/>
      <c r="G222" s="861"/>
      <c r="H222" s="861"/>
    </row>
    <row r="223" spans="2:9">
      <c r="B223" s="865"/>
      <c r="C223" s="861"/>
      <c r="D223" s="861"/>
      <c r="E223" s="861"/>
      <c r="F223" s="861"/>
      <c r="G223" s="861"/>
      <c r="H223" s="861"/>
    </row>
    <row r="224" spans="2:9">
      <c r="B224" s="865"/>
      <c r="C224" s="861"/>
      <c r="D224" s="861"/>
      <c r="E224" s="861"/>
      <c r="F224" s="861"/>
      <c r="G224" s="861"/>
      <c r="H224" s="861"/>
    </row>
    <row r="225" spans="2:8">
      <c r="B225" s="865"/>
      <c r="C225" s="861"/>
      <c r="D225" s="861"/>
      <c r="E225" s="861"/>
      <c r="F225" s="861"/>
      <c r="G225" s="861"/>
      <c r="H225" s="861"/>
    </row>
    <row r="226" spans="2:8">
      <c r="B226" s="865"/>
      <c r="C226" s="861"/>
      <c r="D226" s="861"/>
      <c r="E226" s="861"/>
      <c r="F226" s="861"/>
      <c r="G226" s="861"/>
      <c r="H226" s="861"/>
    </row>
    <row r="227" spans="2:8">
      <c r="B227" s="865"/>
      <c r="C227" s="861"/>
      <c r="D227" s="861"/>
      <c r="E227" s="861"/>
      <c r="F227" s="861"/>
      <c r="G227" s="861"/>
      <c r="H227" s="861"/>
    </row>
    <row r="228" spans="2:8">
      <c r="B228" s="865"/>
      <c r="C228" s="861"/>
      <c r="D228" s="861"/>
      <c r="E228" s="861"/>
      <c r="F228" s="861"/>
      <c r="G228" s="861"/>
      <c r="H228" s="861"/>
    </row>
    <row r="229" spans="2:8">
      <c r="B229" s="865"/>
      <c r="C229" s="861"/>
      <c r="D229" s="861"/>
      <c r="E229" s="861"/>
      <c r="F229" s="861"/>
      <c r="G229" s="861"/>
      <c r="H229" s="861"/>
    </row>
    <row r="230" spans="2:8">
      <c r="B230" s="865"/>
      <c r="C230" s="861"/>
      <c r="D230" s="861"/>
      <c r="E230" s="861"/>
      <c r="F230" s="861"/>
      <c r="G230" s="861"/>
      <c r="H230" s="861"/>
    </row>
    <row r="231" spans="2:8">
      <c r="B231" s="865"/>
      <c r="C231" s="861"/>
      <c r="D231" s="861"/>
      <c r="E231" s="861"/>
      <c r="F231" s="861"/>
      <c r="G231" s="861"/>
      <c r="H231" s="861"/>
    </row>
    <row r="232" spans="2:8">
      <c r="B232" s="865"/>
      <c r="C232" s="861"/>
      <c r="D232" s="861"/>
      <c r="E232" s="861"/>
      <c r="F232" s="861"/>
      <c r="G232" s="861"/>
      <c r="H232" s="861"/>
    </row>
    <row r="233" spans="2:8">
      <c r="B233" s="865"/>
      <c r="C233" s="861"/>
      <c r="D233" s="861"/>
      <c r="E233" s="861"/>
      <c r="F233" s="861"/>
      <c r="G233" s="861"/>
      <c r="H233" s="861"/>
    </row>
    <row r="234" spans="2:8">
      <c r="B234" s="865"/>
      <c r="C234" s="861"/>
      <c r="D234" s="861"/>
      <c r="E234" s="861"/>
      <c r="F234" s="861"/>
      <c r="G234" s="861"/>
      <c r="H234" s="861"/>
    </row>
    <row r="235" spans="2:8">
      <c r="B235" s="865"/>
      <c r="C235" s="861"/>
      <c r="D235" s="861"/>
      <c r="E235" s="861"/>
      <c r="F235" s="861"/>
      <c r="G235" s="861"/>
      <c r="H235" s="861"/>
    </row>
    <row r="236" spans="2:8">
      <c r="B236" s="865"/>
      <c r="C236" s="861"/>
      <c r="D236" s="861"/>
      <c r="E236" s="861"/>
      <c r="F236" s="861"/>
      <c r="G236" s="861"/>
      <c r="H236" s="861"/>
    </row>
    <row r="237" spans="2:8">
      <c r="B237" s="865"/>
      <c r="C237" s="861"/>
      <c r="D237" s="861"/>
      <c r="E237" s="861"/>
      <c r="F237" s="861"/>
      <c r="G237" s="861"/>
      <c r="H237" s="861"/>
    </row>
    <row r="238" spans="2:8">
      <c r="B238" s="865"/>
      <c r="C238" s="861"/>
      <c r="D238" s="861"/>
      <c r="E238" s="861"/>
      <c r="F238" s="861"/>
      <c r="G238" s="861"/>
      <c r="H238" s="861"/>
    </row>
    <row r="239" spans="2:8">
      <c r="B239" s="865"/>
      <c r="C239" s="861"/>
      <c r="D239" s="861"/>
      <c r="E239" s="861"/>
      <c r="F239" s="861"/>
      <c r="G239" s="861"/>
      <c r="H239" s="861"/>
    </row>
    <row r="240" spans="2:8">
      <c r="B240" s="865"/>
      <c r="C240" s="861"/>
      <c r="D240" s="861"/>
      <c r="E240" s="861"/>
      <c r="F240" s="861"/>
      <c r="G240" s="861"/>
      <c r="H240" s="861"/>
    </row>
    <row r="241" spans="2:8">
      <c r="B241" s="865"/>
      <c r="C241" s="861"/>
      <c r="D241" s="861"/>
      <c r="E241" s="861"/>
      <c r="F241" s="861"/>
      <c r="G241" s="861"/>
      <c r="H241" s="861"/>
    </row>
    <row r="242" spans="2:8">
      <c r="B242" s="865"/>
      <c r="C242" s="861"/>
      <c r="D242" s="861"/>
      <c r="E242" s="861"/>
      <c r="F242" s="861"/>
      <c r="G242" s="861"/>
      <c r="H242" s="861"/>
    </row>
    <row r="243" spans="2:8">
      <c r="B243" s="865"/>
      <c r="C243" s="861"/>
      <c r="D243" s="861"/>
      <c r="E243" s="861"/>
      <c r="F243" s="861"/>
      <c r="G243" s="861"/>
      <c r="H243" s="861"/>
    </row>
    <row r="244" spans="2:8">
      <c r="B244" s="865"/>
      <c r="C244" s="861"/>
      <c r="D244" s="861"/>
      <c r="E244" s="861"/>
      <c r="F244" s="861"/>
      <c r="G244" s="861"/>
      <c r="H244" s="861"/>
    </row>
    <row r="245" spans="2:8">
      <c r="B245" s="865"/>
      <c r="C245" s="861"/>
      <c r="D245" s="861"/>
      <c r="E245" s="861"/>
      <c r="F245" s="861"/>
      <c r="G245" s="861"/>
      <c r="H245" s="861"/>
    </row>
    <row r="246" spans="2:8">
      <c r="B246" s="865"/>
      <c r="C246" s="861"/>
      <c r="D246" s="861"/>
      <c r="E246" s="861"/>
      <c r="F246" s="861"/>
      <c r="G246" s="861"/>
      <c r="H246" s="861"/>
    </row>
    <row r="247" spans="2:8">
      <c r="B247" s="865"/>
      <c r="C247" s="861"/>
      <c r="D247" s="861"/>
      <c r="E247" s="861"/>
      <c r="F247" s="861"/>
      <c r="G247" s="861"/>
      <c r="H247" s="861"/>
    </row>
    <row r="248" spans="2:8">
      <c r="B248" s="865"/>
      <c r="C248" s="861"/>
      <c r="D248" s="861"/>
      <c r="E248" s="861"/>
      <c r="F248" s="861"/>
      <c r="G248" s="861"/>
      <c r="H248" s="861"/>
    </row>
    <row r="249" spans="2:8">
      <c r="B249" s="865"/>
      <c r="C249" s="861"/>
      <c r="D249" s="861"/>
      <c r="E249" s="861"/>
      <c r="F249" s="861"/>
      <c r="G249" s="861"/>
      <c r="H249" s="861"/>
    </row>
    <row r="250" spans="2:8">
      <c r="B250" s="865"/>
      <c r="C250" s="861"/>
      <c r="D250" s="861"/>
      <c r="E250" s="861"/>
      <c r="F250" s="861"/>
      <c r="G250" s="861"/>
      <c r="H250" s="861"/>
    </row>
    <row r="251" spans="2:8">
      <c r="B251" s="865"/>
      <c r="C251" s="861"/>
      <c r="D251" s="861"/>
      <c r="E251" s="861"/>
      <c r="F251" s="861"/>
      <c r="G251" s="861"/>
      <c r="H251" s="861"/>
    </row>
    <row r="252" spans="2:8">
      <c r="B252" s="865"/>
      <c r="C252" s="861"/>
      <c r="D252" s="861"/>
      <c r="E252" s="861"/>
      <c r="F252" s="861"/>
      <c r="G252" s="861"/>
      <c r="H252" s="861"/>
    </row>
    <row r="253" spans="2:8">
      <c r="B253" s="865"/>
      <c r="C253" s="861"/>
      <c r="D253" s="861"/>
      <c r="E253" s="861"/>
      <c r="F253" s="861"/>
      <c r="G253" s="861"/>
      <c r="H253" s="861"/>
    </row>
    <row r="254" spans="2:8">
      <c r="B254" s="865"/>
      <c r="C254" s="861"/>
      <c r="D254" s="861"/>
      <c r="E254" s="861"/>
      <c r="F254" s="861"/>
      <c r="G254" s="861"/>
      <c r="H254" s="861"/>
    </row>
    <row r="255" spans="2:8">
      <c r="B255" s="865"/>
      <c r="C255" s="861"/>
      <c r="D255" s="861"/>
      <c r="E255" s="861"/>
      <c r="F255" s="861"/>
      <c r="G255" s="861"/>
      <c r="H255" s="861"/>
    </row>
    <row r="256" spans="2:8">
      <c r="B256" s="865"/>
      <c r="C256" s="861"/>
      <c r="D256" s="861"/>
      <c r="E256" s="861"/>
      <c r="F256" s="861"/>
      <c r="G256" s="861"/>
      <c r="H256" s="861"/>
    </row>
    <row r="257" spans="2:8">
      <c r="B257" s="865"/>
      <c r="C257" s="861"/>
      <c r="D257" s="861"/>
      <c r="E257" s="861"/>
      <c r="F257" s="861"/>
      <c r="G257" s="861"/>
      <c r="H257" s="861"/>
    </row>
    <row r="258" spans="2:8">
      <c r="B258" s="865"/>
      <c r="C258" s="861"/>
      <c r="D258" s="861"/>
      <c r="E258" s="861"/>
      <c r="F258" s="861"/>
      <c r="G258" s="861"/>
      <c r="H258" s="861"/>
    </row>
    <row r="259" spans="2:8">
      <c r="B259" s="865"/>
      <c r="C259" s="861"/>
      <c r="D259" s="861"/>
      <c r="E259" s="861"/>
      <c r="F259" s="861"/>
      <c r="G259" s="861"/>
      <c r="H259" s="861"/>
    </row>
    <row r="260" spans="2:8">
      <c r="B260" s="865"/>
      <c r="C260" s="861"/>
      <c r="D260" s="861"/>
      <c r="E260" s="861"/>
      <c r="F260" s="861"/>
      <c r="G260" s="861"/>
      <c r="H260" s="861"/>
    </row>
    <row r="261" spans="2:8">
      <c r="B261" s="865"/>
      <c r="C261" s="861"/>
      <c r="D261" s="861"/>
      <c r="E261" s="861"/>
      <c r="F261" s="861"/>
      <c r="G261" s="861"/>
      <c r="H261" s="861"/>
    </row>
    <row r="262" spans="2:8">
      <c r="B262" s="865"/>
      <c r="C262" s="861"/>
      <c r="D262" s="861"/>
      <c r="E262" s="861"/>
      <c r="F262" s="861"/>
      <c r="G262" s="861"/>
      <c r="H262" s="861"/>
    </row>
    <row r="263" spans="2:8">
      <c r="B263" s="865"/>
      <c r="C263" s="861"/>
      <c r="D263" s="861"/>
      <c r="E263" s="861"/>
      <c r="F263" s="861"/>
      <c r="G263" s="861"/>
      <c r="H263" s="861"/>
    </row>
    <row r="264" spans="2:8">
      <c r="B264" s="865"/>
      <c r="C264" s="861"/>
      <c r="D264" s="861"/>
      <c r="E264" s="861"/>
      <c r="F264" s="861"/>
      <c r="G264" s="861"/>
      <c r="H264" s="861"/>
    </row>
    <row r="265" spans="2:8">
      <c r="B265" s="865"/>
      <c r="C265" s="861"/>
      <c r="D265" s="861"/>
      <c r="E265" s="861"/>
      <c r="F265" s="861"/>
      <c r="G265" s="861"/>
      <c r="H265" s="861"/>
    </row>
    <row r="266" spans="2:8">
      <c r="B266" s="865"/>
      <c r="C266" s="861"/>
      <c r="D266" s="861"/>
      <c r="E266" s="861"/>
      <c r="F266" s="861"/>
      <c r="G266" s="861"/>
      <c r="H266" s="861"/>
    </row>
    <row r="267" spans="2:8">
      <c r="B267" s="865"/>
      <c r="C267" s="861"/>
      <c r="D267" s="861"/>
      <c r="E267" s="861"/>
      <c r="F267" s="861"/>
      <c r="G267" s="861"/>
      <c r="H267" s="861"/>
    </row>
    <row r="268" spans="2:8">
      <c r="B268" s="865"/>
      <c r="C268" s="861"/>
      <c r="D268" s="861"/>
      <c r="E268" s="861"/>
      <c r="F268" s="861"/>
      <c r="G268" s="861"/>
      <c r="H268" s="861"/>
    </row>
    <row r="269" spans="2:8">
      <c r="B269" s="865"/>
      <c r="C269" s="861"/>
      <c r="D269" s="861"/>
      <c r="E269" s="861"/>
      <c r="F269" s="861"/>
      <c r="G269" s="861"/>
      <c r="H269" s="861"/>
    </row>
    <row r="270" spans="2:8">
      <c r="B270" s="865"/>
      <c r="C270" s="861"/>
      <c r="D270" s="861"/>
      <c r="E270" s="861"/>
      <c r="F270" s="861"/>
      <c r="G270" s="861"/>
      <c r="H270" s="861"/>
    </row>
    <row r="271" spans="2:8">
      <c r="B271" s="865"/>
      <c r="C271" s="861"/>
      <c r="D271" s="861"/>
      <c r="E271" s="861"/>
      <c r="F271" s="861"/>
      <c r="G271" s="861"/>
      <c r="H271" s="861"/>
    </row>
    <row r="272" spans="2:8">
      <c r="B272" s="865"/>
      <c r="C272" s="861"/>
      <c r="D272" s="861"/>
      <c r="E272" s="861"/>
      <c r="F272" s="861"/>
      <c r="G272" s="861"/>
      <c r="H272" s="861"/>
    </row>
    <row r="273" spans="2:8">
      <c r="B273" s="865"/>
      <c r="C273" s="861"/>
      <c r="D273" s="861"/>
      <c r="E273" s="861"/>
      <c r="F273" s="861"/>
      <c r="G273" s="861"/>
      <c r="H273" s="861"/>
    </row>
    <row r="274" spans="2:8">
      <c r="B274" s="865"/>
      <c r="C274" s="861"/>
      <c r="D274" s="861"/>
      <c r="E274" s="861"/>
      <c r="F274" s="861"/>
      <c r="G274" s="861"/>
      <c r="H274" s="861"/>
    </row>
    <row r="275" spans="2:8">
      <c r="B275" s="865"/>
      <c r="C275" s="861"/>
      <c r="D275" s="861"/>
      <c r="E275" s="861"/>
      <c r="F275" s="861"/>
      <c r="G275" s="861"/>
      <c r="H275" s="861"/>
    </row>
    <row r="276" spans="2:8">
      <c r="B276" s="865"/>
      <c r="C276" s="861"/>
      <c r="D276" s="861"/>
      <c r="E276" s="861"/>
      <c r="F276" s="861"/>
      <c r="G276" s="861"/>
      <c r="H276" s="861"/>
    </row>
    <row r="277" spans="2:8">
      <c r="B277" s="865"/>
      <c r="C277" s="861"/>
      <c r="D277" s="861"/>
      <c r="E277" s="861"/>
      <c r="F277" s="861"/>
      <c r="G277" s="861"/>
      <c r="H277" s="861"/>
    </row>
    <row r="278" spans="2:8">
      <c r="B278" s="865"/>
      <c r="C278" s="861"/>
      <c r="D278" s="861"/>
      <c r="E278" s="861"/>
      <c r="F278" s="861"/>
      <c r="G278" s="861"/>
      <c r="H278" s="861"/>
    </row>
    <row r="279" spans="2:8">
      <c r="B279" s="865"/>
      <c r="C279" s="861"/>
      <c r="D279" s="861"/>
      <c r="E279" s="861"/>
      <c r="F279" s="861"/>
      <c r="G279" s="861"/>
      <c r="H279" s="861"/>
    </row>
    <row r="280" spans="2:8">
      <c r="B280" s="865"/>
      <c r="C280" s="861"/>
      <c r="D280" s="861"/>
      <c r="E280" s="861"/>
      <c r="F280" s="861"/>
      <c r="G280" s="861"/>
      <c r="H280" s="861"/>
    </row>
    <row r="281" spans="2:8">
      <c r="B281" s="865"/>
      <c r="C281" s="861"/>
      <c r="D281" s="861"/>
      <c r="E281" s="861"/>
      <c r="F281" s="861"/>
      <c r="G281" s="861"/>
      <c r="H281" s="861"/>
    </row>
    <row r="282" spans="2:8">
      <c r="B282" s="865"/>
      <c r="C282" s="861"/>
      <c r="D282" s="861"/>
      <c r="E282" s="861"/>
      <c r="F282" s="861"/>
      <c r="G282" s="861"/>
      <c r="H282" s="861"/>
    </row>
    <row r="283" spans="2:8">
      <c r="B283" s="865"/>
      <c r="C283" s="861"/>
      <c r="D283" s="861"/>
      <c r="E283" s="861"/>
      <c r="F283" s="861"/>
      <c r="G283" s="861"/>
      <c r="H283" s="861"/>
    </row>
    <row r="284" spans="2:8">
      <c r="B284" s="865"/>
      <c r="C284" s="861"/>
      <c r="D284" s="861"/>
      <c r="E284" s="861"/>
      <c r="F284" s="861"/>
      <c r="G284" s="861"/>
      <c r="H284" s="861"/>
    </row>
    <row r="285" spans="2:8">
      <c r="B285" s="865"/>
      <c r="C285" s="861"/>
      <c r="D285" s="861"/>
      <c r="E285" s="861"/>
      <c r="F285" s="861"/>
      <c r="G285" s="861"/>
      <c r="H285" s="861"/>
    </row>
    <row r="286" spans="2:8">
      <c r="B286" s="865"/>
      <c r="C286" s="861"/>
      <c r="D286" s="861"/>
      <c r="E286" s="861"/>
      <c r="F286" s="861"/>
      <c r="G286" s="861"/>
      <c r="H286" s="861"/>
    </row>
    <row r="287" spans="2:8">
      <c r="B287" s="865"/>
      <c r="C287" s="861"/>
      <c r="D287" s="861"/>
      <c r="E287" s="861"/>
      <c r="F287" s="861"/>
      <c r="G287" s="861"/>
      <c r="H287" s="861"/>
    </row>
    <row r="288" spans="2:8">
      <c r="B288" s="865"/>
      <c r="C288" s="861"/>
      <c r="D288" s="861"/>
      <c r="E288" s="861"/>
      <c r="F288" s="861"/>
      <c r="G288" s="861"/>
      <c r="H288" s="861"/>
    </row>
    <row r="289" spans="2:8">
      <c r="B289" s="865"/>
      <c r="C289" s="861"/>
      <c r="D289" s="861"/>
      <c r="E289" s="861"/>
      <c r="F289" s="861"/>
      <c r="G289" s="861"/>
      <c r="H289" s="861"/>
    </row>
    <row r="290" spans="2:8">
      <c r="B290" s="865"/>
      <c r="C290" s="861"/>
      <c r="D290" s="861"/>
      <c r="E290" s="861"/>
      <c r="F290" s="861"/>
      <c r="G290" s="861"/>
      <c r="H290" s="861"/>
    </row>
    <row r="291" spans="2:8">
      <c r="B291" s="865"/>
      <c r="C291" s="861"/>
      <c r="D291" s="861"/>
      <c r="E291" s="861"/>
      <c r="F291" s="861"/>
      <c r="G291" s="861"/>
      <c r="H291" s="861"/>
    </row>
    <row r="292" spans="2:8">
      <c r="B292" s="865"/>
      <c r="C292" s="861"/>
      <c r="D292" s="861"/>
      <c r="E292" s="861"/>
      <c r="F292" s="861"/>
      <c r="G292" s="861"/>
      <c r="H292" s="861"/>
    </row>
    <row r="293" spans="2:8">
      <c r="B293" s="865"/>
      <c r="C293" s="861"/>
      <c r="D293" s="861"/>
      <c r="E293" s="861"/>
      <c r="F293" s="861"/>
      <c r="G293" s="861"/>
      <c r="H293" s="861"/>
    </row>
    <row r="294" spans="2:8">
      <c r="B294" s="865"/>
      <c r="C294" s="861"/>
      <c r="D294" s="861"/>
      <c r="E294" s="861"/>
      <c r="F294" s="861"/>
      <c r="G294" s="861"/>
      <c r="H294" s="861"/>
    </row>
    <row r="295" spans="2:8">
      <c r="B295" s="865"/>
      <c r="C295" s="861"/>
      <c r="D295" s="861"/>
      <c r="E295" s="861"/>
      <c r="F295" s="861"/>
      <c r="G295" s="861"/>
      <c r="H295" s="861"/>
    </row>
    <row r="296" spans="2:8">
      <c r="B296" s="865"/>
      <c r="C296" s="861"/>
      <c r="D296" s="861"/>
      <c r="E296" s="861"/>
      <c r="F296" s="861"/>
      <c r="G296" s="861"/>
      <c r="H296" s="861"/>
    </row>
    <row r="297" spans="2:8">
      <c r="B297" s="865"/>
      <c r="C297" s="861"/>
      <c r="D297" s="861"/>
      <c r="E297" s="861"/>
      <c r="F297" s="861"/>
      <c r="G297" s="861"/>
      <c r="H297" s="861"/>
    </row>
    <row r="298" spans="2:8">
      <c r="B298" s="865"/>
      <c r="C298" s="861"/>
      <c r="D298" s="861"/>
      <c r="E298" s="861"/>
      <c r="F298" s="861"/>
      <c r="G298" s="861"/>
      <c r="H298" s="861"/>
    </row>
    <row r="299" spans="2:8">
      <c r="B299" s="865"/>
      <c r="C299" s="861"/>
      <c r="D299" s="861"/>
      <c r="E299" s="861"/>
      <c r="F299" s="861"/>
      <c r="G299" s="861"/>
      <c r="H299" s="861"/>
    </row>
    <row r="300" spans="2:8">
      <c r="B300" s="865"/>
      <c r="C300" s="861"/>
      <c r="D300" s="861"/>
      <c r="E300" s="861"/>
      <c r="F300" s="861"/>
      <c r="G300" s="861"/>
      <c r="H300" s="861"/>
    </row>
    <row r="301" spans="2:8">
      <c r="B301" s="865"/>
      <c r="C301" s="861"/>
      <c r="D301" s="861"/>
      <c r="E301" s="861"/>
      <c r="F301" s="861"/>
      <c r="G301" s="861"/>
      <c r="H301" s="861"/>
    </row>
    <row r="302" spans="2:8">
      <c r="B302" s="865"/>
      <c r="C302" s="861"/>
      <c r="D302" s="861"/>
      <c r="E302" s="861"/>
      <c r="F302" s="861"/>
      <c r="G302" s="861"/>
      <c r="H302" s="861"/>
    </row>
    <row r="303" spans="2:8">
      <c r="B303" s="865"/>
      <c r="C303" s="861"/>
      <c r="D303" s="861"/>
      <c r="E303" s="861"/>
      <c r="F303" s="861"/>
      <c r="G303" s="861"/>
      <c r="H303" s="861"/>
    </row>
    <row r="304" spans="2:8">
      <c r="B304" s="865"/>
      <c r="C304" s="861"/>
      <c r="D304" s="861"/>
      <c r="E304" s="861"/>
      <c r="F304" s="861"/>
      <c r="G304" s="861"/>
      <c r="H304" s="861"/>
    </row>
    <row r="305" spans="2:8">
      <c r="B305" s="865"/>
      <c r="C305" s="861"/>
      <c r="D305" s="861"/>
      <c r="E305" s="861"/>
      <c r="F305" s="861"/>
      <c r="G305" s="861"/>
      <c r="H305" s="861"/>
    </row>
    <row r="306" spans="2:8">
      <c r="B306" s="865"/>
      <c r="C306" s="861"/>
      <c r="D306" s="861"/>
      <c r="E306" s="861"/>
      <c r="F306" s="861"/>
      <c r="G306" s="861"/>
      <c r="H306" s="861"/>
    </row>
    <row r="307" spans="2:8">
      <c r="B307" s="865"/>
      <c r="C307" s="861"/>
      <c r="D307" s="861"/>
      <c r="E307" s="861"/>
      <c r="F307" s="861"/>
      <c r="G307" s="861"/>
      <c r="H307" s="861"/>
    </row>
    <row r="308" spans="2:8">
      <c r="B308" s="865"/>
      <c r="C308" s="861"/>
      <c r="D308" s="861"/>
      <c r="E308" s="861"/>
      <c r="F308" s="861"/>
      <c r="G308" s="861"/>
      <c r="H308" s="861"/>
    </row>
    <row r="309" spans="2:8">
      <c r="B309" s="865"/>
      <c r="C309" s="861"/>
      <c r="D309" s="861"/>
      <c r="E309" s="861"/>
      <c r="F309" s="861"/>
      <c r="G309" s="861"/>
      <c r="H309" s="861"/>
    </row>
    <row r="310" spans="2:8">
      <c r="B310" s="865"/>
      <c r="C310" s="861"/>
      <c r="D310" s="861"/>
      <c r="E310" s="861"/>
      <c r="F310" s="861"/>
      <c r="G310" s="861"/>
      <c r="H310" s="861"/>
    </row>
    <row r="311" spans="2:8">
      <c r="B311" s="865"/>
      <c r="C311" s="861"/>
      <c r="D311" s="861"/>
      <c r="E311" s="861"/>
      <c r="F311" s="861"/>
      <c r="G311" s="861"/>
      <c r="H311" s="861"/>
    </row>
    <row r="312" spans="2:8">
      <c r="B312" s="865"/>
      <c r="C312" s="861"/>
      <c r="D312" s="861"/>
      <c r="E312" s="861"/>
      <c r="F312" s="861"/>
      <c r="G312" s="861"/>
      <c r="H312" s="861"/>
    </row>
    <row r="313" spans="2:8">
      <c r="B313" s="865"/>
      <c r="C313" s="861"/>
      <c r="D313" s="861"/>
      <c r="E313" s="861"/>
      <c r="F313" s="861"/>
      <c r="G313" s="861"/>
      <c r="H313" s="861"/>
    </row>
    <row r="314" spans="2:8">
      <c r="B314" s="865"/>
      <c r="C314" s="861"/>
      <c r="D314" s="861"/>
      <c r="E314" s="861"/>
      <c r="F314" s="861"/>
      <c r="G314" s="861"/>
      <c r="H314" s="861"/>
    </row>
    <row r="315" spans="2:8">
      <c r="B315" s="865"/>
      <c r="C315" s="861"/>
      <c r="D315" s="861"/>
      <c r="E315" s="861"/>
      <c r="F315" s="861"/>
      <c r="G315" s="861"/>
      <c r="H315" s="861"/>
    </row>
    <row r="316" spans="2:8">
      <c r="B316" s="865"/>
      <c r="C316" s="861"/>
      <c r="D316" s="861"/>
      <c r="E316" s="861"/>
      <c r="F316" s="861"/>
      <c r="G316" s="861"/>
      <c r="H316" s="861"/>
    </row>
    <row r="317" spans="2:8">
      <c r="B317" s="865"/>
      <c r="C317" s="861"/>
      <c r="D317" s="861"/>
      <c r="E317" s="861"/>
      <c r="F317" s="861"/>
      <c r="G317" s="861"/>
      <c r="H317" s="861"/>
    </row>
    <row r="318" spans="2:8">
      <c r="B318" s="865"/>
      <c r="C318" s="861"/>
      <c r="D318" s="861"/>
      <c r="E318" s="861"/>
      <c r="F318" s="861"/>
      <c r="G318" s="861"/>
      <c r="H318" s="861"/>
    </row>
    <row r="319" spans="2:8">
      <c r="B319" s="865"/>
      <c r="C319" s="861"/>
      <c r="D319" s="861"/>
      <c r="E319" s="861"/>
      <c r="F319" s="861"/>
      <c r="G319" s="861"/>
      <c r="H319" s="861"/>
    </row>
    <row r="320" spans="2:8">
      <c r="B320" s="865"/>
      <c r="C320" s="861"/>
      <c r="D320" s="861"/>
      <c r="E320" s="861"/>
      <c r="F320" s="861"/>
      <c r="G320" s="861"/>
      <c r="H320" s="861"/>
    </row>
    <row r="321" spans="2:8">
      <c r="B321" s="865"/>
      <c r="C321" s="861"/>
      <c r="D321" s="861"/>
      <c r="E321" s="861"/>
      <c r="F321" s="861"/>
      <c r="G321" s="861"/>
      <c r="H321" s="861"/>
    </row>
    <row r="322" spans="2:8">
      <c r="B322" s="865"/>
      <c r="C322" s="861"/>
      <c r="D322" s="861"/>
      <c r="E322" s="861"/>
      <c r="F322" s="861"/>
      <c r="G322" s="861"/>
      <c r="H322" s="861"/>
    </row>
    <row r="323" spans="2:8">
      <c r="B323" s="865"/>
      <c r="C323" s="861"/>
      <c r="D323" s="861"/>
      <c r="E323" s="861"/>
      <c r="F323" s="861"/>
      <c r="G323" s="861"/>
      <c r="H323" s="861"/>
    </row>
    <row r="324" spans="2:8">
      <c r="B324" s="865"/>
      <c r="C324" s="861"/>
      <c r="D324" s="861"/>
      <c r="E324" s="861"/>
      <c r="F324" s="861"/>
      <c r="G324" s="861"/>
      <c r="H324" s="861"/>
    </row>
    <row r="325" spans="2:8">
      <c r="B325" s="865"/>
      <c r="C325" s="861"/>
      <c r="D325" s="861"/>
      <c r="E325" s="861"/>
      <c r="F325" s="861"/>
      <c r="G325" s="861"/>
      <c r="H325" s="861"/>
    </row>
    <row r="326" spans="2:8">
      <c r="B326" s="865"/>
      <c r="C326" s="861"/>
      <c r="D326" s="861"/>
      <c r="E326" s="861"/>
      <c r="F326" s="861"/>
      <c r="G326" s="861"/>
      <c r="H326" s="861"/>
    </row>
    <row r="327" spans="2:8">
      <c r="B327" s="865"/>
      <c r="C327" s="861"/>
      <c r="D327" s="861"/>
      <c r="E327" s="861"/>
      <c r="F327" s="861"/>
      <c r="G327" s="861"/>
      <c r="H327" s="861"/>
    </row>
    <row r="328" spans="2:8">
      <c r="B328" s="865"/>
      <c r="C328" s="861"/>
      <c r="D328" s="861"/>
      <c r="E328" s="861"/>
      <c r="F328" s="861"/>
      <c r="G328" s="861"/>
      <c r="H328" s="861"/>
    </row>
    <row r="329" spans="2:8">
      <c r="B329" s="865"/>
      <c r="C329" s="861"/>
      <c r="D329" s="861"/>
      <c r="E329" s="861"/>
      <c r="F329" s="861"/>
      <c r="G329" s="861"/>
      <c r="H329" s="861"/>
    </row>
    <row r="330" spans="2:8">
      <c r="B330" s="865"/>
      <c r="C330" s="861"/>
      <c r="D330" s="861"/>
      <c r="E330" s="861"/>
      <c r="F330" s="861"/>
      <c r="G330" s="861"/>
      <c r="H330" s="861"/>
    </row>
    <row r="331" spans="2:8">
      <c r="B331" s="865"/>
      <c r="C331" s="861"/>
      <c r="D331" s="861"/>
      <c r="E331" s="861"/>
      <c r="F331" s="861"/>
      <c r="G331" s="861"/>
      <c r="H331" s="861"/>
    </row>
    <row r="332" spans="2:8">
      <c r="B332" s="865"/>
      <c r="C332" s="861"/>
      <c r="D332" s="861"/>
      <c r="E332" s="861"/>
      <c r="F332" s="861"/>
      <c r="G332" s="861"/>
      <c r="H332" s="861"/>
    </row>
    <row r="333" spans="2:8">
      <c r="B333" s="865"/>
      <c r="C333" s="861"/>
      <c r="D333" s="861"/>
      <c r="E333" s="861"/>
      <c r="F333" s="861"/>
      <c r="G333" s="861"/>
      <c r="H333" s="861"/>
    </row>
    <row r="334" spans="2:8">
      <c r="B334" s="865"/>
      <c r="C334" s="861"/>
      <c r="D334" s="861"/>
      <c r="E334" s="861"/>
      <c r="F334" s="861"/>
      <c r="G334" s="861"/>
      <c r="H334" s="861"/>
    </row>
    <row r="335" spans="2:8">
      <c r="B335" s="865"/>
      <c r="C335" s="861"/>
      <c r="D335" s="861"/>
      <c r="E335" s="861"/>
      <c r="F335" s="861"/>
      <c r="G335" s="861"/>
      <c r="H335" s="861"/>
    </row>
    <row r="336" spans="2:8">
      <c r="B336" s="865"/>
      <c r="C336" s="861"/>
      <c r="D336" s="861"/>
      <c r="E336" s="861"/>
      <c r="F336" s="861"/>
      <c r="G336" s="861"/>
      <c r="H336" s="861"/>
    </row>
    <row r="337" spans="2:8">
      <c r="B337" s="865"/>
      <c r="C337" s="861"/>
      <c r="D337" s="861"/>
      <c r="E337" s="861"/>
      <c r="F337" s="861"/>
      <c r="G337" s="861"/>
      <c r="H337" s="861"/>
    </row>
    <row r="338" spans="2:8">
      <c r="B338" s="865"/>
      <c r="C338" s="861"/>
      <c r="D338" s="861"/>
      <c r="E338" s="861"/>
      <c r="F338" s="861"/>
      <c r="G338" s="861"/>
      <c r="H338" s="861"/>
    </row>
    <row r="339" spans="2:8">
      <c r="B339" s="865"/>
      <c r="C339" s="861"/>
      <c r="D339" s="861"/>
      <c r="E339" s="861"/>
      <c r="F339" s="861"/>
      <c r="G339" s="861"/>
      <c r="H339" s="861"/>
    </row>
    <row r="340" spans="2:8">
      <c r="B340" s="865"/>
      <c r="C340" s="861"/>
      <c r="D340" s="861"/>
      <c r="E340" s="861"/>
      <c r="F340" s="861"/>
      <c r="G340" s="861"/>
      <c r="H340" s="861"/>
    </row>
    <row r="341" spans="2:8">
      <c r="B341" s="865"/>
      <c r="C341" s="861"/>
      <c r="D341" s="861"/>
      <c r="E341" s="861"/>
      <c r="F341" s="861"/>
      <c r="G341" s="861"/>
      <c r="H341" s="861"/>
    </row>
    <row r="342" spans="2:8">
      <c r="B342" s="865"/>
      <c r="C342" s="861"/>
      <c r="D342" s="861"/>
      <c r="E342" s="861"/>
      <c r="F342" s="861"/>
      <c r="G342" s="861"/>
      <c r="H342" s="861"/>
    </row>
    <row r="343" spans="2:8">
      <c r="B343" s="865"/>
      <c r="C343" s="861"/>
      <c r="D343" s="861"/>
      <c r="E343" s="861"/>
      <c r="F343" s="861"/>
      <c r="G343" s="861"/>
      <c r="H343" s="861"/>
    </row>
    <row r="344" spans="2:8">
      <c r="B344" s="865"/>
      <c r="C344" s="861"/>
      <c r="D344" s="861"/>
      <c r="E344" s="861"/>
      <c r="F344" s="861"/>
      <c r="G344" s="861"/>
      <c r="H344" s="861"/>
    </row>
    <row r="345" spans="2:8">
      <c r="B345" s="865"/>
      <c r="C345" s="861"/>
      <c r="D345" s="861"/>
      <c r="E345" s="861"/>
      <c r="F345" s="861"/>
      <c r="G345" s="861"/>
      <c r="H345" s="861"/>
    </row>
    <row r="346" spans="2:8">
      <c r="B346" s="865"/>
      <c r="C346" s="861"/>
      <c r="D346" s="861"/>
      <c r="E346" s="861"/>
      <c r="F346" s="861"/>
      <c r="G346" s="861"/>
      <c r="H346" s="861"/>
    </row>
    <row r="347" spans="2:8">
      <c r="B347" s="865"/>
      <c r="C347" s="861"/>
      <c r="D347" s="861"/>
      <c r="E347" s="861"/>
      <c r="F347" s="861"/>
      <c r="G347" s="861"/>
      <c r="H347" s="861"/>
    </row>
    <row r="348" spans="2:8">
      <c r="B348" s="865"/>
      <c r="C348" s="861"/>
      <c r="D348" s="861"/>
      <c r="E348" s="861"/>
      <c r="F348" s="861"/>
      <c r="G348" s="861"/>
      <c r="H348" s="861"/>
    </row>
    <row r="349" spans="2:8">
      <c r="B349" s="865"/>
      <c r="C349" s="861"/>
      <c r="D349" s="861"/>
      <c r="E349" s="861"/>
      <c r="F349" s="861"/>
      <c r="G349" s="861"/>
      <c r="H349" s="861"/>
    </row>
    <row r="350" spans="2:8">
      <c r="B350" s="865"/>
      <c r="C350" s="861"/>
      <c r="D350" s="861"/>
      <c r="E350" s="861"/>
      <c r="F350" s="861"/>
      <c r="G350" s="861"/>
      <c r="H350" s="861"/>
    </row>
    <row r="351" spans="2:8">
      <c r="B351" s="865"/>
      <c r="C351" s="861"/>
      <c r="D351" s="861"/>
      <c r="E351" s="861"/>
      <c r="F351" s="861"/>
      <c r="G351" s="861"/>
      <c r="H351" s="861"/>
    </row>
    <row r="352" spans="2:8">
      <c r="B352" s="865"/>
      <c r="C352" s="861"/>
      <c r="D352" s="861"/>
      <c r="E352" s="861"/>
      <c r="F352" s="861"/>
      <c r="G352" s="861"/>
      <c r="H352" s="861"/>
    </row>
    <row r="353" spans="2:8">
      <c r="B353" s="865"/>
      <c r="C353" s="861"/>
      <c r="D353" s="861"/>
      <c r="E353" s="861"/>
      <c r="F353" s="861"/>
      <c r="G353" s="861"/>
      <c r="H353" s="861"/>
    </row>
    <row r="354" spans="2:8">
      <c r="B354" s="865"/>
      <c r="C354" s="861"/>
      <c r="D354" s="861"/>
      <c r="E354" s="861"/>
      <c r="F354" s="861"/>
      <c r="G354" s="861"/>
      <c r="H354" s="861"/>
    </row>
    <row r="355" spans="2:8">
      <c r="B355" s="865"/>
      <c r="C355" s="861"/>
      <c r="D355" s="861"/>
      <c r="E355" s="861"/>
      <c r="F355" s="861"/>
      <c r="G355" s="861"/>
      <c r="H355" s="861"/>
    </row>
    <row r="356" spans="2:8">
      <c r="B356" s="865"/>
      <c r="C356" s="861"/>
      <c r="D356" s="861"/>
      <c r="E356" s="861"/>
      <c r="F356" s="861"/>
      <c r="G356" s="861"/>
      <c r="H356" s="861"/>
    </row>
    <row r="357" spans="2:8">
      <c r="B357" s="865"/>
      <c r="C357" s="861"/>
      <c r="D357" s="861"/>
      <c r="E357" s="861"/>
      <c r="F357" s="861"/>
      <c r="G357" s="861"/>
      <c r="H357" s="861"/>
    </row>
    <row r="358" spans="2:8">
      <c r="B358" s="865"/>
      <c r="C358" s="861"/>
      <c r="D358" s="861"/>
      <c r="E358" s="861"/>
      <c r="F358" s="861"/>
      <c r="G358" s="861"/>
      <c r="H358" s="861"/>
    </row>
    <row r="359" spans="2:8">
      <c r="B359" s="865"/>
      <c r="C359" s="861"/>
      <c r="D359" s="861"/>
      <c r="E359" s="861"/>
      <c r="F359" s="861"/>
      <c r="G359" s="861"/>
      <c r="H359" s="861"/>
    </row>
    <row r="360" spans="2:8">
      <c r="B360" s="865"/>
      <c r="C360" s="861"/>
      <c r="D360" s="861"/>
      <c r="E360" s="861"/>
      <c r="F360" s="861"/>
      <c r="G360" s="861"/>
      <c r="H360" s="861"/>
    </row>
    <row r="361" spans="2:8">
      <c r="B361" s="865"/>
      <c r="C361" s="861"/>
      <c r="D361" s="861"/>
      <c r="E361" s="861"/>
      <c r="F361" s="861"/>
      <c r="G361" s="861"/>
      <c r="H361" s="861"/>
    </row>
    <row r="362" spans="2:8">
      <c r="B362" s="865"/>
      <c r="C362" s="861"/>
      <c r="D362" s="861"/>
      <c r="E362" s="861"/>
      <c r="F362" s="861"/>
      <c r="G362" s="861"/>
      <c r="H362" s="861"/>
    </row>
    <row r="363" spans="2:8">
      <c r="B363" s="865"/>
      <c r="C363" s="861"/>
      <c r="D363" s="861"/>
      <c r="E363" s="861"/>
      <c r="F363" s="861"/>
      <c r="G363" s="861"/>
      <c r="H363" s="861"/>
    </row>
    <row r="364" spans="2:8">
      <c r="B364" s="865"/>
      <c r="C364" s="861"/>
      <c r="D364" s="861"/>
      <c r="E364" s="861"/>
      <c r="F364" s="861"/>
      <c r="G364" s="861"/>
      <c r="H364" s="861"/>
    </row>
    <row r="365" spans="2:8">
      <c r="B365" s="865"/>
      <c r="C365" s="861"/>
      <c r="D365" s="861"/>
      <c r="E365" s="861"/>
      <c r="F365" s="861"/>
      <c r="G365" s="861"/>
      <c r="H365" s="861"/>
    </row>
    <row r="366" spans="2:8">
      <c r="B366" s="865"/>
      <c r="C366" s="861"/>
      <c r="D366" s="861"/>
      <c r="E366" s="861"/>
      <c r="F366" s="861"/>
      <c r="G366" s="861"/>
      <c r="H366" s="861"/>
    </row>
    <row r="367" spans="2:8">
      <c r="B367" s="865"/>
      <c r="C367" s="861"/>
      <c r="D367" s="861"/>
      <c r="E367" s="861"/>
      <c r="F367" s="861"/>
      <c r="G367" s="861"/>
      <c r="H367" s="861"/>
    </row>
    <row r="368" spans="2:8">
      <c r="B368" s="865"/>
      <c r="C368" s="861"/>
      <c r="D368" s="861"/>
      <c r="E368" s="861"/>
      <c r="F368" s="861"/>
      <c r="G368" s="861"/>
      <c r="H368" s="861"/>
    </row>
    <row r="369" spans="2:8">
      <c r="B369" s="865"/>
      <c r="C369" s="861"/>
      <c r="D369" s="861"/>
      <c r="E369" s="861"/>
      <c r="F369" s="861"/>
      <c r="G369" s="861"/>
      <c r="H369" s="861"/>
    </row>
    <row r="370" spans="2:8">
      <c r="B370" s="865"/>
      <c r="C370" s="861"/>
      <c r="D370" s="861"/>
      <c r="E370" s="861"/>
      <c r="F370" s="861"/>
      <c r="G370" s="861"/>
      <c r="H370" s="861"/>
    </row>
    <row r="371" spans="2:8">
      <c r="B371" s="865"/>
      <c r="C371" s="861"/>
      <c r="D371" s="861"/>
      <c r="E371" s="861"/>
      <c r="F371" s="861"/>
      <c r="G371" s="861"/>
      <c r="H371" s="861"/>
    </row>
    <row r="372" spans="2:8">
      <c r="B372" s="865"/>
      <c r="C372" s="861"/>
      <c r="D372" s="861"/>
      <c r="E372" s="861"/>
      <c r="F372" s="861"/>
      <c r="G372" s="861"/>
      <c r="H372" s="861"/>
    </row>
    <row r="373" spans="2:8">
      <c r="B373" s="865"/>
      <c r="C373" s="861"/>
      <c r="D373" s="861"/>
      <c r="E373" s="861"/>
      <c r="F373" s="861"/>
      <c r="G373" s="861"/>
      <c r="H373" s="861"/>
    </row>
    <row r="374" spans="2:8">
      <c r="B374" s="865"/>
      <c r="C374" s="861"/>
      <c r="D374" s="861"/>
      <c r="E374" s="861"/>
      <c r="F374" s="861"/>
      <c r="G374" s="861"/>
      <c r="H374" s="861"/>
    </row>
    <row r="375" spans="2:8">
      <c r="B375" s="865"/>
      <c r="C375" s="861"/>
      <c r="D375" s="861"/>
      <c r="E375" s="861"/>
      <c r="F375" s="861"/>
      <c r="G375" s="861"/>
      <c r="H375" s="861"/>
    </row>
    <row r="376" spans="2:8">
      <c r="B376" s="865"/>
      <c r="C376" s="861"/>
      <c r="D376" s="861"/>
      <c r="E376" s="861"/>
      <c r="F376" s="861"/>
      <c r="G376" s="861"/>
      <c r="H376" s="861"/>
    </row>
    <row r="377" spans="2:8">
      <c r="B377" s="865"/>
      <c r="C377" s="861"/>
      <c r="D377" s="861"/>
      <c r="E377" s="861"/>
      <c r="F377" s="861"/>
      <c r="G377" s="861"/>
      <c r="H377" s="861"/>
    </row>
    <row r="378" spans="2:8">
      <c r="B378" s="865"/>
      <c r="C378" s="861"/>
      <c r="D378" s="861"/>
      <c r="E378" s="861"/>
      <c r="F378" s="861"/>
      <c r="G378" s="861"/>
      <c r="H378" s="861"/>
    </row>
    <row r="379" spans="2:8">
      <c r="B379" s="865"/>
      <c r="C379" s="861"/>
      <c r="D379" s="861"/>
      <c r="E379" s="861"/>
      <c r="F379" s="861"/>
      <c r="G379" s="861"/>
      <c r="H379" s="861"/>
    </row>
    <row r="380" spans="2:8">
      <c r="B380" s="865"/>
      <c r="C380" s="861"/>
      <c r="D380" s="861"/>
      <c r="E380" s="861"/>
      <c r="F380" s="861"/>
      <c r="G380" s="861"/>
      <c r="H380" s="861"/>
    </row>
    <row r="381" spans="2:8">
      <c r="B381" s="865"/>
      <c r="C381" s="861"/>
      <c r="D381" s="861"/>
      <c r="E381" s="861"/>
      <c r="F381" s="861"/>
      <c r="G381" s="861"/>
      <c r="H381" s="861"/>
    </row>
    <row r="382" spans="2:8">
      <c r="B382" s="865"/>
      <c r="C382" s="861"/>
      <c r="D382" s="861"/>
      <c r="E382" s="861"/>
      <c r="F382" s="861"/>
      <c r="G382" s="861"/>
      <c r="H382" s="861"/>
    </row>
    <row r="383" spans="2:8">
      <c r="B383" s="865"/>
      <c r="C383" s="861"/>
      <c r="D383" s="861"/>
      <c r="E383" s="861"/>
      <c r="F383" s="861"/>
      <c r="G383" s="861"/>
      <c r="H383" s="861"/>
    </row>
    <row r="384" spans="2:8">
      <c r="B384" s="865"/>
      <c r="C384" s="861"/>
      <c r="D384" s="861"/>
      <c r="E384" s="861"/>
      <c r="F384" s="861"/>
      <c r="G384" s="861"/>
      <c r="H384" s="861"/>
    </row>
    <row r="385" spans="2:8">
      <c r="B385" s="865"/>
      <c r="C385" s="861"/>
      <c r="D385" s="861"/>
      <c r="E385" s="861"/>
      <c r="F385" s="861"/>
      <c r="G385" s="861"/>
      <c r="H385" s="861"/>
    </row>
    <row r="386" spans="2:8">
      <c r="B386" s="865"/>
      <c r="C386" s="861"/>
      <c r="D386" s="861"/>
      <c r="E386" s="861"/>
      <c r="F386" s="861"/>
      <c r="G386" s="861"/>
      <c r="H386" s="861"/>
    </row>
    <row r="387" spans="2:8">
      <c r="B387" s="865"/>
      <c r="C387" s="861"/>
      <c r="D387" s="861"/>
      <c r="E387" s="861"/>
      <c r="F387" s="861"/>
      <c r="G387" s="861"/>
      <c r="H387" s="861"/>
    </row>
    <row r="388" spans="2:8">
      <c r="B388" s="865"/>
      <c r="C388" s="861"/>
      <c r="D388" s="861"/>
      <c r="E388" s="861"/>
      <c r="F388" s="861"/>
      <c r="G388" s="861"/>
      <c r="H388" s="861"/>
    </row>
    <row r="389" spans="2:8">
      <c r="B389" s="865"/>
      <c r="C389" s="861"/>
      <c r="D389" s="861"/>
      <c r="E389" s="861"/>
      <c r="F389" s="861"/>
      <c r="G389" s="861"/>
      <c r="H389" s="861"/>
    </row>
    <row r="390" spans="2:8">
      <c r="B390" s="865"/>
      <c r="C390" s="861"/>
      <c r="D390" s="861"/>
      <c r="E390" s="861"/>
      <c r="F390" s="861"/>
      <c r="G390" s="861"/>
      <c r="H390" s="861"/>
    </row>
    <row r="391" spans="2:8">
      <c r="B391" s="865"/>
      <c r="C391" s="861"/>
      <c r="D391" s="861"/>
      <c r="E391" s="861"/>
      <c r="F391" s="861"/>
      <c r="G391" s="861"/>
      <c r="H391" s="861"/>
    </row>
    <row r="392" spans="2:8">
      <c r="B392" s="865"/>
      <c r="C392" s="861"/>
      <c r="D392" s="861"/>
      <c r="E392" s="861"/>
      <c r="F392" s="861"/>
      <c r="G392" s="861"/>
      <c r="H392" s="861"/>
    </row>
    <row r="393" spans="2:8">
      <c r="B393" s="865"/>
      <c r="C393" s="861"/>
      <c r="D393" s="861"/>
      <c r="E393" s="861"/>
      <c r="F393" s="861"/>
      <c r="G393" s="861"/>
      <c r="H393" s="861"/>
    </row>
    <row r="394" spans="2:8">
      <c r="B394" s="865"/>
      <c r="C394" s="861"/>
      <c r="D394" s="861"/>
      <c r="E394" s="861"/>
      <c r="F394" s="861"/>
      <c r="G394" s="861"/>
      <c r="H394" s="861"/>
    </row>
    <row r="395" spans="2:8">
      <c r="B395" s="865"/>
      <c r="C395" s="861"/>
      <c r="D395" s="861"/>
      <c r="E395" s="861"/>
      <c r="F395" s="861"/>
      <c r="G395" s="861"/>
      <c r="H395" s="861"/>
    </row>
    <row r="396" spans="2:8">
      <c r="B396" s="865"/>
      <c r="C396" s="861"/>
      <c r="D396" s="861"/>
      <c r="E396" s="861"/>
      <c r="F396" s="861"/>
      <c r="G396" s="861"/>
      <c r="H396" s="861"/>
    </row>
    <row r="397" spans="2:8">
      <c r="B397" s="865"/>
      <c r="C397" s="861"/>
      <c r="D397" s="861"/>
      <c r="E397" s="861"/>
      <c r="F397" s="861"/>
      <c r="G397" s="861"/>
      <c r="H397" s="861"/>
    </row>
    <row r="398" spans="2:8">
      <c r="B398" s="865"/>
      <c r="C398" s="861"/>
      <c r="D398" s="861"/>
      <c r="E398" s="861"/>
      <c r="F398" s="861"/>
      <c r="G398" s="861"/>
      <c r="H398" s="861"/>
    </row>
    <row r="399" spans="2:8">
      <c r="B399" s="865"/>
      <c r="C399" s="861"/>
      <c r="D399" s="861"/>
      <c r="E399" s="861"/>
      <c r="F399" s="861"/>
      <c r="G399" s="861"/>
      <c r="H399" s="861"/>
    </row>
    <row r="400" spans="2:8">
      <c r="B400" s="865"/>
      <c r="C400" s="861"/>
      <c r="D400" s="861"/>
      <c r="E400" s="861"/>
      <c r="F400" s="861"/>
      <c r="G400" s="861"/>
      <c r="H400" s="861"/>
    </row>
    <row r="401" spans="2:8">
      <c r="B401" s="865"/>
      <c r="C401" s="861"/>
      <c r="D401" s="861"/>
      <c r="E401" s="861"/>
      <c r="F401" s="861"/>
      <c r="G401" s="861"/>
      <c r="H401" s="861"/>
    </row>
    <row r="402" spans="2:8">
      <c r="B402" s="865"/>
      <c r="C402" s="861"/>
      <c r="D402" s="861"/>
      <c r="E402" s="861"/>
      <c r="F402" s="861"/>
      <c r="G402" s="861"/>
      <c r="H402" s="861"/>
    </row>
    <row r="403" spans="2:8">
      <c r="B403" s="865"/>
      <c r="C403" s="861"/>
      <c r="D403" s="861"/>
      <c r="E403" s="861"/>
      <c r="F403" s="861"/>
      <c r="G403" s="861"/>
      <c r="H403" s="861"/>
    </row>
    <row r="404" spans="2:8">
      <c r="B404" s="865"/>
      <c r="C404" s="861"/>
      <c r="D404" s="861"/>
      <c r="E404" s="861"/>
      <c r="F404" s="861"/>
      <c r="G404" s="861"/>
      <c r="H404" s="861"/>
    </row>
    <row r="405" spans="2:8">
      <c r="B405" s="865"/>
      <c r="C405" s="861"/>
      <c r="D405" s="861"/>
      <c r="E405" s="861"/>
      <c r="F405" s="861"/>
      <c r="G405" s="861"/>
      <c r="H405" s="861"/>
    </row>
    <row r="406" spans="2:8">
      <c r="B406" s="865"/>
      <c r="C406" s="861"/>
      <c r="D406" s="861"/>
      <c r="E406" s="861"/>
      <c r="F406" s="861"/>
      <c r="G406" s="861"/>
      <c r="H406" s="861"/>
    </row>
    <row r="407" spans="2:8">
      <c r="B407" s="865"/>
      <c r="C407" s="861"/>
      <c r="D407" s="861"/>
      <c r="E407" s="861"/>
      <c r="F407" s="861"/>
      <c r="G407" s="861"/>
      <c r="H407" s="861"/>
    </row>
    <row r="408" spans="2:8">
      <c r="B408" s="865"/>
      <c r="C408" s="861"/>
      <c r="D408" s="861"/>
      <c r="E408" s="861"/>
      <c r="F408" s="861"/>
      <c r="G408" s="861"/>
      <c r="H408" s="861"/>
    </row>
    <row r="409" spans="2:8">
      <c r="B409" s="865"/>
      <c r="C409" s="861"/>
      <c r="D409" s="861"/>
      <c r="E409" s="861"/>
      <c r="F409" s="861"/>
      <c r="G409" s="861"/>
      <c r="H409" s="861"/>
    </row>
    <row r="410" spans="2:8">
      <c r="B410" s="865"/>
      <c r="C410" s="861"/>
      <c r="D410" s="861"/>
      <c r="E410" s="861"/>
      <c r="F410" s="861"/>
      <c r="G410" s="861"/>
      <c r="H410" s="861"/>
    </row>
    <row r="411" spans="2:8">
      <c r="B411" s="865"/>
      <c r="C411" s="861"/>
      <c r="D411" s="861"/>
      <c r="E411" s="861"/>
      <c r="F411" s="861"/>
      <c r="G411" s="861"/>
      <c r="H411" s="861"/>
    </row>
    <row r="412" spans="2:8">
      <c r="B412" s="865"/>
      <c r="C412" s="861"/>
      <c r="D412" s="861"/>
      <c r="E412" s="861"/>
      <c r="F412" s="861"/>
      <c r="G412" s="861"/>
      <c r="H412" s="861"/>
    </row>
    <row r="413" spans="2:8">
      <c r="B413" s="865"/>
      <c r="C413" s="861"/>
      <c r="D413" s="861"/>
      <c r="E413" s="861"/>
      <c r="F413" s="861"/>
      <c r="G413" s="861"/>
      <c r="H413" s="861"/>
    </row>
    <row r="414" spans="2:8">
      <c r="B414" s="865"/>
      <c r="C414" s="861"/>
      <c r="D414" s="861"/>
      <c r="E414" s="861"/>
      <c r="F414" s="861"/>
      <c r="G414" s="861"/>
      <c r="H414" s="861"/>
    </row>
    <row r="415" spans="2:8">
      <c r="B415" s="865"/>
      <c r="C415" s="861"/>
      <c r="D415" s="861"/>
      <c r="E415" s="861"/>
      <c r="F415" s="861"/>
      <c r="G415" s="861"/>
      <c r="H415" s="861"/>
    </row>
    <row r="416" spans="2:8">
      <c r="B416" s="865"/>
      <c r="C416" s="861"/>
      <c r="D416" s="861"/>
      <c r="E416" s="861"/>
      <c r="F416" s="861"/>
      <c r="G416" s="861"/>
      <c r="H416" s="861"/>
    </row>
    <row r="417" spans="2:8">
      <c r="B417" s="865"/>
      <c r="C417" s="861"/>
      <c r="D417" s="861"/>
      <c r="E417" s="861"/>
      <c r="F417" s="861"/>
      <c r="G417" s="861"/>
      <c r="H417" s="861"/>
    </row>
    <row r="418" spans="2:8">
      <c r="B418" s="865"/>
      <c r="C418" s="861"/>
      <c r="D418" s="861"/>
      <c r="E418" s="861"/>
      <c r="F418" s="861"/>
      <c r="G418" s="861"/>
      <c r="H418" s="861"/>
    </row>
    <row r="419" spans="2:8">
      <c r="B419" s="865"/>
      <c r="C419" s="861"/>
      <c r="D419" s="861"/>
      <c r="E419" s="861"/>
      <c r="F419" s="861"/>
      <c r="G419" s="861"/>
      <c r="H419" s="861"/>
    </row>
    <row r="420" spans="2:8">
      <c r="B420" s="865"/>
      <c r="C420" s="861"/>
      <c r="D420" s="861"/>
      <c r="E420" s="861"/>
      <c r="F420" s="861"/>
      <c r="G420" s="861"/>
      <c r="H420" s="861"/>
    </row>
    <row r="421" spans="2:8">
      <c r="B421" s="865"/>
      <c r="C421" s="861"/>
      <c r="D421" s="861"/>
      <c r="E421" s="861"/>
      <c r="F421" s="861"/>
      <c r="G421" s="861"/>
      <c r="H421" s="861"/>
    </row>
    <row r="422" spans="2:8">
      <c r="B422" s="865"/>
      <c r="C422" s="861"/>
      <c r="D422" s="861"/>
      <c r="E422" s="861"/>
      <c r="F422" s="861"/>
      <c r="G422" s="861"/>
      <c r="H422" s="861"/>
    </row>
    <row r="423" spans="2:8">
      <c r="B423" s="865"/>
      <c r="C423" s="861"/>
      <c r="D423" s="861"/>
      <c r="E423" s="861"/>
      <c r="F423" s="861"/>
      <c r="G423" s="861"/>
      <c r="H423" s="861"/>
    </row>
    <row r="424" spans="2:8">
      <c r="B424" s="865"/>
      <c r="C424" s="861"/>
      <c r="D424" s="861"/>
      <c r="E424" s="861"/>
      <c r="F424" s="861"/>
      <c r="G424" s="861"/>
      <c r="H424" s="861"/>
    </row>
    <row r="425" spans="2:8">
      <c r="B425" s="865"/>
      <c r="C425" s="861"/>
      <c r="D425" s="861"/>
      <c r="E425" s="861"/>
      <c r="F425" s="861"/>
      <c r="G425" s="861"/>
      <c r="H425" s="861"/>
    </row>
    <row r="426" spans="2:8">
      <c r="B426" s="865"/>
      <c r="C426" s="861"/>
      <c r="D426" s="861"/>
      <c r="E426" s="861"/>
      <c r="F426" s="861"/>
      <c r="G426" s="861"/>
      <c r="H426" s="861"/>
    </row>
    <row r="427" spans="2:8">
      <c r="B427" s="865"/>
      <c r="C427" s="861"/>
      <c r="D427" s="861"/>
      <c r="E427" s="861"/>
      <c r="F427" s="861"/>
      <c r="G427" s="861"/>
      <c r="H427" s="861"/>
    </row>
    <row r="428" spans="2:8">
      <c r="B428" s="865"/>
      <c r="C428" s="861"/>
      <c r="D428" s="861"/>
      <c r="E428" s="861"/>
      <c r="F428" s="861"/>
      <c r="G428" s="861"/>
      <c r="H428" s="861"/>
    </row>
    <row r="429" spans="2:8">
      <c r="B429" s="865"/>
      <c r="C429" s="861"/>
      <c r="D429" s="861"/>
      <c r="E429" s="861"/>
      <c r="F429" s="861"/>
      <c r="G429" s="861"/>
      <c r="H429" s="861"/>
    </row>
    <row r="430" spans="2:8">
      <c r="B430" s="865"/>
      <c r="C430" s="861"/>
      <c r="D430" s="861"/>
      <c r="E430" s="861"/>
      <c r="F430" s="861"/>
      <c r="G430" s="861"/>
      <c r="H430" s="861"/>
    </row>
    <row r="431" spans="2:8">
      <c r="B431" s="865"/>
      <c r="C431" s="861"/>
      <c r="D431" s="861"/>
      <c r="E431" s="861"/>
      <c r="F431" s="861"/>
      <c r="G431" s="861"/>
      <c r="H431" s="861"/>
    </row>
    <row r="432" spans="2:8">
      <c r="B432" s="865"/>
      <c r="C432" s="861"/>
      <c r="D432" s="861"/>
      <c r="E432" s="861"/>
      <c r="F432" s="861"/>
      <c r="G432" s="861"/>
      <c r="H432" s="861"/>
    </row>
    <row r="433" spans="2:8">
      <c r="B433" s="865"/>
      <c r="C433" s="861"/>
      <c r="D433" s="861"/>
      <c r="E433" s="861"/>
      <c r="F433" s="861"/>
      <c r="G433" s="861"/>
      <c r="H433" s="861"/>
    </row>
    <row r="434" spans="2:8">
      <c r="B434" s="865"/>
      <c r="C434" s="861"/>
      <c r="D434" s="861"/>
      <c r="E434" s="861"/>
      <c r="F434" s="861"/>
      <c r="G434" s="861"/>
      <c r="H434" s="861"/>
    </row>
    <row r="435" spans="2:8">
      <c r="B435" s="865"/>
      <c r="C435" s="861"/>
      <c r="D435" s="861"/>
      <c r="E435" s="861"/>
      <c r="F435" s="861"/>
      <c r="G435" s="861"/>
      <c r="H435" s="861"/>
    </row>
    <row r="436" spans="2:8">
      <c r="B436" s="865"/>
      <c r="C436" s="861"/>
      <c r="D436" s="861"/>
      <c r="E436" s="861"/>
      <c r="F436" s="861"/>
      <c r="G436" s="861"/>
      <c r="H436" s="861"/>
    </row>
    <row r="437" spans="2:8">
      <c r="B437" s="865"/>
      <c r="C437" s="861"/>
      <c r="D437" s="861"/>
      <c r="E437" s="861"/>
      <c r="F437" s="861"/>
      <c r="G437" s="861"/>
      <c r="H437" s="861"/>
    </row>
    <row r="438" spans="2:8">
      <c r="B438" s="865"/>
      <c r="C438" s="861"/>
      <c r="D438" s="861"/>
      <c r="E438" s="861"/>
      <c r="F438" s="861"/>
      <c r="G438" s="861"/>
      <c r="H438" s="861"/>
    </row>
    <row r="439" spans="2:8">
      <c r="B439" s="865"/>
      <c r="C439" s="861"/>
      <c r="D439" s="861"/>
      <c r="E439" s="861"/>
      <c r="F439" s="861"/>
      <c r="G439" s="861"/>
      <c r="H439" s="861"/>
    </row>
    <row r="440" spans="2:8">
      <c r="B440" s="865"/>
      <c r="C440" s="861"/>
      <c r="D440" s="861"/>
      <c r="E440" s="861"/>
      <c r="F440" s="861"/>
      <c r="G440" s="861"/>
      <c r="H440" s="861"/>
    </row>
    <row r="441" spans="2:8">
      <c r="B441" s="865"/>
      <c r="C441" s="861"/>
      <c r="D441" s="861"/>
      <c r="E441" s="861"/>
      <c r="F441" s="861"/>
      <c r="G441" s="861"/>
      <c r="H441" s="861"/>
    </row>
    <row r="442" spans="2:8">
      <c r="B442" s="865"/>
      <c r="C442" s="861"/>
      <c r="D442" s="861"/>
      <c r="E442" s="861"/>
      <c r="F442" s="861"/>
      <c r="G442" s="861"/>
      <c r="H442" s="861"/>
    </row>
    <row r="443" spans="2:8">
      <c r="B443" s="865"/>
      <c r="C443" s="861"/>
      <c r="D443" s="861"/>
      <c r="E443" s="861"/>
      <c r="F443" s="861"/>
      <c r="G443" s="861"/>
      <c r="H443" s="861"/>
    </row>
    <row r="444" spans="2:8">
      <c r="B444" s="865"/>
      <c r="C444" s="861"/>
      <c r="D444" s="861"/>
      <c r="E444" s="861"/>
      <c r="F444" s="861"/>
      <c r="G444" s="861"/>
      <c r="H444" s="861"/>
    </row>
    <row r="445" spans="2:8">
      <c r="B445" s="865"/>
      <c r="C445" s="861"/>
      <c r="D445" s="861"/>
      <c r="E445" s="861"/>
      <c r="F445" s="861"/>
      <c r="G445" s="861"/>
      <c r="H445" s="861"/>
    </row>
    <row r="446" spans="2:8">
      <c r="B446" s="865"/>
      <c r="C446" s="861"/>
      <c r="D446" s="861"/>
      <c r="E446" s="861"/>
      <c r="F446" s="861"/>
      <c r="G446" s="861"/>
      <c r="H446" s="861"/>
    </row>
    <row r="447" spans="2:8">
      <c r="B447" s="865"/>
      <c r="C447" s="861"/>
      <c r="D447" s="861"/>
      <c r="E447" s="861"/>
      <c r="F447" s="861"/>
      <c r="G447" s="861"/>
      <c r="H447" s="861"/>
    </row>
    <row r="448" spans="2:8">
      <c r="B448" s="865"/>
      <c r="C448" s="861"/>
      <c r="D448" s="861"/>
      <c r="E448" s="861"/>
      <c r="F448" s="861"/>
      <c r="G448" s="861"/>
      <c r="H448" s="861"/>
    </row>
    <row r="449" spans="2:8">
      <c r="B449" s="865"/>
      <c r="C449" s="861"/>
      <c r="D449" s="861"/>
      <c r="E449" s="861"/>
      <c r="F449" s="861"/>
      <c r="G449" s="861"/>
      <c r="H449" s="861"/>
    </row>
    <row r="450" spans="2:8">
      <c r="B450" s="865"/>
      <c r="C450" s="861"/>
      <c r="D450" s="861"/>
      <c r="E450" s="861"/>
      <c r="F450" s="861"/>
      <c r="G450" s="861"/>
      <c r="H450" s="861"/>
    </row>
    <row r="451" spans="2:8">
      <c r="B451" s="865"/>
      <c r="C451" s="861"/>
      <c r="D451" s="861"/>
      <c r="E451" s="861"/>
      <c r="F451" s="861"/>
      <c r="G451" s="861"/>
      <c r="H451" s="861"/>
    </row>
    <row r="452" spans="2:8">
      <c r="B452" s="865"/>
      <c r="C452" s="861"/>
      <c r="D452" s="861"/>
      <c r="E452" s="861"/>
      <c r="F452" s="861"/>
      <c r="G452" s="861"/>
      <c r="H452" s="861"/>
    </row>
    <row r="453" spans="2:8">
      <c r="B453" s="865"/>
      <c r="C453" s="861"/>
      <c r="D453" s="861"/>
      <c r="E453" s="861"/>
      <c r="F453" s="861"/>
      <c r="G453" s="861"/>
      <c r="H453" s="861"/>
    </row>
    <row r="454" spans="2:8">
      <c r="B454" s="865"/>
      <c r="C454" s="861"/>
      <c r="D454" s="861"/>
      <c r="E454" s="861"/>
      <c r="F454" s="861"/>
      <c r="G454" s="861"/>
      <c r="H454" s="861"/>
    </row>
    <row r="455" spans="2:8">
      <c r="B455" s="865"/>
      <c r="C455" s="861"/>
      <c r="D455" s="861"/>
      <c r="E455" s="861"/>
      <c r="F455" s="861"/>
      <c r="G455" s="861"/>
      <c r="H455" s="861"/>
    </row>
    <row r="456" spans="2:8">
      <c r="B456" s="865"/>
      <c r="C456" s="861"/>
      <c r="D456" s="861"/>
      <c r="E456" s="861"/>
      <c r="F456" s="861"/>
      <c r="G456" s="861"/>
      <c r="H456" s="861"/>
    </row>
    <row r="457" spans="2:8">
      <c r="B457" s="865"/>
      <c r="C457" s="861"/>
      <c r="D457" s="861"/>
      <c r="E457" s="861"/>
      <c r="F457" s="861"/>
      <c r="G457" s="861"/>
      <c r="H457" s="861"/>
    </row>
    <row r="458" spans="2:8">
      <c r="B458" s="865"/>
      <c r="C458" s="861"/>
      <c r="D458" s="861"/>
      <c r="E458" s="861"/>
      <c r="F458" s="861"/>
      <c r="G458" s="861"/>
      <c r="H458" s="861"/>
    </row>
    <row r="459" spans="2:8">
      <c r="B459" s="865"/>
      <c r="C459" s="861"/>
      <c r="D459" s="861"/>
      <c r="E459" s="861"/>
      <c r="F459" s="861"/>
      <c r="G459" s="861"/>
      <c r="H459" s="861"/>
    </row>
    <row r="460" spans="2:8">
      <c r="B460" s="865"/>
      <c r="C460" s="861"/>
      <c r="D460" s="861"/>
      <c r="E460" s="861"/>
      <c r="F460" s="861"/>
      <c r="G460" s="861"/>
      <c r="H460" s="861"/>
    </row>
    <row r="461" spans="2:8">
      <c r="B461" s="865"/>
      <c r="C461" s="861"/>
      <c r="D461" s="861"/>
      <c r="E461" s="861"/>
      <c r="F461" s="861"/>
      <c r="G461" s="861"/>
      <c r="H461" s="861"/>
    </row>
    <row r="462" spans="2:8">
      <c r="B462" s="865"/>
      <c r="C462" s="861"/>
      <c r="D462" s="861"/>
      <c r="E462" s="861"/>
      <c r="F462" s="861"/>
      <c r="G462" s="861"/>
      <c r="H462" s="861"/>
    </row>
    <row r="463" spans="2:8">
      <c r="B463" s="865"/>
      <c r="C463" s="861"/>
      <c r="D463" s="861"/>
      <c r="E463" s="861"/>
      <c r="F463" s="861"/>
      <c r="G463" s="861"/>
      <c r="H463" s="861"/>
    </row>
    <row r="464" spans="2:8">
      <c r="B464" s="865"/>
      <c r="C464" s="861"/>
      <c r="D464" s="861"/>
      <c r="E464" s="861"/>
      <c r="F464" s="861"/>
      <c r="G464" s="861"/>
      <c r="H464" s="861"/>
    </row>
    <row r="465" spans="2:8">
      <c r="B465" s="865"/>
      <c r="C465" s="861"/>
      <c r="D465" s="861"/>
      <c r="E465" s="861"/>
      <c r="F465" s="861"/>
      <c r="G465" s="861"/>
      <c r="H465" s="861"/>
    </row>
    <row r="466" spans="2:8">
      <c r="B466" s="865"/>
      <c r="C466" s="861"/>
      <c r="D466" s="861"/>
      <c r="E466" s="861"/>
      <c r="F466" s="861"/>
      <c r="G466" s="861"/>
      <c r="H466" s="861"/>
    </row>
    <row r="467" spans="2:8">
      <c r="B467" s="865"/>
      <c r="C467" s="861"/>
      <c r="D467" s="861"/>
      <c r="E467" s="861"/>
      <c r="F467" s="861"/>
      <c r="G467" s="861"/>
      <c r="H467" s="861"/>
    </row>
    <row r="468" spans="2:8">
      <c r="B468" s="865"/>
      <c r="C468" s="861"/>
      <c r="D468" s="861"/>
      <c r="E468" s="861"/>
      <c r="F468" s="861"/>
      <c r="G468" s="861"/>
      <c r="H468" s="861"/>
    </row>
    <row r="469" spans="2:8">
      <c r="B469" s="865"/>
      <c r="C469" s="861"/>
      <c r="D469" s="861"/>
      <c r="E469" s="861"/>
      <c r="F469" s="861"/>
      <c r="G469" s="861"/>
      <c r="H469" s="861"/>
    </row>
    <row r="470" spans="2:8">
      <c r="B470" s="865"/>
      <c r="C470" s="861"/>
      <c r="D470" s="861"/>
      <c r="E470" s="861"/>
      <c r="F470" s="861"/>
      <c r="G470" s="861"/>
      <c r="H470" s="861"/>
    </row>
    <row r="471" spans="2:8">
      <c r="B471" s="865"/>
      <c r="C471" s="861"/>
      <c r="D471" s="861"/>
      <c r="E471" s="861"/>
      <c r="F471" s="861"/>
      <c r="G471" s="861"/>
      <c r="H471" s="861"/>
    </row>
    <row r="472" spans="2:8">
      <c r="B472" s="865"/>
      <c r="C472" s="861"/>
      <c r="D472" s="861"/>
      <c r="E472" s="861"/>
      <c r="F472" s="861"/>
      <c r="G472" s="861"/>
      <c r="H472" s="861"/>
    </row>
    <row r="473" spans="2:8">
      <c r="B473" s="865"/>
      <c r="C473" s="861"/>
      <c r="D473" s="861"/>
      <c r="E473" s="861"/>
      <c r="F473" s="861"/>
      <c r="G473" s="861"/>
      <c r="H473" s="861"/>
    </row>
    <row r="474" spans="2:8">
      <c r="B474" s="865"/>
      <c r="C474" s="861"/>
      <c r="D474" s="861"/>
      <c r="E474" s="861"/>
      <c r="F474" s="861"/>
      <c r="G474" s="861"/>
      <c r="H474" s="861"/>
    </row>
    <row r="475" spans="2:8">
      <c r="B475" s="865"/>
      <c r="C475" s="861"/>
      <c r="D475" s="861"/>
      <c r="E475" s="861"/>
      <c r="F475" s="861"/>
      <c r="G475" s="861"/>
      <c r="H475" s="861"/>
    </row>
    <row r="476" spans="2:8">
      <c r="B476" s="865"/>
      <c r="C476" s="861"/>
      <c r="D476" s="861"/>
      <c r="E476" s="861"/>
      <c r="F476" s="861"/>
      <c r="G476" s="861"/>
      <c r="H476" s="861"/>
    </row>
    <row r="477" spans="2:8">
      <c r="B477" s="865"/>
      <c r="C477" s="861"/>
      <c r="D477" s="861"/>
      <c r="E477" s="861"/>
      <c r="F477" s="861"/>
      <c r="G477" s="861"/>
      <c r="H477" s="861"/>
    </row>
    <row r="478" spans="2:8">
      <c r="B478" s="865"/>
      <c r="C478" s="861"/>
      <c r="D478" s="861"/>
      <c r="E478" s="861"/>
      <c r="F478" s="861"/>
      <c r="G478" s="861"/>
      <c r="H478" s="861"/>
    </row>
    <row r="479" spans="2:8">
      <c r="B479" s="865"/>
      <c r="C479" s="861"/>
      <c r="D479" s="861"/>
      <c r="E479" s="861"/>
      <c r="F479" s="861"/>
      <c r="G479" s="861"/>
      <c r="H479" s="861"/>
    </row>
    <row r="480" spans="2:8">
      <c r="B480" s="865"/>
      <c r="C480" s="861"/>
      <c r="D480" s="861"/>
      <c r="E480" s="861"/>
      <c r="F480" s="861"/>
      <c r="G480" s="861"/>
      <c r="H480" s="861"/>
    </row>
    <row r="481" spans="2:8">
      <c r="B481" s="865"/>
      <c r="C481" s="861"/>
      <c r="D481" s="861"/>
      <c r="E481" s="861"/>
      <c r="F481" s="861"/>
      <c r="G481" s="861"/>
      <c r="H481" s="861"/>
    </row>
    <row r="482" spans="2:8">
      <c r="B482" s="865"/>
      <c r="C482" s="861"/>
      <c r="D482" s="861"/>
      <c r="E482" s="861"/>
      <c r="F482" s="861"/>
      <c r="G482" s="861"/>
      <c r="H482" s="861"/>
    </row>
    <row r="483" spans="2:8">
      <c r="B483" s="865"/>
      <c r="C483" s="861"/>
      <c r="D483" s="861"/>
      <c r="E483" s="861"/>
      <c r="F483" s="861"/>
      <c r="G483" s="861"/>
      <c r="H483" s="861"/>
    </row>
    <row r="484" spans="2:8">
      <c r="B484" s="865"/>
      <c r="C484" s="861"/>
      <c r="D484" s="861"/>
      <c r="E484" s="861"/>
      <c r="F484" s="861"/>
      <c r="G484" s="861"/>
      <c r="H484" s="861"/>
    </row>
    <row r="485" spans="2:8">
      <c r="B485" s="865"/>
      <c r="C485" s="861"/>
      <c r="D485" s="861"/>
      <c r="E485" s="861"/>
      <c r="F485" s="861"/>
      <c r="G485" s="861"/>
      <c r="H485" s="861"/>
    </row>
    <row r="486" spans="2:8">
      <c r="B486" s="865"/>
      <c r="C486" s="861"/>
      <c r="D486" s="861"/>
      <c r="E486" s="861"/>
      <c r="F486" s="861"/>
      <c r="G486" s="861"/>
      <c r="H486" s="861"/>
    </row>
    <row r="487" spans="2:8">
      <c r="B487" s="865"/>
      <c r="C487" s="861"/>
      <c r="D487" s="861"/>
      <c r="E487" s="861"/>
      <c r="F487" s="861"/>
      <c r="G487" s="861"/>
      <c r="H487" s="861"/>
    </row>
    <row r="488" spans="2:8">
      <c r="B488" s="865"/>
      <c r="C488" s="861"/>
      <c r="D488" s="861"/>
      <c r="E488" s="861"/>
      <c r="F488" s="861"/>
      <c r="G488" s="861"/>
      <c r="H488" s="861"/>
    </row>
    <row r="489" spans="2:8">
      <c r="B489" s="865"/>
      <c r="C489" s="861"/>
      <c r="D489" s="861"/>
      <c r="E489" s="861"/>
      <c r="F489" s="861"/>
      <c r="G489" s="861"/>
      <c r="H489" s="861"/>
    </row>
    <row r="490" spans="2:8">
      <c r="B490" s="865"/>
      <c r="C490" s="861"/>
      <c r="D490" s="861"/>
      <c r="E490" s="861"/>
      <c r="F490" s="861"/>
      <c r="G490" s="861"/>
      <c r="H490" s="861"/>
    </row>
    <row r="491" spans="2:8">
      <c r="B491" s="865"/>
      <c r="C491" s="861"/>
      <c r="D491" s="861"/>
      <c r="E491" s="861"/>
      <c r="F491" s="861"/>
      <c r="G491" s="861"/>
      <c r="H491" s="861"/>
    </row>
    <row r="492" spans="2:8">
      <c r="B492" s="865"/>
      <c r="C492" s="861"/>
      <c r="D492" s="861"/>
      <c r="E492" s="861"/>
      <c r="F492" s="861"/>
      <c r="G492" s="861"/>
      <c r="H492" s="861"/>
    </row>
    <row r="493" spans="2:8">
      <c r="B493" s="865"/>
      <c r="C493" s="861"/>
      <c r="D493" s="861"/>
      <c r="E493" s="861"/>
      <c r="F493" s="861"/>
      <c r="G493" s="861"/>
      <c r="H493" s="861"/>
    </row>
    <row r="494" spans="2:8">
      <c r="B494" s="865"/>
      <c r="C494" s="861"/>
      <c r="D494" s="861"/>
      <c r="E494" s="861"/>
      <c r="F494" s="861"/>
      <c r="G494" s="861"/>
      <c r="H494" s="861"/>
    </row>
    <row r="495" spans="2:8">
      <c r="B495" s="865"/>
      <c r="C495" s="861"/>
      <c r="D495" s="861"/>
      <c r="E495" s="861"/>
      <c r="F495" s="861"/>
      <c r="G495" s="861"/>
      <c r="H495" s="861"/>
    </row>
    <row r="496" spans="2:8">
      <c r="B496" s="865"/>
      <c r="C496" s="861"/>
      <c r="D496" s="861"/>
      <c r="E496" s="861"/>
      <c r="F496" s="861"/>
      <c r="G496" s="861"/>
      <c r="H496" s="861"/>
    </row>
    <row r="497" spans="2:8">
      <c r="B497" s="865"/>
      <c r="C497" s="861"/>
      <c r="D497" s="861"/>
      <c r="E497" s="861"/>
      <c r="F497" s="861"/>
      <c r="G497" s="861"/>
      <c r="H497" s="861"/>
    </row>
    <row r="498" spans="2:8">
      <c r="B498" s="865"/>
      <c r="C498" s="861"/>
      <c r="D498" s="861"/>
      <c r="E498" s="861"/>
      <c r="F498" s="861"/>
      <c r="G498" s="861"/>
      <c r="H498" s="861"/>
    </row>
    <row r="499" spans="2:8">
      <c r="B499" s="865"/>
      <c r="C499" s="861"/>
      <c r="D499" s="861"/>
      <c r="E499" s="861"/>
      <c r="F499" s="861"/>
      <c r="G499" s="861"/>
      <c r="H499" s="861"/>
    </row>
    <row r="500" spans="2:8">
      <c r="B500" s="865"/>
      <c r="C500" s="861"/>
      <c r="D500" s="861"/>
      <c r="E500" s="861"/>
      <c r="F500" s="861"/>
      <c r="G500" s="861"/>
      <c r="H500" s="861"/>
    </row>
    <row r="501" spans="2:8">
      <c r="B501" s="865"/>
      <c r="C501" s="861"/>
      <c r="D501" s="861"/>
      <c r="E501" s="861"/>
      <c r="F501" s="861"/>
      <c r="G501" s="861"/>
      <c r="H501" s="861"/>
    </row>
    <row r="502" spans="2:8">
      <c r="B502" s="865"/>
      <c r="C502" s="861"/>
      <c r="D502" s="861"/>
      <c r="E502" s="861"/>
      <c r="F502" s="861"/>
      <c r="G502" s="861"/>
      <c r="H502" s="861"/>
    </row>
    <row r="503" spans="2:8">
      <c r="B503" s="865"/>
      <c r="C503" s="861"/>
      <c r="D503" s="861"/>
      <c r="E503" s="861"/>
      <c r="F503" s="861"/>
      <c r="G503" s="861"/>
      <c r="H503" s="861"/>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50" fitToHeight="0" orientation="landscape" r:id="rId1"/>
  <headerFooter alignWithMargins="0"/>
  <rowBreaks count="2" manualBreakCount="2">
    <brk id="40" max="16383"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03"/>
  <sheetViews>
    <sheetView view="pageBreakPreview" topLeftCell="A52" zoomScale="70" zoomScaleNormal="50" zoomScaleSheetLayoutView="70" workbookViewId="0">
      <selection activeCell="Q60" sqref="Q60"/>
    </sheetView>
  </sheetViews>
  <sheetFormatPr defaultColWidth="8.90625" defaultRowHeight="13.2"/>
  <cols>
    <col min="1" max="1" width="5.08984375" style="845" customWidth="1"/>
    <col min="2" max="2" width="49.36328125" style="852" customWidth="1"/>
    <col min="3" max="3" width="22.08984375" style="845" customWidth="1"/>
    <col min="4" max="4" width="15.08984375" style="845" customWidth="1"/>
    <col min="5" max="5" width="12.54296875" style="845" customWidth="1"/>
    <col min="6" max="6" width="11.54296875" style="845" customWidth="1"/>
    <col min="7" max="7" width="14.90625" style="845" customWidth="1"/>
    <col min="8" max="8" width="79.453125" style="845" customWidth="1"/>
    <col min="9" max="16384" width="8.90625" style="845"/>
  </cols>
  <sheetData>
    <row r="1" spans="1:21">
      <c r="B1" s="1129" t="s">
        <v>1061</v>
      </c>
      <c r="C1" s="1129"/>
      <c r="D1" s="1129"/>
      <c r="E1" s="1129"/>
      <c r="F1" s="1129"/>
      <c r="G1" s="1129"/>
      <c r="H1" s="1129"/>
    </row>
    <row r="2" spans="1:21">
      <c r="B2" s="1129" t="s">
        <v>1141</v>
      </c>
      <c r="C2" s="1137"/>
      <c r="D2" s="1137"/>
      <c r="E2" s="1137"/>
      <c r="F2" s="1137"/>
      <c r="G2" s="1137"/>
      <c r="H2" s="1137"/>
    </row>
    <row r="3" spans="1:21">
      <c r="B3" s="1129"/>
      <c r="C3" s="1129"/>
      <c r="D3" s="1129"/>
      <c r="E3" s="1129"/>
      <c r="F3" s="1129"/>
      <c r="G3" s="1129"/>
      <c r="H3" s="1130"/>
    </row>
    <row r="5" spans="1:21">
      <c r="B5" s="855"/>
      <c r="C5" s="853"/>
      <c r="D5" s="847"/>
      <c r="E5" s="847"/>
      <c r="F5" s="853"/>
      <c r="G5" s="847"/>
      <c r="H5" s="853"/>
    </row>
    <row r="6" spans="1:21">
      <c r="B6" s="855"/>
      <c r="C6" s="853"/>
      <c r="D6" s="847"/>
      <c r="E6" s="847"/>
      <c r="F6" s="847"/>
      <c r="G6" s="847"/>
      <c r="H6" s="853"/>
      <c r="I6" s="853"/>
      <c r="J6" s="844"/>
      <c r="K6" s="844"/>
      <c r="L6" s="844"/>
      <c r="M6" s="844"/>
      <c r="N6" s="844"/>
      <c r="O6" s="844"/>
      <c r="P6" s="844"/>
      <c r="Q6" s="844"/>
      <c r="R6" s="844"/>
      <c r="S6" s="844"/>
      <c r="T6" s="844"/>
      <c r="U6" s="847"/>
    </row>
    <row r="7" spans="1:21" s="853" customFormat="1" ht="34.5" customHeight="1">
      <c r="A7" s="902" t="s">
        <v>992</v>
      </c>
      <c r="B7" s="902" t="s">
        <v>1035</v>
      </c>
      <c r="C7" s="903"/>
      <c r="D7" s="903"/>
      <c r="E7" s="904" t="s">
        <v>995</v>
      </c>
      <c r="F7" s="904" t="s">
        <v>996</v>
      </c>
      <c r="G7" s="904" t="s">
        <v>997</v>
      </c>
      <c r="H7" s="903"/>
      <c r="J7" s="844"/>
      <c r="K7" s="844"/>
      <c r="L7" s="844"/>
      <c r="M7" s="844"/>
      <c r="N7" s="844"/>
      <c r="O7" s="844"/>
      <c r="P7" s="844"/>
      <c r="Q7" s="844"/>
      <c r="R7" s="844"/>
      <c r="S7" s="844"/>
      <c r="T7" s="844"/>
      <c r="U7" s="847"/>
    </row>
    <row r="8" spans="1:21">
      <c r="A8" s="854"/>
      <c r="C8" s="853"/>
      <c r="E8" s="853"/>
      <c r="F8" s="853"/>
      <c r="G8" s="853"/>
      <c r="H8" s="853"/>
      <c r="L8" s="667"/>
    </row>
    <row r="9" spans="1:21" ht="20.100000000000001" customHeight="1">
      <c r="A9" s="854">
        <v>1</v>
      </c>
      <c r="B9" s="853" t="s">
        <v>1055</v>
      </c>
      <c r="E9" s="134">
        <f>+E54</f>
        <v>-1970301.6213011032</v>
      </c>
      <c r="F9" s="134">
        <f>+F54</f>
        <v>0</v>
      </c>
      <c r="G9" s="134">
        <f>+G54</f>
        <v>0</v>
      </c>
      <c r="H9" s="853" t="s">
        <v>1036</v>
      </c>
    </row>
    <row r="10" spans="1:21" ht="20.100000000000001" customHeight="1">
      <c r="A10" s="854">
        <f>+A9+1</f>
        <v>2</v>
      </c>
      <c r="B10" s="853" t="s">
        <v>1007</v>
      </c>
      <c r="E10" s="134">
        <f>+E78</f>
        <v>0</v>
      </c>
      <c r="F10" s="134">
        <f>+F78</f>
        <v>0</v>
      </c>
      <c r="G10" s="134">
        <f>+G78</f>
        <v>0</v>
      </c>
      <c r="H10" s="853" t="s">
        <v>1037</v>
      </c>
    </row>
    <row r="11" spans="1:21" ht="20.100000000000001" customHeight="1">
      <c r="A11" s="854">
        <f>+A10+1</f>
        <v>3</v>
      </c>
      <c r="B11" s="853" t="s">
        <v>1009</v>
      </c>
      <c r="E11" s="134">
        <f>E32</f>
        <v>0</v>
      </c>
      <c r="F11" s="134">
        <f>F32</f>
        <v>0</v>
      </c>
      <c r="G11" s="134">
        <f>G32</f>
        <v>0</v>
      </c>
      <c r="H11" s="853" t="s">
        <v>1038</v>
      </c>
    </row>
    <row r="12" spans="1:21" ht="20.100000000000001" customHeight="1">
      <c r="A12" s="854">
        <f>+A11+1</f>
        <v>4</v>
      </c>
      <c r="B12" s="853" t="s">
        <v>1039</v>
      </c>
      <c r="E12" s="134">
        <f>SUM(E9:E11)</f>
        <v>-1970301.6213011032</v>
      </c>
      <c r="F12" s="134">
        <f>SUM(F9:F11)</f>
        <v>0</v>
      </c>
      <c r="G12" s="134">
        <f>SUM(G9:G11)</f>
        <v>0</v>
      </c>
      <c r="H12" s="905" t="s">
        <v>1040</v>
      </c>
    </row>
    <row r="13" spans="1:21" s="853" customFormat="1">
      <c r="A13" s="854"/>
      <c r="D13" s="905"/>
      <c r="H13" s="767"/>
    </row>
    <row r="14" spans="1:21">
      <c r="A14" s="854"/>
      <c r="B14" s="853"/>
      <c r="C14" s="853"/>
      <c r="D14" s="853"/>
      <c r="E14" s="853"/>
      <c r="F14" s="853"/>
      <c r="G14" s="853"/>
      <c r="H14" s="857"/>
    </row>
    <row r="15" spans="1:21">
      <c r="A15" s="854"/>
      <c r="B15" s="1136" t="s">
        <v>1062</v>
      </c>
      <c r="C15" s="1136"/>
      <c r="D15" s="1136"/>
      <c r="E15" s="1136"/>
      <c r="F15" s="1136"/>
      <c r="G15" s="1136"/>
      <c r="H15" s="1136"/>
    </row>
    <row r="16" spans="1:21">
      <c r="A16" s="854"/>
      <c r="B16" s="855"/>
      <c r="C16" s="853"/>
      <c r="D16" s="853"/>
      <c r="E16" s="853"/>
      <c r="F16" s="853"/>
      <c r="G16" s="853"/>
      <c r="H16" s="853"/>
    </row>
    <row r="17" spans="1:9">
      <c r="A17" s="854"/>
      <c r="B17" s="847" t="s">
        <v>75</v>
      </c>
      <c r="C17" s="847" t="s">
        <v>76</v>
      </c>
      <c r="D17" s="847" t="s">
        <v>77</v>
      </c>
      <c r="E17" s="847" t="s">
        <v>78</v>
      </c>
      <c r="F17" s="847" t="s">
        <v>79</v>
      </c>
      <c r="G17" s="847" t="s">
        <v>80</v>
      </c>
      <c r="H17" s="847" t="s">
        <v>81</v>
      </c>
    </row>
    <row r="18" spans="1:9" ht="26.4">
      <c r="A18" s="854"/>
      <c r="B18" s="855" t="s">
        <v>1009</v>
      </c>
      <c r="C18" s="906" t="s">
        <v>21</v>
      </c>
      <c r="D18" s="906" t="s">
        <v>1042</v>
      </c>
      <c r="E18" s="906" t="s">
        <v>995</v>
      </c>
      <c r="F18" s="906" t="s">
        <v>996</v>
      </c>
      <c r="G18" s="906" t="s">
        <v>997</v>
      </c>
      <c r="H18" s="906" t="s">
        <v>1043</v>
      </c>
    </row>
    <row r="19" spans="1:9" ht="30" customHeight="1">
      <c r="A19" s="854">
        <f>A12+1</f>
        <v>5</v>
      </c>
      <c r="B19" s="907"/>
      <c r="C19" s="908"/>
      <c r="D19" s="909"/>
      <c r="E19" s="909"/>
      <c r="F19" s="909"/>
      <c r="G19" s="909"/>
      <c r="H19" s="910"/>
      <c r="I19" s="862"/>
    </row>
    <row r="20" spans="1:9" ht="30" customHeight="1">
      <c r="A20" s="854">
        <f t="shared" ref="A20:A32" si="0">+A19+1</f>
        <v>6</v>
      </c>
      <c r="B20" s="911"/>
      <c r="C20" s="908"/>
      <c r="D20" s="909"/>
      <c r="E20" s="909"/>
      <c r="F20" s="909"/>
      <c r="G20" s="909"/>
      <c r="H20" s="910"/>
      <c r="I20" s="862"/>
    </row>
    <row r="21" spans="1:9" ht="30" customHeight="1">
      <c r="A21" s="854">
        <f t="shared" si="0"/>
        <v>7</v>
      </c>
      <c r="B21" s="911"/>
      <c r="C21" s="908"/>
      <c r="D21" s="909"/>
      <c r="E21" s="909"/>
      <c r="F21" s="909"/>
      <c r="G21" s="909"/>
      <c r="H21" s="910"/>
      <c r="I21" s="862"/>
    </row>
    <row r="22" spans="1:9" ht="30" customHeight="1">
      <c r="A22" s="854">
        <f t="shared" si="0"/>
        <v>8</v>
      </c>
      <c r="B22" s="911"/>
      <c r="C22" s="908"/>
      <c r="D22" s="909"/>
      <c r="E22" s="909"/>
      <c r="F22" s="909"/>
      <c r="G22" s="909"/>
      <c r="H22" s="910"/>
      <c r="I22" s="862"/>
    </row>
    <row r="23" spans="1:9" ht="30" customHeight="1">
      <c r="A23" s="854">
        <f t="shared" si="0"/>
        <v>9</v>
      </c>
      <c r="B23" s="911"/>
      <c r="C23" s="908"/>
      <c r="D23" s="909"/>
      <c r="E23" s="909"/>
      <c r="F23" s="909"/>
      <c r="G23" s="909"/>
      <c r="H23" s="910"/>
      <c r="I23" s="862"/>
    </row>
    <row r="24" spans="1:9" ht="30" customHeight="1">
      <c r="A24" s="854">
        <f t="shared" si="0"/>
        <v>10</v>
      </c>
      <c r="B24" s="911"/>
      <c r="C24" s="908"/>
      <c r="D24" s="909"/>
      <c r="E24" s="909"/>
      <c r="F24" s="909"/>
      <c r="G24" s="909"/>
      <c r="H24" s="910"/>
      <c r="I24" s="862"/>
    </row>
    <row r="25" spans="1:9" ht="30" customHeight="1">
      <c r="A25" s="854">
        <f t="shared" si="0"/>
        <v>11</v>
      </c>
      <c r="B25" s="911"/>
      <c r="C25" s="908"/>
      <c r="D25" s="909"/>
      <c r="E25" s="909"/>
      <c r="F25" s="909"/>
      <c r="G25" s="909"/>
      <c r="H25" s="910"/>
      <c r="I25" s="862"/>
    </row>
    <row r="26" spans="1:9" ht="30" customHeight="1">
      <c r="A26" s="854">
        <f t="shared" si="0"/>
        <v>12</v>
      </c>
      <c r="B26" s="1008" t="s">
        <v>1116</v>
      </c>
      <c r="C26" s="908">
        <f>E26</f>
        <v>0</v>
      </c>
      <c r="D26" s="912"/>
      <c r="E26" s="909"/>
      <c r="F26" s="909"/>
      <c r="G26" s="909"/>
      <c r="H26" s="910"/>
      <c r="I26" s="862"/>
    </row>
    <row r="27" spans="1:9" ht="30" customHeight="1">
      <c r="A27" s="854">
        <f t="shared" si="0"/>
        <v>13</v>
      </c>
      <c r="B27" s="1008" t="s">
        <v>1117</v>
      </c>
      <c r="C27" s="908">
        <f>E27</f>
        <v>0</v>
      </c>
      <c r="D27" s="909"/>
      <c r="E27" s="909">
        <v>0</v>
      </c>
      <c r="F27" s="909"/>
      <c r="G27" s="909"/>
      <c r="H27" s="910"/>
      <c r="I27" s="862"/>
    </row>
    <row r="28" spans="1:9" ht="30" customHeight="1">
      <c r="A28" s="854">
        <f t="shared" si="0"/>
        <v>14</v>
      </c>
      <c r="B28" s="913" t="s">
        <v>1118</v>
      </c>
      <c r="C28" s="914"/>
      <c r="D28" s="914"/>
      <c r="E28" s="914"/>
      <c r="F28" s="914"/>
      <c r="G28" s="914"/>
      <c r="H28" s="915" t="s">
        <v>1045</v>
      </c>
      <c r="I28" s="862"/>
    </row>
    <row r="29" spans="1:9" ht="20.100000000000001" customHeight="1">
      <c r="A29" s="854">
        <f t="shared" si="0"/>
        <v>15</v>
      </c>
      <c r="B29" s="916" t="s">
        <v>1063</v>
      </c>
      <c r="C29" s="917">
        <f>SUBTOTAL(9,C19:C28)</f>
        <v>0</v>
      </c>
      <c r="D29" s="918">
        <f>SUM(D19:D28)</f>
        <v>0</v>
      </c>
      <c r="E29" s="918">
        <f>SUM(E19:E28)</f>
        <v>0</v>
      </c>
      <c r="F29" s="918">
        <f>SUM(F19:F28)</f>
        <v>0</v>
      </c>
      <c r="G29" s="918">
        <f>SUM(G19:G28)</f>
        <v>0</v>
      </c>
      <c r="H29" s="919"/>
      <c r="I29" s="862"/>
    </row>
    <row r="30" spans="1:9" ht="20.100000000000001" customHeight="1">
      <c r="A30" s="854">
        <f t="shared" si="0"/>
        <v>16</v>
      </c>
      <c r="B30" s="920" t="s">
        <v>1047</v>
      </c>
      <c r="C30" s="921"/>
      <c r="D30" s="921"/>
      <c r="E30" s="921"/>
      <c r="F30" s="922"/>
      <c r="G30" s="923"/>
      <c r="H30" s="910"/>
      <c r="I30" s="862"/>
    </row>
    <row r="31" spans="1:9" ht="20.100000000000001" customHeight="1">
      <c r="A31" s="854">
        <f t="shared" si="0"/>
        <v>17</v>
      </c>
      <c r="B31" s="924" t="s">
        <v>1048</v>
      </c>
      <c r="C31" s="925"/>
      <c r="D31" s="925"/>
      <c r="E31" s="925"/>
      <c r="F31" s="925"/>
      <c r="G31" s="925"/>
      <c r="H31" s="926"/>
      <c r="I31" s="862"/>
    </row>
    <row r="32" spans="1:9" ht="20.100000000000001" customHeight="1" thickBot="1">
      <c r="A32" s="854">
        <f t="shared" si="0"/>
        <v>18</v>
      </c>
      <c r="B32" s="927" t="s">
        <v>21</v>
      </c>
      <c r="C32" s="928">
        <f>+C29-C30-C31</f>
        <v>0</v>
      </c>
      <c r="D32" s="928">
        <f>+D29-D30-D31</f>
        <v>0</v>
      </c>
      <c r="E32" s="928">
        <f>+E29-E30-E31</f>
        <v>0</v>
      </c>
      <c r="F32" s="928">
        <f>+F29-F30-F31</f>
        <v>0</v>
      </c>
      <c r="G32" s="928">
        <f>+G29-G30-G31</f>
        <v>0</v>
      </c>
      <c r="H32" s="929"/>
      <c r="I32" s="862"/>
    </row>
    <row r="33" spans="1:9" ht="20.100000000000001" customHeight="1" thickTop="1">
      <c r="A33" s="854"/>
      <c r="B33" s="861" t="s">
        <v>1049</v>
      </c>
      <c r="C33" s="930"/>
      <c r="D33" s="931"/>
      <c r="E33" s="866"/>
      <c r="F33" s="862"/>
      <c r="G33" s="932"/>
      <c r="H33" s="862"/>
    </row>
    <row r="34" spans="1:9" ht="20.100000000000001" customHeight="1">
      <c r="A34" s="854"/>
      <c r="B34" s="1133" t="s">
        <v>1050</v>
      </c>
      <c r="C34" s="1134"/>
      <c r="D34" s="1134"/>
      <c r="E34" s="1134"/>
      <c r="F34" s="1134"/>
      <c r="G34" s="1134"/>
      <c r="H34" s="862"/>
    </row>
    <row r="35" spans="1:9" ht="20.100000000000001" customHeight="1">
      <c r="A35" s="854"/>
      <c r="B35" s="865" t="s">
        <v>1051</v>
      </c>
      <c r="C35" s="862"/>
      <c r="D35" s="861"/>
      <c r="E35" s="861"/>
      <c r="F35" s="866"/>
      <c r="G35" s="866"/>
      <c r="H35" s="862"/>
    </row>
    <row r="36" spans="1:9" ht="20.100000000000001" customHeight="1">
      <c r="A36" s="854"/>
      <c r="B36" s="865" t="s">
        <v>1052</v>
      </c>
      <c r="C36" s="862"/>
      <c r="D36" s="861"/>
      <c r="E36" s="861"/>
      <c r="F36" s="866"/>
      <c r="G36" s="866"/>
      <c r="H36" s="862"/>
    </row>
    <row r="37" spans="1:9" ht="20.100000000000001" customHeight="1">
      <c r="A37" s="854"/>
      <c r="B37" s="865" t="s">
        <v>1053</v>
      </c>
      <c r="C37" s="862"/>
      <c r="D37" s="861"/>
      <c r="E37" s="861"/>
      <c r="F37" s="866"/>
      <c r="G37" s="866"/>
      <c r="H37" s="862"/>
    </row>
    <row r="38" spans="1:9" ht="33" customHeight="1">
      <c r="A38" s="854"/>
      <c r="B38" s="1133" t="s">
        <v>1064</v>
      </c>
      <c r="C38" s="1133"/>
      <c r="D38" s="1133"/>
      <c r="E38" s="1133"/>
      <c r="F38" s="1133"/>
      <c r="G38" s="1133"/>
      <c r="H38" s="933"/>
    </row>
    <row r="39" spans="1:9">
      <c r="A39" s="854"/>
      <c r="B39" s="934"/>
      <c r="C39" s="934"/>
      <c r="D39" s="934"/>
      <c r="E39" s="934"/>
      <c r="F39" s="934"/>
      <c r="G39" s="934"/>
      <c r="H39" s="933"/>
    </row>
    <row r="40" spans="1:9" s="853" customFormat="1">
      <c r="A40" s="854"/>
      <c r="B40" s="935"/>
      <c r="C40" s="935"/>
      <c r="D40" s="935"/>
      <c r="E40" s="935"/>
      <c r="F40" s="935"/>
      <c r="G40" s="935"/>
      <c r="H40" s="935"/>
      <c r="I40" s="861"/>
    </row>
    <row r="41" spans="1:9" s="853" customFormat="1">
      <c r="A41" s="854"/>
      <c r="B41" s="847" t="s">
        <v>75</v>
      </c>
      <c r="C41" s="847" t="s">
        <v>76</v>
      </c>
      <c r="D41" s="847" t="s">
        <v>77</v>
      </c>
      <c r="E41" s="847" t="s">
        <v>78</v>
      </c>
      <c r="F41" s="847" t="s">
        <v>79</v>
      </c>
      <c r="G41" s="847" t="s">
        <v>80</v>
      </c>
      <c r="H41" s="847" t="s">
        <v>81</v>
      </c>
      <c r="I41" s="861"/>
    </row>
    <row r="42" spans="1:9" ht="26.4">
      <c r="A42" s="854"/>
      <c r="B42" s="855" t="s">
        <v>999</v>
      </c>
      <c r="C42" s="906" t="s">
        <v>21</v>
      </c>
      <c r="D42" s="906" t="s">
        <v>1042</v>
      </c>
      <c r="E42" s="906" t="s">
        <v>995</v>
      </c>
      <c r="F42" s="906" t="s">
        <v>996</v>
      </c>
      <c r="G42" s="906" t="s">
        <v>997</v>
      </c>
      <c r="H42" s="906" t="s">
        <v>1043</v>
      </c>
    </row>
    <row r="43" spans="1:9" ht="30" customHeight="1">
      <c r="A43" s="854">
        <f>A32+1</f>
        <v>19</v>
      </c>
      <c r="B43" s="911"/>
      <c r="C43" s="908"/>
      <c r="D43" s="909"/>
      <c r="E43" s="909"/>
      <c r="F43" s="909"/>
      <c r="G43" s="909"/>
      <c r="H43" s="910"/>
      <c r="I43" s="862"/>
    </row>
    <row r="44" spans="1:9" ht="30" customHeight="1">
      <c r="A44" s="854">
        <f t="shared" ref="A44:A54" si="1">+A43+1</f>
        <v>20</v>
      </c>
      <c r="B44" s="911"/>
      <c r="C44" s="908"/>
      <c r="D44" s="909"/>
      <c r="E44" s="909"/>
      <c r="F44" s="909"/>
      <c r="G44" s="909"/>
      <c r="H44" s="910"/>
      <c r="I44" s="862"/>
    </row>
    <row r="45" spans="1:9" ht="30" customHeight="1">
      <c r="A45" s="854">
        <f t="shared" si="1"/>
        <v>21</v>
      </c>
      <c r="B45" s="911"/>
      <c r="C45" s="908"/>
      <c r="D45" s="909"/>
      <c r="E45" s="909"/>
      <c r="F45" s="909"/>
      <c r="G45" s="909"/>
      <c r="H45" s="910"/>
      <c r="I45" s="862"/>
    </row>
    <row r="46" spans="1:9" ht="30" customHeight="1">
      <c r="A46" s="854">
        <f t="shared" si="1"/>
        <v>22</v>
      </c>
      <c r="B46" s="911"/>
      <c r="C46" s="908"/>
      <c r="D46" s="909"/>
      <c r="E46" s="909"/>
      <c r="F46" s="909"/>
      <c r="G46" s="909"/>
      <c r="H46" s="910"/>
      <c r="I46" s="862"/>
    </row>
    <row r="47" spans="1:9" ht="30" customHeight="1">
      <c r="A47" s="854">
        <f t="shared" si="1"/>
        <v>23</v>
      </c>
      <c r="B47" s="911"/>
      <c r="C47" s="909"/>
      <c r="D47" s="909"/>
      <c r="E47" s="909"/>
      <c r="F47" s="909"/>
      <c r="G47" s="909"/>
      <c r="H47" s="910"/>
      <c r="I47" s="862"/>
    </row>
    <row r="48" spans="1:9" ht="30" customHeight="1">
      <c r="A48" s="854">
        <f t="shared" si="1"/>
        <v>24</v>
      </c>
      <c r="B48" s="1008" t="s">
        <v>1116</v>
      </c>
      <c r="C48" s="909">
        <f>E48</f>
        <v>0</v>
      </c>
      <c r="D48" s="909"/>
      <c r="E48" s="909"/>
      <c r="F48" s="909"/>
      <c r="G48" s="909"/>
      <c r="H48" s="910"/>
      <c r="I48" s="862"/>
    </row>
    <row r="49" spans="1:11" ht="30" customHeight="1">
      <c r="A49" s="854">
        <f t="shared" si="1"/>
        <v>25</v>
      </c>
      <c r="B49" s="1008" t="s">
        <v>1117</v>
      </c>
      <c r="C49" s="937">
        <f>E49</f>
        <v>0</v>
      </c>
      <c r="D49" s="937"/>
      <c r="E49" s="937">
        <v>0</v>
      </c>
      <c r="F49" s="937"/>
      <c r="G49" s="937"/>
      <c r="H49" s="910"/>
      <c r="I49" s="862"/>
    </row>
    <row r="50" spans="1:11" ht="30" customHeight="1">
      <c r="A50" s="854">
        <f t="shared" si="1"/>
        <v>26</v>
      </c>
      <c r="B50" s="960" t="s">
        <v>1118</v>
      </c>
      <c r="C50" s="961">
        <f>E50</f>
        <v>-1970301.6213011032</v>
      </c>
      <c r="D50" s="961"/>
      <c r="E50" s="961">
        <v>-1970301.6213011032</v>
      </c>
      <c r="F50" s="961"/>
      <c r="G50" s="961"/>
      <c r="H50" s="915" t="s">
        <v>1045</v>
      </c>
      <c r="I50" s="862"/>
    </row>
    <row r="51" spans="1:11" ht="20.100000000000001" customHeight="1">
      <c r="A51" s="854">
        <f t="shared" si="1"/>
        <v>27</v>
      </c>
      <c r="B51" s="938" t="s">
        <v>1065</v>
      </c>
      <c r="C51" s="918">
        <f>SUBTOTAL(9,C43:C50)</f>
        <v>-1970301.6213011032</v>
      </c>
      <c r="D51" s="918">
        <f>SUM(D43:D50)</f>
        <v>0</v>
      </c>
      <c r="E51" s="918">
        <f>SUM(E43:E50)</f>
        <v>-1970301.6213011032</v>
      </c>
      <c r="F51" s="918">
        <f>SUM(F43:F50)</f>
        <v>0</v>
      </c>
      <c r="G51" s="918">
        <f>SUM(G43:G50)</f>
        <v>0</v>
      </c>
      <c r="H51" s="919"/>
      <c r="I51" s="862"/>
    </row>
    <row r="52" spans="1:11" ht="20.100000000000001" customHeight="1">
      <c r="A52" s="854">
        <f t="shared" si="1"/>
        <v>28</v>
      </c>
      <c r="B52" s="939" t="s">
        <v>1047</v>
      </c>
      <c r="C52" s="921"/>
      <c r="D52" s="921"/>
      <c r="E52" s="921"/>
      <c r="F52" s="921"/>
      <c r="G52" s="921"/>
      <c r="H52" s="910"/>
      <c r="I52" s="862"/>
    </row>
    <row r="53" spans="1:11" ht="20.100000000000001" customHeight="1">
      <c r="A53" s="854">
        <f t="shared" si="1"/>
        <v>29</v>
      </c>
      <c r="B53" s="940" t="s">
        <v>1048</v>
      </c>
      <c r="C53" s="925"/>
      <c r="D53" s="925"/>
      <c r="E53" s="925"/>
      <c r="F53" s="925"/>
      <c r="G53" s="925"/>
      <c r="H53" s="926"/>
      <c r="I53" s="862"/>
    </row>
    <row r="54" spans="1:11" ht="20.100000000000001" customHeight="1" thickBot="1">
      <c r="A54" s="854">
        <f t="shared" si="1"/>
        <v>30</v>
      </c>
      <c r="B54" s="927" t="s">
        <v>21</v>
      </c>
      <c r="C54" s="928">
        <f>+C51-C52-C53</f>
        <v>-1970301.6213011032</v>
      </c>
      <c r="D54" s="928">
        <f>+D51-D52-D53</f>
        <v>0</v>
      </c>
      <c r="E54" s="928">
        <f>+E51-E52-E53</f>
        <v>-1970301.6213011032</v>
      </c>
      <c r="F54" s="928">
        <f>+F51-F52-F53</f>
        <v>0</v>
      </c>
      <c r="G54" s="928">
        <f>+G51-G52-G53</f>
        <v>0</v>
      </c>
      <c r="H54" s="929"/>
      <c r="I54" s="862"/>
    </row>
    <row r="55" spans="1:11" ht="20.100000000000001" customHeight="1" thickTop="1">
      <c r="A55" s="854"/>
      <c r="B55" s="861" t="s">
        <v>1057</v>
      </c>
      <c r="C55" s="861"/>
      <c r="D55" s="866"/>
      <c r="E55" s="931"/>
      <c r="F55" s="862"/>
      <c r="G55" s="933"/>
      <c r="H55" s="862"/>
    </row>
    <row r="56" spans="1:11" ht="20.100000000000001" customHeight="1">
      <c r="A56" s="854"/>
      <c r="B56" s="1133" t="s">
        <v>1050</v>
      </c>
      <c r="C56" s="1134"/>
      <c r="D56" s="1134"/>
      <c r="E56" s="1134"/>
      <c r="F56" s="1134"/>
      <c r="G56" s="1134"/>
      <c r="H56" s="862"/>
    </row>
    <row r="57" spans="1:11" ht="20.100000000000001" customHeight="1">
      <c r="A57" s="854"/>
      <c r="B57" s="865" t="s">
        <v>1051</v>
      </c>
      <c r="C57" s="862"/>
      <c r="D57" s="861"/>
      <c r="E57" s="861"/>
      <c r="F57" s="866"/>
      <c r="G57" s="866"/>
      <c r="H57" s="862"/>
    </row>
    <row r="58" spans="1:11" ht="20.100000000000001" customHeight="1">
      <c r="A58" s="854"/>
      <c r="B58" s="865" t="s">
        <v>1052</v>
      </c>
      <c r="C58" s="862"/>
      <c r="D58" s="861"/>
      <c r="E58" s="861"/>
      <c r="F58" s="866"/>
      <c r="G58" s="866"/>
      <c r="H58" s="862"/>
    </row>
    <row r="59" spans="1:11" ht="20.100000000000001" customHeight="1">
      <c r="A59" s="854"/>
      <c r="B59" s="865" t="s">
        <v>1053</v>
      </c>
      <c r="C59" s="862"/>
      <c r="D59" s="861"/>
      <c r="E59" s="861"/>
      <c r="F59" s="866"/>
      <c r="G59" s="866"/>
      <c r="H59" s="862"/>
    </row>
    <row r="60" spans="1:11" ht="33.75" customHeight="1">
      <c r="A60" s="854"/>
      <c r="B60" s="1133" t="s">
        <v>1054</v>
      </c>
      <c r="C60" s="1133"/>
      <c r="D60" s="1133"/>
      <c r="E60" s="1133"/>
      <c r="F60" s="1133"/>
      <c r="G60" s="1133"/>
      <c r="H60" s="933"/>
    </row>
    <row r="61" spans="1:11" s="853" customFormat="1">
      <c r="A61" s="854"/>
      <c r="B61" s="865"/>
      <c r="C61" s="861"/>
      <c r="D61" s="861"/>
      <c r="E61" s="861"/>
      <c r="F61" s="861"/>
      <c r="G61" s="861"/>
      <c r="H61" s="933"/>
      <c r="I61" s="861"/>
    </row>
    <row r="62" spans="1:11" s="853" customFormat="1">
      <c r="A62" s="854"/>
      <c r="B62" s="865"/>
      <c r="C62" s="861"/>
      <c r="D62" s="861"/>
      <c r="E62" s="861"/>
      <c r="F62" s="861"/>
      <c r="G62" s="861"/>
      <c r="H62" s="933"/>
      <c r="I62" s="861"/>
    </row>
    <row r="63" spans="1:11" s="853" customFormat="1">
      <c r="A63" s="854"/>
      <c r="B63" s="847" t="s">
        <v>75</v>
      </c>
      <c r="C63" s="847" t="s">
        <v>76</v>
      </c>
      <c r="D63" s="847" t="s">
        <v>77</v>
      </c>
      <c r="E63" s="847" t="s">
        <v>78</v>
      </c>
      <c r="F63" s="847" t="s">
        <v>79</v>
      </c>
      <c r="G63" s="847" t="s">
        <v>80</v>
      </c>
      <c r="H63" s="847" t="s">
        <v>81</v>
      </c>
      <c r="I63" s="861"/>
    </row>
    <row r="64" spans="1:11" ht="26.4">
      <c r="A64" s="854"/>
      <c r="B64" s="855" t="s">
        <v>1007</v>
      </c>
      <c r="C64" s="906" t="s">
        <v>21</v>
      </c>
      <c r="D64" s="906" t="s">
        <v>1042</v>
      </c>
      <c r="E64" s="906" t="s">
        <v>995</v>
      </c>
      <c r="F64" s="906" t="s">
        <v>996</v>
      </c>
      <c r="G64" s="906" t="s">
        <v>997</v>
      </c>
      <c r="H64" s="906" t="s">
        <v>1043</v>
      </c>
      <c r="J64" s="861"/>
      <c r="K64" s="861"/>
    </row>
    <row r="65" spans="1:11" ht="30" customHeight="1">
      <c r="A65" s="854">
        <f>A54+1</f>
        <v>31</v>
      </c>
      <c r="B65" s="941"/>
      <c r="C65" s="908"/>
      <c r="D65" s="909"/>
      <c r="E65" s="909"/>
      <c r="F65" s="909"/>
      <c r="G65" s="909"/>
      <c r="H65" s="910"/>
      <c r="I65" s="862"/>
      <c r="J65" s="861"/>
      <c r="K65" s="861"/>
    </row>
    <row r="66" spans="1:11" ht="30" customHeight="1">
      <c r="A66" s="854">
        <f t="shared" ref="A66:A78" si="2">+A65+1</f>
        <v>32</v>
      </c>
      <c r="B66" s="911"/>
      <c r="C66" s="908"/>
      <c r="D66" s="909"/>
      <c r="E66" s="909"/>
      <c r="F66" s="909"/>
      <c r="G66" s="909"/>
      <c r="H66" s="910"/>
      <c r="I66" s="862"/>
      <c r="J66" s="942"/>
      <c r="K66" s="861"/>
    </row>
    <row r="67" spans="1:11" ht="30" customHeight="1">
      <c r="A67" s="854">
        <f t="shared" si="2"/>
        <v>33</v>
      </c>
      <c r="B67" s="911"/>
      <c r="C67" s="908"/>
      <c r="D67" s="909"/>
      <c r="E67" s="909"/>
      <c r="F67" s="909"/>
      <c r="G67" s="909"/>
      <c r="H67" s="910"/>
      <c r="I67" s="862"/>
      <c r="J67" s="861"/>
      <c r="K67" s="861"/>
    </row>
    <row r="68" spans="1:11" ht="30" customHeight="1">
      <c r="A68" s="854">
        <f t="shared" si="2"/>
        <v>34</v>
      </c>
      <c r="B68" s="911"/>
      <c r="C68" s="908"/>
      <c r="D68" s="909"/>
      <c r="E68" s="909"/>
      <c r="F68" s="909"/>
      <c r="G68" s="909"/>
      <c r="H68" s="910"/>
      <c r="I68" s="862"/>
      <c r="J68" s="861"/>
      <c r="K68" s="861"/>
    </row>
    <row r="69" spans="1:11" ht="30" customHeight="1">
      <c r="A69" s="854">
        <f t="shared" si="2"/>
        <v>35</v>
      </c>
      <c r="B69" s="911"/>
      <c r="C69" s="909"/>
      <c r="D69" s="937"/>
      <c r="E69" s="909"/>
      <c r="F69" s="909"/>
      <c r="G69" s="909"/>
      <c r="H69" s="910"/>
      <c r="I69" s="862"/>
      <c r="J69" s="861"/>
      <c r="K69" s="861"/>
    </row>
    <row r="70" spans="1:11" ht="30" customHeight="1">
      <c r="A70" s="854">
        <f t="shared" si="2"/>
        <v>36</v>
      </c>
      <c r="B70" s="911"/>
      <c r="C70" s="909"/>
      <c r="D70" s="937"/>
      <c r="E70" s="909"/>
      <c r="F70" s="909"/>
      <c r="G70" s="909"/>
      <c r="H70" s="910"/>
      <c r="I70" s="862"/>
      <c r="J70" s="861"/>
      <c r="K70" s="861"/>
    </row>
    <row r="71" spans="1:11" ht="30" customHeight="1">
      <c r="A71" s="854">
        <f t="shared" si="2"/>
        <v>37</v>
      </c>
      <c r="B71" s="911"/>
      <c r="C71" s="909"/>
      <c r="D71" s="937"/>
      <c r="E71" s="909"/>
      <c r="F71" s="909"/>
      <c r="G71" s="909"/>
      <c r="H71" s="910"/>
      <c r="I71" s="862"/>
    </row>
    <row r="72" spans="1:11" ht="30" customHeight="1">
      <c r="A72" s="854">
        <f t="shared" si="2"/>
        <v>38</v>
      </c>
      <c r="B72" s="1008" t="s">
        <v>1116</v>
      </c>
      <c r="C72" s="909">
        <f>E72</f>
        <v>0</v>
      </c>
      <c r="D72" s="912"/>
      <c r="E72" s="909">
        <v>0</v>
      </c>
      <c r="F72" s="909"/>
      <c r="G72" s="909"/>
      <c r="H72" s="910"/>
      <c r="I72" s="862"/>
    </row>
    <row r="73" spans="1:11" ht="30" customHeight="1">
      <c r="A73" s="854">
        <f t="shared" si="2"/>
        <v>39</v>
      </c>
      <c r="B73" s="1008" t="s">
        <v>1117</v>
      </c>
      <c r="C73" s="909">
        <f>E73</f>
        <v>0</v>
      </c>
      <c r="D73" s="909"/>
      <c r="E73" s="909">
        <v>0</v>
      </c>
      <c r="F73" s="909"/>
      <c r="G73" s="909"/>
      <c r="H73" s="910"/>
      <c r="I73" s="862"/>
    </row>
    <row r="74" spans="1:11" ht="30" customHeight="1">
      <c r="A74" s="854">
        <f t="shared" si="2"/>
        <v>40</v>
      </c>
      <c r="B74" s="913" t="s">
        <v>1118</v>
      </c>
      <c r="C74" s="943">
        <f>E74</f>
        <v>0</v>
      </c>
      <c r="D74" s="943"/>
      <c r="E74" s="943">
        <v>0</v>
      </c>
      <c r="F74" s="943"/>
      <c r="G74" s="943"/>
      <c r="H74" s="915" t="s">
        <v>1045</v>
      </c>
      <c r="I74" s="862"/>
    </row>
    <row r="75" spans="1:11" ht="20.100000000000001" customHeight="1">
      <c r="A75" s="854">
        <f t="shared" si="2"/>
        <v>41</v>
      </c>
      <c r="B75" s="944" t="s">
        <v>1066</v>
      </c>
      <c r="C75" s="917">
        <f>SUBTOTAL(9,C65:C74)</f>
        <v>0</v>
      </c>
      <c r="D75" s="917">
        <f>SUM(D65:D74)</f>
        <v>0</v>
      </c>
      <c r="E75" s="917">
        <f>SUM(E65:E74)</f>
        <v>0</v>
      </c>
      <c r="F75" s="917">
        <f>SUM(F65:F74)</f>
        <v>0</v>
      </c>
      <c r="G75" s="917">
        <f>SUM(G65:G74)</f>
        <v>0</v>
      </c>
      <c r="H75" s="910"/>
      <c r="I75" s="862"/>
    </row>
    <row r="76" spans="1:11" ht="20.100000000000001" customHeight="1">
      <c r="A76" s="854">
        <f t="shared" si="2"/>
        <v>42</v>
      </c>
      <c r="B76" s="945" t="s">
        <v>1047</v>
      </c>
      <c r="C76" s="922"/>
      <c r="D76" s="922"/>
      <c r="E76" s="922"/>
      <c r="F76" s="922"/>
      <c r="G76" s="922"/>
      <c r="H76" s="910"/>
      <c r="I76" s="862"/>
    </row>
    <row r="77" spans="1:11" ht="20.100000000000001" customHeight="1">
      <c r="A77" s="854">
        <f t="shared" si="2"/>
        <v>43</v>
      </c>
      <c r="B77" s="946" t="s">
        <v>1048</v>
      </c>
      <c r="C77" s="947"/>
      <c r="D77" s="947"/>
      <c r="E77" s="947"/>
      <c r="F77" s="947"/>
      <c r="G77" s="947"/>
      <c r="H77" s="926"/>
      <c r="I77" s="862"/>
    </row>
    <row r="78" spans="1:11" ht="20.100000000000001" customHeight="1" thickBot="1">
      <c r="A78" s="854">
        <f t="shared" si="2"/>
        <v>44</v>
      </c>
      <c r="B78" s="927" t="s">
        <v>21</v>
      </c>
      <c r="C78" s="948">
        <f>+C75-C76-C77</f>
        <v>0</v>
      </c>
      <c r="D78" s="948">
        <f>+D75-D76-D77</f>
        <v>0</v>
      </c>
      <c r="E78" s="948">
        <f>+E75-E76-E77</f>
        <v>0</v>
      </c>
      <c r="F78" s="948">
        <f>+F75-F76-F77</f>
        <v>0</v>
      </c>
      <c r="G78" s="948">
        <f>+G75-G76-G77</f>
        <v>0</v>
      </c>
      <c r="H78" s="929"/>
      <c r="I78" s="862"/>
    </row>
    <row r="79" spans="1:11" ht="20.100000000000001" customHeight="1" thickTop="1">
      <c r="A79" s="854"/>
      <c r="B79" s="861" t="s">
        <v>1060</v>
      </c>
      <c r="C79" s="861"/>
      <c r="D79" s="861"/>
      <c r="E79" s="866"/>
      <c r="F79" s="866"/>
      <c r="G79" s="862"/>
      <c r="H79" s="949"/>
      <c r="I79" s="862"/>
    </row>
    <row r="80" spans="1:11" ht="20.100000000000001" customHeight="1">
      <c r="A80" s="854"/>
      <c r="B80" s="1133" t="s">
        <v>1050</v>
      </c>
      <c r="C80" s="1134"/>
      <c r="D80" s="1134"/>
      <c r="E80" s="1134"/>
      <c r="F80" s="1134"/>
      <c r="G80" s="1134"/>
      <c r="H80" s="862"/>
    </row>
    <row r="81" spans="1:9" ht="20.100000000000001" customHeight="1">
      <c r="A81" s="854"/>
      <c r="B81" s="865" t="s">
        <v>1051</v>
      </c>
      <c r="C81" s="862"/>
      <c r="D81" s="861"/>
      <c r="E81" s="861"/>
      <c r="F81" s="866"/>
      <c r="G81" s="866"/>
      <c r="H81" s="862"/>
    </row>
    <row r="82" spans="1:9" ht="20.100000000000001" customHeight="1">
      <c r="A82" s="854"/>
      <c r="B82" s="865" t="s">
        <v>1052</v>
      </c>
      <c r="C82" s="862"/>
      <c r="D82" s="861"/>
      <c r="E82" s="861"/>
      <c r="F82" s="866"/>
      <c r="G82" s="866"/>
      <c r="H82" s="862"/>
    </row>
    <row r="83" spans="1:9" ht="20.100000000000001" customHeight="1">
      <c r="A83" s="854"/>
      <c r="B83" s="865" t="s">
        <v>1053</v>
      </c>
      <c r="C83" s="862"/>
      <c r="D83" s="861"/>
      <c r="E83" s="861"/>
      <c r="F83" s="866"/>
      <c r="G83" s="866"/>
      <c r="H83" s="862"/>
    </row>
    <row r="84" spans="1:9" ht="32.25" customHeight="1">
      <c r="A84" s="854"/>
      <c r="B84" s="1133" t="s">
        <v>1054</v>
      </c>
      <c r="C84" s="1133"/>
      <c r="D84" s="1133"/>
      <c r="E84" s="1133"/>
      <c r="F84" s="1133"/>
      <c r="G84" s="1133"/>
      <c r="H84" s="862"/>
    </row>
    <row r="85" spans="1:9">
      <c r="B85" s="950"/>
      <c r="C85" s="862"/>
      <c r="D85" s="862"/>
      <c r="E85" s="862"/>
      <c r="F85" s="862"/>
      <c r="G85" s="862"/>
      <c r="H85" s="862"/>
      <c r="I85" s="862"/>
    </row>
    <row r="86" spans="1:9" ht="15.75" customHeight="1">
      <c r="B86" s="951"/>
      <c r="C86" s="951"/>
      <c r="D86" s="951"/>
      <c r="E86" s="951"/>
      <c r="F86" s="951"/>
      <c r="G86" s="951"/>
      <c r="H86" s="951"/>
      <c r="I86" s="862"/>
    </row>
    <row r="87" spans="1:9">
      <c r="B87" s="1135"/>
      <c r="C87" s="1135"/>
      <c r="D87" s="1135"/>
      <c r="E87" s="1135"/>
      <c r="F87" s="1135"/>
      <c r="G87" s="1135"/>
      <c r="H87" s="1135"/>
      <c r="I87" s="952"/>
    </row>
    <row r="88" spans="1:9">
      <c r="B88" s="861"/>
      <c r="C88" s="861"/>
      <c r="D88" s="861"/>
      <c r="E88" s="861"/>
      <c r="F88" s="861"/>
      <c r="G88" s="861"/>
      <c r="H88" s="861"/>
      <c r="I88" s="862"/>
    </row>
    <row r="89" spans="1:9">
      <c r="B89" s="861"/>
      <c r="C89" s="861"/>
      <c r="D89" s="861"/>
      <c r="E89" s="861"/>
      <c r="F89" s="861"/>
      <c r="G89" s="861"/>
      <c r="H89" s="861"/>
      <c r="I89" s="862"/>
    </row>
    <row r="90" spans="1:9" ht="15.75" customHeight="1">
      <c r="B90" s="861"/>
      <c r="C90" s="861"/>
      <c r="D90" s="861"/>
      <c r="E90" s="861"/>
      <c r="F90" s="861"/>
      <c r="G90" s="861"/>
      <c r="H90" s="861"/>
      <c r="I90" s="862"/>
    </row>
    <row r="91" spans="1:9">
      <c r="B91" s="861"/>
      <c r="C91" s="861"/>
      <c r="D91" s="863"/>
      <c r="E91" s="863"/>
      <c r="F91" s="863"/>
      <c r="G91" s="863"/>
      <c r="H91" s="863"/>
      <c r="I91" s="864"/>
    </row>
    <row r="92" spans="1:9">
      <c r="B92" s="861"/>
      <c r="C92" s="861"/>
      <c r="D92" s="863"/>
      <c r="E92" s="863"/>
      <c r="F92" s="863"/>
      <c r="G92" s="863"/>
      <c r="H92" s="863"/>
      <c r="I92" s="864"/>
    </row>
    <row r="93" spans="1:9">
      <c r="B93" s="865"/>
      <c r="C93" s="861"/>
      <c r="D93" s="866"/>
      <c r="E93" s="866"/>
      <c r="F93" s="861"/>
      <c r="G93" s="861"/>
      <c r="H93" s="861"/>
      <c r="I93" s="862"/>
    </row>
    <row r="94" spans="1:9">
      <c r="B94" s="865"/>
      <c r="C94" s="861"/>
      <c r="D94" s="546"/>
      <c r="E94" s="546"/>
      <c r="F94" s="861"/>
      <c r="G94" s="861"/>
      <c r="H94" s="861"/>
      <c r="I94" s="862"/>
    </row>
    <row r="95" spans="1:9">
      <c r="B95" s="865"/>
      <c r="C95" s="861"/>
      <c r="D95" s="546"/>
      <c r="E95" s="546"/>
      <c r="F95" s="861"/>
      <c r="G95" s="861"/>
      <c r="H95" s="861"/>
      <c r="I95" s="862"/>
    </row>
    <row r="96" spans="1:9">
      <c r="B96" s="865"/>
      <c r="C96" s="861"/>
      <c r="D96" s="546"/>
      <c r="E96" s="546"/>
      <c r="F96" s="861"/>
      <c r="G96" s="861"/>
      <c r="H96" s="861"/>
      <c r="I96" s="862"/>
    </row>
    <row r="97" spans="2:9">
      <c r="B97" s="865"/>
      <c r="C97" s="861"/>
      <c r="D97" s="546"/>
      <c r="E97" s="546"/>
      <c r="F97" s="861"/>
      <c r="G97" s="861"/>
      <c r="H97" s="861"/>
      <c r="I97" s="862"/>
    </row>
    <row r="98" spans="2:9">
      <c r="B98" s="865"/>
      <c r="C98" s="861"/>
      <c r="D98" s="546"/>
      <c r="E98" s="546"/>
      <c r="F98" s="861"/>
      <c r="G98" s="861"/>
      <c r="H98" s="861"/>
      <c r="I98" s="862"/>
    </row>
    <row r="99" spans="2:9">
      <c r="B99" s="865"/>
      <c r="C99" s="861"/>
      <c r="D99" s="546"/>
      <c r="E99" s="546"/>
      <c r="F99" s="861"/>
      <c r="G99" s="861"/>
      <c r="H99" s="861"/>
      <c r="I99" s="862"/>
    </row>
    <row r="100" spans="2:9">
      <c r="B100" s="865"/>
      <c r="C100" s="861"/>
      <c r="D100" s="546"/>
      <c r="E100" s="546"/>
      <c r="F100" s="861"/>
      <c r="G100" s="861"/>
      <c r="H100" s="861"/>
      <c r="I100" s="862"/>
    </row>
    <row r="101" spans="2:9">
      <c r="B101" s="865"/>
      <c r="C101" s="861"/>
      <c r="D101" s="546"/>
      <c r="E101" s="546"/>
      <c r="F101" s="861"/>
      <c r="G101" s="861"/>
      <c r="H101" s="861"/>
      <c r="I101" s="862"/>
    </row>
    <row r="102" spans="2:9">
      <c r="B102" s="865"/>
      <c r="C102" s="861"/>
      <c r="D102" s="546"/>
      <c r="E102" s="546"/>
      <c r="F102" s="861"/>
      <c r="G102" s="861"/>
      <c r="H102" s="861"/>
      <c r="I102" s="862"/>
    </row>
    <row r="103" spans="2:9">
      <c r="B103" s="865"/>
      <c r="C103" s="861"/>
      <c r="D103" s="546"/>
      <c r="E103" s="546"/>
      <c r="F103" s="861"/>
      <c r="G103" s="861"/>
      <c r="H103" s="861"/>
      <c r="I103" s="862"/>
    </row>
    <row r="104" spans="2:9">
      <c r="B104" s="861"/>
      <c r="C104" s="861"/>
      <c r="D104" s="546"/>
      <c r="E104" s="546"/>
      <c r="F104" s="861"/>
      <c r="G104" s="861"/>
      <c r="H104" s="861"/>
      <c r="I104" s="862"/>
    </row>
    <row r="105" spans="2:9">
      <c r="B105" s="865"/>
      <c r="C105" s="861"/>
      <c r="D105" s="546"/>
      <c r="E105" s="546"/>
      <c r="F105" s="861"/>
      <c r="G105" s="861"/>
      <c r="H105" s="861"/>
      <c r="I105" s="862"/>
    </row>
    <row r="106" spans="2:9">
      <c r="B106" s="861"/>
      <c r="C106" s="861"/>
      <c r="D106" s="546"/>
      <c r="E106" s="546"/>
      <c r="F106" s="861"/>
      <c r="G106" s="861"/>
      <c r="H106" s="861"/>
      <c r="I106" s="862"/>
    </row>
    <row r="107" spans="2:9">
      <c r="B107" s="865"/>
      <c r="C107" s="861"/>
      <c r="D107" s="861"/>
      <c r="E107" s="861"/>
      <c r="F107" s="861"/>
      <c r="G107" s="861"/>
      <c r="H107" s="861"/>
      <c r="I107" s="862"/>
    </row>
    <row r="108" spans="2:9">
      <c r="B108" s="865"/>
      <c r="C108" s="861"/>
      <c r="D108" s="861"/>
      <c r="E108" s="861"/>
      <c r="F108" s="861"/>
      <c r="G108" s="861"/>
      <c r="H108" s="861"/>
    </row>
    <row r="109" spans="2:9">
      <c r="B109" s="865"/>
      <c r="C109" s="861"/>
      <c r="D109" s="861"/>
      <c r="E109" s="861"/>
      <c r="F109" s="861"/>
      <c r="G109" s="861"/>
      <c r="H109" s="861"/>
    </row>
    <row r="110" spans="2:9">
      <c r="B110" s="865"/>
      <c r="C110" s="861"/>
      <c r="D110" s="861"/>
      <c r="E110" s="861"/>
      <c r="F110" s="861"/>
      <c r="G110" s="861"/>
      <c r="H110" s="861"/>
    </row>
    <row r="111" spans="2:9">
      <c r="B111" s="865"/>
      <c r="C111" s="861"/>
      <c r="D111" s="861"/>
      <c r="E111" s="861"/>
      <c r="F111" s="861"/>
      <c r="G111" s="861"/>
      <c r="H111" s="861"/>
    </row>
    <row r="112" spans="2:9">
      <c r="B112" s="865"/>
      <c r="C112" s="861"/>
      <c r="D112" s="861"/>
      <c r="E112" s="861"/>
      <c r="F112" s="861"/>
      <c r="G112" s="861"/>
      <c r="H112" s="861"/>
    </row>
    <row r="113" spans="2:8">
      <c r="B113" s="865"/>
      <c r="C113" s="861"/>
      <c r="D113" s="861"/>
      <c r="E113" s="861"/>
      <c r="F113" s="861"/>
      <c r="G113" s="861"/>
      <c r="H113" s="861"/>
    </row>
    <row r="114" spans="2:8">
      <c r="B114" s="865"/>
      <c r="C114" s="861"/>
      <c r="D114" s="861"/>
      <c r="E114" s="861"/>
      <c r="F114" s="861"/>
      <c r="G114" s="861"/>
      <c r="H114" s="861"/>
    </row>
    <row r="115" spans="2:8">
      <c r="B115" s="865"/>
      <c r="C115" s="861"/>
      <c r="D115" s="861"/>
      <c r="E115" s="861"/>
      <c r="F115" s="861"/>
      <c r="G115" s="861"/>
      <c r="H115" s="861"/>
    </row>
    <row r="116" spans="2:8">
      <c r="B116" s="865"/>
      <c r="C116" s="861"/>
      <c r="D116" s="861"/>
      <c r="E116" s="861"/>
      <c r="F116" s="861"/>
      <c r="G116" s="861"/>
      <c r="H116" s="861"/>
    </row>
    <row r="117" spans="2:8">
      <c r="B117" s="865"/>
      <c r="C117" s="861"/>
      <c r="D117" s="861"/>
      <c r="E117" s="861"/>
      <c r="F117" s="861"/>
      <c r="G117" s="861"/>
      <c r="H117" s="861"/>
    </row>
    <row r="118" spans="2:8">
      <c r="B118" s="865"/>
      <c r="C118" s="861"/>
      <c r="D118" s="861"/>
      <c r="E118" s="861"/>
      <c r="F118" s="861"/>
      <c r="G118" s="861"/>
      <c r="H118" s="861"/>
    </row>
    <row r="119" spans="2:8">
      <c r="B119" s="865"/>
      <c r="C119" s="861"/>
      <c r="D119" s="861"/>
      <c r="E119" s="861"/>
      <c r="F119" s="861"/>
      <c r="G119" s="861"/>
      <c r="H119" s="861"/>
    </row>
    <row r="120" spans="2:8">
      <c r="B120" s="865"/>
      <c r="C120" s="861"/>
      <c r="D120" s="861"/>
      <c r="E120" s="861"/>
      <c r="F120" s="861"/>
      <c r="G120" s="861"/>
      <c r="H120" s="861"/>
    </row>
    <row r="121" spans="2:8">
      <c r="B121" s="865"/>
      <c r="C121" s="861"/>
      <c r="D121" s="861"/>
      <c r="E121" s="861"/>
      <c r="F121" s="861"/>
      <c r="G121" s="861"/>
      <c r="H121" s="861"/>
    </row>
    <row r="122" spans="2:8">
      <c r="B122" s="865"/>
      <c r="C122" s="861"/>
      <c r="D122" s="861"/>
      <c r="E122" s="861"/>
      <c r="F122" s="861"/>
      <c r="G122" s="861"/>
      <c r="H122" s="861"/>
    </row>
    <row r="123" spans="2:8">
      <c r="B123" s="865"/>
      <c r="C123" s="861"/>
      <c r="D123" s="861"/>
      <c r="E123" s="861"/>
      <c r="F123" s="861"/>
      <c r="G123" s="861"/>
      <c r="H123" s="861"/>
    </row>
    <row r="124" spans="2:8">
      <c r="B124" s="865"/>
      <c r="C124" s="861"/>
      <c r="D124" s="861"/>
      <c r="E124" s="861"/>
      <c r="F124" s="861"/>
      <c r="G124" s="861"/>
      <c r="H124" s="861"/>
    </row>
    <row r="125" spans="2:8">
      <c r="B125" s="865"/>
      <c r="C125" s="861"/>
      <c r="D125" s="861"/>
      <c r="E125" s="861"/>
      <c r="F125" s="861"/>
      <c r="G125" s="861"/>
      <c r="H125" s="861"/>
    </row>
    <row r="126" spans="2:8">
      <c r="B126" s="865"/>
      <c r="C126" s="861"/>
      <c r="D126" s="861"/>
      <c r="E126" s="861"/>
      <c r="F126" s="861"/>
      <c r="G126" s="861"/>
      <c r="H126" s="861"/>
    </row>
    <row r="127" spans="2:8">
      <c r="B127" s="865"/>
      <c r="C127" s="861"/>
      <c r="D127" s="861"/>
      <c r="E127" s="861"/>
      <c r="F127" s="861"/>
      <c r="G127" s="861"/>
      <c r="H127" s="861"/>
    </row>
    <row r="128" spans="2:8">
      <c r="B128" s="865"/>
      <c r="C128" s="861"/>
      <c r="D128" s="861"/>
      <c r="E128" s="861"/>
      <c r="F128" s="861"/>
      <c r="G128" s="861"/>
      <c r="H128" s="861"/>
    </row>
    <row r="129" spans="2:8">
      <c r="B129" s="865"/>
      <c r="C129" s="861"/>
      <c r="D129" s="861"/>
      <c r="E129" s="861"/>
      <c r="F129" s="861"/>
      <c r="G129" s="861"/>
      <c r="H129" s="861"/>
    </row>
    <row r="130" spans="2:8">
      <c r="B130" s="865"/>
      <c r="C130" s="861"/>
      <c r="D130" s="861"/>
      <c r="E130" s="861"/>
      <c r="F130" s="861"/>
      <c r="G130" s="861"/>
      <c r="H130" s="861"/>
    </row>
    <row r="131" spans="2:8">
      <c r="B131" s="865"/>
      <c r="C131" s="861"/>
      <c r="D131" s="861"/>
      <c r="E131" s="861"/>
      <c r="F131" s="861"/>
      <c r="G131" s="861"/>
      <c r="H131" s="861"/>
    </row>
    <row r="132" spans="2:8">
      <c r="B132" s="865"/>
      <c r="C132" s="861"/>
      <c r="D132" s="861"/>
      <c r="E132" s="861"/>
      <c r="F132" s="861"/>
      <c r="G132" s="861"/>
      <c r="H132" s="861"/>
    </row>
    <row r="133" spans="2:8">
      <c r="B133" s="865"/>
      <c r="C133" s="861"/>
      <c r="D133" s="861"/>
      <c r="E133" s="861"/>
      <c r="F133" s="861"/>
      <c r="G133" s="861"/>
      <c r="H133" s="861"/>
    </row>
    <row r="134" spans="2:8">
      <c r="B134" s="865"/>
      <c r="C134" s="861"/>
      <c r="D134" s="861"/>
      <c r="E134" s="861"/>
      <c r="F134" s="861"/>
      <c r="G134" s="861"/>
      <c r="H134" s="861"/>
    </row>
    <row r="135" spans="2:8">
      <c r="B135" s="865"/>
      <c r="C135" s="861"/>
      <c r="D135" s="861"/>
      <c r="E135" s="861"/>
      <c r="F135" s="861"/>
      <c r="G135" s="861"/>
      <c r="H135" s="861"/>
    </row>
    <row r="136" spans="2:8">
      <c r="B136" s="865"/>
      <c r="C136" s="861"/>
      <c r="D136" s="861"/>
      <c r="E136" s="861"/>
      <c r="F136" s="861"/>
      <c r="G136" s="861"/>
      <c r="H136" s="861"/>
    </row>
    <row r="137" spans="2:8">
      <c r="B137" s="865"/>
      <c r="C137" s="861"/>
      <c r="D137" s="861"/>
      <c r="E137" s="861"/>
      <c r="F137" s="861"/>
      <c r="G137" s="861"/>
      <c r="H137" s="861"/>
    </row>
    <row r="138" spans="2:8">
      <c r="B138" s="865"/>
      <c r="C138" s="861"/>
      <c r="D138" s="861"/>
      <c r="E138" s="861"/>
      <c r="F138" s="861"/>
      <c r="G138" s="861"/>
      <c r="H138" s="861"/>
    </row>
    <row r="139" spans="2:8">
      <c r="B139" s="865"/>
      <c r="C139" s="861"/>
      <c r="D139" s="861"/>
      <c r="E139" s="861"/>
      <c r="F139" s="861"/>
      <c r="G139" s="861"/>
      <c r="H139" s="861"/>
    </row>
    <row r="140" spans="2:8">
      <c r="B140" s="865"/>
      <c r="C140" s="861"/>
      <c r="D140" s="861"/>
      <c r="E140" s="861"/>
      <c r="F140" s="861"/>
      <c r="G140" s="861"/>
      <c r="H140" s="861"/>
    </row>
    <row r="141" spans="2:8">
      <c r="B141" s="865"/>
      <c r="C141" s="861"/>
      <c r="D141" s="861"/>
      <c r="E141" s="861"/>
      <c r="F141" s="861"/>
      <c r="G141" s="861"/>
      <c r="H141" s="861"/>
    </row>
    <row r="142" spans="2:8">
      <c r="B142" s="865"/>
      <c r="C142" s="861"/>
      <c r="D142" s="861"/>
      <c r="E142" s="861"/>
      <c r="F142" s="861"/>
      <c r="G142" s="861"/>
      <c r="H142" s="861"/>
    </row>
    <row r="143" spans="2:8">
      <c r="B143" s="865"/>
      <c r="C143" s="861"/>
      <c r="D143" s="861"/>
      <c r="E143" s="861"/>
      <c r="F143" s="861"/>
      <c r="G143" s="861"/>
      <c r="H143" s="861"/>
    </row>
    <row r="144" spans="2:8">
      <c r="B144" s="865"/>
      <c r="C144" s="861"/>
      <c r="D144" s="861"/>
      <c r="E144" s="861"/>
      <c r="F144" s="861"/>
      <c r="G144" s="861"/>
      <c r="H144" s="861"/>
    </row>
    <row r="145" spans="2:8">
      <c r="B145" s="865"/>
      <c r="C145" s="861"/>
      <c r="D145" s="861"/>
      <c r="E145" s="861"/>
      <c r="F145" s="861"/>
      <c r="G145" s="861"/>
      <c r="H145" s="861"/>
    </row>
    <row r="146" spans="2:8">
      <c r="B146" s="865"/>
      <c r="C146" s="861"/>
      <c r="D146" s="861"/>
      <c r="E146" s="861"/>
      <c r="F146" s="861"/>
      <c r="G146" s="861"/>
      <c r="H146" s="861"/>
    </row>
    <row r="147" spans="2:8">
      <c r="B147" s="865"/>
      <c r="C147" s="861"/>
      <c r="D147" s="861"/>
      <c r="E147" s="861"/>
      <c r="F147" s="861"/>
      <c r="G147" s="861"/>
      <c r="H147" s="861"/>
    </row>
    <row r="148" spans="2:8">
      <c r="B148" s="865"/>
      <c r="C148" s="861"/>
      <c r="D148" s="861"/>
      <c r="E148" s="861"/>
      <c r="F148" s="861"/>
      <c r="G148" s="861"/>
      <c r="H148" s="861"/>
    </row>
    <row r="149" spans="2:8">
      <c r="B149" s="865"/>
      <c r="C149" s="861"/>
      <c r="D149" s="861"/>
      <c r="E149" s="861"/>
      <c r="F149" s="861"/>
      <c r="G149" s="861"/>
      <c r="H149" s="861"/>
    </row>
    <row r="150" spans="2:8">
      <c r="B150" s="865"/>
      <c r="C150" s="861"/>
      <c r="D150" s="861"/>
      <c r="E150" s="861"/>
      <c r="F150" s="861"/>
      <c r="G150" s="861"/>
      <c r="H150" s="861"/>
    </row>
    <row r="151" spans="2:8">
      <c r="B151" s="865"/>
      <c r="C151" s="861"/>
      <c r="D151" s="861"/>
      <c r="E151" s="861"/>
      <c r="F151" s="861"/>
      <c r="G151" s="861"/>
      <c r="H151" s="861"/>
    </row>
    <row r="152" spans="2:8">
      <c r="B152" s="865"/>
      <c r="C152" s="861"/>
      <c r="D152" s="861"/>
      <c r="E152" s="861"/>
      <c r="F152" s="861"/>
      <c r="G152" s="861"/>
      <c r="H152" s="861"/>
    </row>
    <row r="153" spans="2:8">
      <c r="B153" s="865"/>
      <c r="C153" s="861"/>
      <c r="D153" s="861"/>
      <c r="E153" s="861"/>
      <c r="F153" s="861"/>
      <c r="G153" s="861"/>
      <c r="H153" s="861"/>
    </row>
    <row r="154" spans="2:8">
      <c r="B154" s="865"/>
      <c r="C154" s="861"/>
      <c r="D154" s="861"/>
      <c r="E154" s="861"/>
      <c r="F154" s="861"/>
      <c r="G154" s="861"/>
      <c r="H154" s="861"/>
    </row>
    <row r="155" spans="2:8">
      <c r="B155" s="865"/>
      <c r="C155" s="861"/>
      <c r="D155" s="861"/>
      <c r="E155" s="861"/>
      <c r="F155" s="861"/>
      <c r="G155" s="861"/>
      <c r="H155" s="861"/>
    </row>
    <row r="156" spans="2:8">
      <c r="B156" s="865"/>
      <c r="C156" s="861"/>
      <c r="D156" s="861"/>
      <c r="E156" s="861"/>
      <c r="F156" s="861"/>
      <c r="G156" s="861"/>
      <c r="H156" s="861"/>
    </row>
    <row r="157" spans="2:8">
      <c r="B157" s="865"/>
      <c r="C157" s="861"/>
      <c r="D157" s="861"/>
      <c r="E157" s="861"/>
      <c r="F157" s="861"/>
      <c r="G157" s="861"/>
      <c r="H157" s="861"/>
    </row>
    <row r="158" spans="2:8">
      <c r="B158" s="865"/>
      <c r="C158" s="861"/>
      <c r="D158" s="861"/>
      <c r="E158" s="861"/>
      <c r="F158" s="861"/>
      <c r="G158" s="861"/>
      <c r="H158" s="861"/>
    </row>
    <row r="159" spans="2:8">
      <c r="B159" s="865"/>
      <c r="C159" s="861"/>
      <c r="D159" s="861"/>
      <c r="E159" s="861"/>
      <c r="F159" s="861"/>
      <c r="G159" s="861"/>
      <c r="H159" s="861"/>
    </row>
    <row r="160" spans="2:8">
      <c r="B160" s="865"/>
      <c r="C160" s="861"/>
      <c r="D160" s="861"/>
      <c r="E160" s="861"/>
      <c r="F160" s="861"/>
      <c r="G160" s="861"/>
      <c r="H160" s="861"/>
    </row>
    <row r="161" spans="2:8">
      <c r="B161" s="865"/>
      <c r="C161" s="861"/>
      <c r="D161" s="861"/>
      <c r="E161" s="861"/>
      <c r="F161" s="861"/>
      <c r="G161" s="861"/>
      <c r="H161" s="861"/>
    </row>
    <row r="162" spans="2:8">
      <c r="B162" s="865"/>
      <c r="C162" s="861"/>
      <c r="D162" s="861"/>
      <c r="E162" s="861"/>
      <c r="F162" s="861"/>
      <c r="G162" s="861"/>
      <c r="H162" s="861"/>
    </row>
    <row r="163" spans="2:8">
      <c r="B163" s="865"/>
      <c r="C163" s="861"/>
      <c r="D163" s="861"/>
      <c r="E163" s="861"/>
      <c r="F163" s="861"/>
      <c r="G163" s="861"/>
      <c r="H163" s="861"/>
    </row>
    <row r="164" spans="2:8">
      <c r="B164" s="865"/>
      <c r="C164" s="861"/>
      <c r="D164" s="861"/>
      <c r="E164" s="861"/>
      <c r="F164" s="861"/>
      <c r="G164" s="861"/>
      <c r="H164" s="861"/>
    </row>
    <row r="165" spans="2:8">
      <c r="B165" s="865"/>
      <c r="C165" s="861"/>
      <c r="D165" s="861"/>
      <c r="E165" s="861"/>
      <c r="F165" s="861"/>
      <c r="G165" s="861"/>
      <c r="H165" s="861"/>
    </row>
    <row r="166" spans="2:8">
      <c r="B166" s="865"/>
      <c r="C166" s="861"/>
      <c r="D166" s="861"/>
      <c r="E166" s="861"/>
      <c r="F166" s="861"/>
      <c r="G166" s="861"/>
      <c r="H166" s="861"/>
    </row>
    <row r="167" spans="2:8">
      <c r="B167" s="865"/>
      <c r="C167" s="861"/>
      <c r="D167" s="861"/>
      <c r="E167" s="861"/>
      <c r="F167" s="861"/>
      <c r="G167" s="861"/>
      <c r="H167" s="861"/>
    </row>
    <row r="168" spans="2:8">
      <c r="B168" s="865"/>
      <c r="C168" s="861"/>
      <c r="D168" s="861"/>
      <c r="E168" s="861"/>
      <c r="F168" s="861"/>
      <c r="G168" s="861"/>
      <c r="H168" s="861"/>
    </row>
    <row r="169" spans="2:8">
      <c r="B169" s="865"/>
      <c r="C169" s="861"/>
      <c r="D169" s="861"/>
      <c r="E169" s="861"/>
      <c r="F169" s="861"/>
      <c r="G169" s="861"/>
      <c r="H169" s="861"/>
    </row>
    <row r="170" spans="2:8">
      <c r="B170" s="865"/>
      <c r="C170" s="861"/>
      <c r="D170" s="861"/>
      <c r="E170" s="861"/>
      <c r="F170" s="861"/>
      <c r="G170" s="861"/>
      <c r="H170" s="861"/>
    </row>
    <row r="171" spans="2:8">
      <c r="B171" s="865"/>
      <c r="C171" s="861"/>
      <c r="D171" s="861"/>
      <c r="E171" s="861"/>
      <c r="F171" s="861"/>
      <c r="G171" s="861"/>
      <c r="H171" s="861"/>
    </row>
    <row r="172" spans="2:8">
      <c r="B172" s="865"/>
      <c r="C172" s="861"/>
      <c r="D172" s="861"/>
      <c r="E172" s="861"/>
      <c r="F172" s="861"/>
      <c r="G172" s="861"/>
      <c r="H172" s="861"/>
    </row>
    <row r="173" spans="2:8">
      <c r="B173" s="865"/>
      <c r="C173" s="861"/>
      <c r="D173" s="861"/>
      <c r="E173" s="861"/>
      <c r="F173" s="861"/>
      <c r="G173" s="861"/>
      <c r="H173" s="861"/>
    </row>
    <row r="174" spans="2:8">
      <c r="B174" s="865"/>
      <c r="C174" s="861"/>
      <c r="D174" s="861"/>
      <c r="E174" s="861"/>
      <c r="F174" s="861"/>
      <c r="G174" s="861"/>
      <c r="H174" s="861"/>
    </row>
    <row r="175" spans="2:8">
      <c r="B175" s="865"/>
      <c r="C175" s="861"/>
      <c r="D175" s="861"/>
      <c r="E175" s="861"/>
      <c r="F175" s="861"/>
      <c r="G175" s="861"/>
      <c r="H175" s="861"/>
    </row>
    <row r="176" spans="2:8">
      <c r="B176" s="865"/>
      <c r="C176" s="861"/>
      <c r="D176" s="861"/>
      <c r="E176" s="861"/>
      <c r="F176" s="861"/>
      <c r="G176" s="861"/>
      <c r="H176" s="861"/>
    </row>
    <row r="177" spans="2:8">
      <c r="B177" s="865"/>
      <c r="C177" s="861"/>
      <c r="D177" s="861"/>
      <c r="E177" s="861"/>
      <c r="F177" s="861"/>
      <c r="G177" s="861"/>
      <c r="H177" s="861"/>
    </row>
    <row r="178" spans="2:8">
      <c r="B178" s="865"/>
      <c r="C178" s="861"/>
      <c r="D178" s="861"/>
      <c r="E178" s="861"/>
      <c r="F178" s="861"/>
      <c r="G178" s="861"/>
      <c r="H178" s="861"/>
    </row>
    <row r="179" spans="2:8">
      <c r="B179" s="865"/>
      <c r="C179" s="861"/>
      <c r="D179" s="861"/>
      <c r="E179" s="861"/>
      <c r="F179" s="861"/>
      <c r="G179" s="861"/>
      <c r="H179" s="861"/>
    </row>
    <row r="180" spans="2:8">
      <c r="B180" s="865"/>
      <c r="C180" s="861"/>
      <c r="D180" s="861"/>
      <c r="E180" s="861"/>
      <c r="F180" s="861"/>
      <c r="G180" s="861"/>
      <c r="H180" s="861"/>
    </row>
    <row r="181" spans="2:8">
      <c r="B181" s="865"/>
      <c r="C181" s="861"/>
      <c r="D181" s="861"/>
      <c r="E181" s="861"/>
      <c r="F181" s="861"/>
      <c r="G181" s="861"/>
      <c r="H181" s="861"/>
    </row>
    <row r="182" spans="2:8">
      <c r="B182" s="865"/>
      <c r="C182" s="861"/>
      <c r="D182" s="861"/>
      <c r="E182" s="861"/>
      <c r="F182" s="861"/>
      <c r="G182" s="861"/>
      <c r="H182" s="861"/>
    </row>
    <row r="183" spans="2:8">
      <c r="B183" s="865"/>
      <c r="C183" s="861"/>
      <c r="D183" s="861"/>
      <c r="E183" s="861"/>
      <c r="F183" s="861"/>
      <c r="G183" s="861"/>
      <c r="H183" s="861"/>
    </row>
    <row r="184" spans="2:8">
      <c r="B184" s="865"/>
      <c r="C184" s="861"/>
      <c r="D184" s="861"/>
      <c r="E184" s="861"/>
      <c r="F184" s="861"/>
      <c r="G184" s="861"/>
      <c r="H184" s="861"/>
    </row>
    <row r="185" spans="2:8">
      <c r="B185" s="865"/>
      <c r="C185" s="861"/>
      <c r="D185" s="861"/>
      <c r="E185" s="861"/>
      <c r="F185" s="861"/>
      <c r="G185" s="861"/>
      <c r="H185" s="861"/>
    </row>
    <row r="186" spans="2:8">
      <c r="B186" s="865"/>
      <c r="C186" s="861"/>
      <c r="D186" s="861"/>
      <c r="E186" s="861"/>
      <c r="F186" s="861"/>
      <c r="G186" s="861"/>
      <c r="H186" s="861"/>
    </row>
    <row r="187" spans="2:8">
      <c r="B187" s="865"/>
      <c r="C187" s="861"/>
      <c r="D187" s="861"/>
      <c r="E187" s="861"/>
      <c r="F187" s="861"/>
      <c r="G187" s="861"/>
      <c r="H187" s="861"/>
    </row>
    <row r="188" spans="2:8">
      <c r="B188" s="865"/>
      <c r="C188" s="861"/>
      <c r="D188" s="861"/>
      <c r="E188" s="861"/>
      <c r="F188" s="861"/>
      <c r="G188" s="861"/>
      <c r="H188" s="861"/>
    </row>
    <row r="189" spans="2:8">
      <c r="B189" s="865"/>
      <c r="C189" s="861"/>
      <c r="D189" s="861"/>
      <c r="E189" s="861"/>
      <c r="F189" s="861"/>
      <c r="G189" s="861"/>
      <c r="H189" s="861"/>
    </row>
    <row r="190" spans="2:8">
      <c r="B190" s="865"/>
      <c r="C190" s="861"/>
      <c r="D190" s="861"/>
      <c r="E190" s="861"/>
      <c r="F190" s="861"/>
      <c r="G190" s="861"/>
      <c r="H190" s="861"/>
    </row>
    <row r="191" spans="2:8">
      <c r="B191" s="865"/>
      <c r="C191" s="861"/>
      <c r="D191" s="861"/>
      <c r="E191" s="861"/>
      <c r="F191" s="861"/>
      <c r="G191" s="861"/>
      <c r="H191" s="861"/>
    </row>
    <row r="192" spans="2:8">
      <c r="B192" s="865"/>
      <c r="C192" s="861"/>
      <c r="D192" s="861"/>
      <c r="E192" s="861"/>
      <c r="F192" s="861"/>
      <c r="G192" s="861"/>
      <c r="H192" s="861"/>
    </row>
    <row r="193" spans="2:8">
      <c r="B193" s="865"/>
      <c r="C193" s="861"/>
      <c r="D193" s="861"/>
      <c r="E193" s="861"/>
      <c r="F193" s="861"/>
      <c r="G193" s="861"/>
      <c r="H193" s="861"/>
    </row>
    <row r="194" spans="2:8">
      <c r="B194" s="865"/>
      <c r="C194" s="861"/>
      <c r="D194" s="861"/>
      <c r="E194" s="861"/>
      <c r="F194" s="861"/>
      <c r="G194" s="861"/>
      <c r="H194" s="861"/>
    </row>
    <row r="195" spans="2:8">
      <c r="B195" s="865"/>
      <c r="C195" s="861"/>
      <c r="D195" s="861"/>
      <c r="E195" s="861"/>
      <c r="F195" s="861"/>
      <c r="G195" s="861"/>
      <c r="H195" s="861"/>
    </row>
    <row r="196" spans="2:8">
      <c r="B196" s="865"/>
      <c r="C196" s="861"/>
      <c r="D196" s="861"/>
      <c r="E196" s="861"/>
      <c r="F196" s="861"/>
      <c r="G196" s="861"/>
      <c r="H196" s="861"/>
    </row>
    <row r="197" spans="2:8">
      <c r="B197" s="865"/>
      <c r="C197" s="861"/>
      <c r="D197" s="861"/>
      <c r="E197" s="861"/>
      <c r="F197" s="861"/>
      <c r="G197" s="861"/>
      <c r="H197" s="861"/>
    </row>
    <row r="198" spans="2:8">
      <c r="B198" s="865"/>
      <c r="C198" s="861"/>
      <c r="D198" s="861"/>
      <c r="E198" s="861"/>
      <c r="F198" s="861"/>
      <c r="G198" s="861"/>
      <c r="H198" s="861"/>
    </row>
    <row r="199" spans="2:8">
      <c r="B199" s="865"/>
      <c r="C199" s="861"/>
      <c r="D199" s="861"/>
      <c r="E199" s="861"/>
      <c r="F199" s="861"/>
      <c r="G199" s="861"/>
      <c r="H199" s="861"/>
    </row>
    <row r="200" spans="2:8">
      <c r="B200" s="865"/>
      <c r="C200" s="861"/>
      <c r="D200" s="861"/>
      <c r="E200" s="861"/>
      <c r="F200" s="861"/>
      <c r="G200" s="861"/>
      <c r="H200" s="861"/>
    </row>
    <row r="201" spans="2:8">
      <c r="B201" s="865"/>
      <c r="C201" s="861"/>
      <c r="D201" s="861"/>
      <c r="E201" s="861"/>
      <c r="F201" s="861"/>
      <c r="G201" s="861"/>
      <c r="H201" s="861"/>
    </row>
    <row r="202" spans="2:8">
      <c r="B202" s="865"/>
      <c r="C202" s="861"/>
      <c r="D202" s="861"/>
      <c r="E202" s="861"/>
      <c r="F202" s="861"/>
      <c r="G202" s="861"/>
      <c r="H202" s="861"/>
    </row>
    <row r="203" spans="2:8">
      <c r="B203" s="865"/>
      <c r="C203" s="861"/>
      <c r="D203" s="861"/>
      <c r="E203" s="861"/>
      <c r="F203" s="861"/>
      <c r="G203" s="861"/>
      <c r="H203" s="861"/>
    </row>
    <row r="204" spans="2:8">
      <c r="B204" s="865"/>
      <c r="C204" s="861"/>
      <c r="D204" s="861"/>
      <c r="E204" s="861"/>
      <c r="F204" s="861"/>
      <c r="G204" s="861"/>
      <c r="H204" s="861"/>
    </row>
    <row r="205" spans="2:8">
      <c r="B205" s="865"/>
      <c r="C205" s="861"/>
      <c r="D205" s="861"/>
      <c r="E205" s="861"/>
      <c r="F205" s="861"/>
      <c r="G205" s="861"/>
      <c r="H205" s="861"/>
    </row>
    <row r="206" spans="2:8">
      <c r="B206" s="865"/>
      <c r="C206" s="861"/>
      <c r="D206" s="861"/>
      <c r="E206" s="861"/>
      <c r="F206" s="861"/>
      <c r="G206" s="861"/>
      <c r="H206" s="861"/>
    </row>
    <row r="207" spans="2:8">
      <c r="B207" s="865"/>
      <c r="C207" s="861"/>
      <c r="D207" s="861"/>
      <c r="E207" s="861"/>
      <c r="F207" s="861"/>
      <c r="G207" s="861"/>
      <c r="H207" s="861"/>
    </row>
    <row r="208" spans="2:8">
      <c r="B208" s="865"/>
      <c r="C208" s="861"/>
      <c r="D208" s="861"/>
      <c r="E208" s="861"/>
      <c r="F208" s="861"/>
      <c r="G208" s="861"/>
      <c r="H208" s="861"/>
    </row>
    <row r="209" spans="2:9">
      <c r="B209" s="865"/>
      <c r="C209" s="861"/>
      <c r="D209" s="861"/>
      <c r="E209" s="861"/>
      <c r="F209" s="861"/>
      <c r="G209" s="861"/>
      <c r="H209" s="861"/>
    </row>
    <row r="210" spans="2:9">
      <c r="B210" s="865"/>
      <c r="C210" s="861"/>
      <c r="D210" s="861"/>
      <c r="E210" s="861"/>
      <c r="F210" s="861"/>
      <c r="G210" s="861"/>
      <c r="H210" s="861"/>
      <c r="I210" s="867"/>
    </row>
    <row r="211" spans="2:9">
      <c r="B211" s="865"/>
      <c r="C211" s="861"/>
      <c r="D211" s="861"/>
      <c r="E211" s="861"/>
      <c r="F211" s="861"/>
      <c r="G211" s="861"/>
      <c r="H211" s="861"/>
    </row>
    <row r="212" spans="2:9">
      <c r="B212" s="865"/>
      <c r="C212" s="861"/>
      <c r="D212" s="861"/>
      <c r="E212" s="861"/>
      <c r="F212" s="861"/>
      <c r="G212" s="861"/>
      <c r="H212" s="861"/>
    </row>
    <row r="213" spans="2:9">
      <c r="B213" s="865"/>
      <c r="C213" s="861"/>
      <c r="D213" s="861"/>
      <c r="E213" s="861"/>
      <c r="F213" s="861"/>
      <c r="G213" s="861"/>
      <c r="H213" s="861"/>
    </row>
    <row r="214" spans="2:9">
      <c r="B214" s="865"/>
      <c r="C214" s="861"/>
      <c r="D214" s="861"/>
      <c r="E214" s="861"/>
      <c r="F214" s="861"/>
      <c r="G214" s="861"/>
      <c r="H214" s="861"/>
    </row>
    <row r="215" spans="2:9">
      <c r="B215" s="865"/>
      <c r="C215" s="861"/>
      <c r="D215" s="861"/>
      <c r="E215" s="861"/>
      <c r="F215" s="861"/>
      <c r="G215" s="861"/>
      <c r="H215" s="861"/>
    </row>
    <row r="216" spans="2:9">
      <c r="B216" s="865"/>
      <c r="C216" s="861"/>
      <c r="D216" s="861"/>
      <c r="E216" s="861"/>
      <c r="F216" s="861"/>
      <c r="G216" s="861"/>
      <c r="H216" s="861"/>
    </row>
    <row r="217" spans="2:9">
      <c r="B217" s="865"/>
      <c r="C217" s="861"/>
      <c r="D217" s="861"/>
      <c r="E217" s="861"/>
      <c r="F217" s="861"/>
      <c r="G217" s="861"/>
      <c r="H217" s="861"/>
    </row>
    <row r="218" spans="2:9">
      <c r="B218" s="865"/>
      <c r="C218" s="861"/>
      <c r="D218" s="861"/>
      <c r="E218" s="861"/>
      <c r="F218" s="861"/>
      <c r="G218" s="861"/>
      <c r="H218" s="861"/>
    </row>
    <row r="219" spans="2:9">
      <c r="B219" s="865"/>
      <c r="C219" s="861"/>
      <c r="D219" s="861"/>
      <c r="E219" s="861"/>
      <c r="F219" s="861"/>
      <c r="G219" s="861"/>
      <c r="H219" s="861"/>
    </row>
    <row r="220" spans="2:9">
      <c r="B220" s="865"/>
      <c r="C220" s="861"/>
      <c r="D220" s="861"/>
      <c r="E220" s="861"/>
      <c r="F220" s="861"/>
      <c r="G220" s="861"/>
      <c r="H220" s="861"/>
    </row>
    <row r="221" spans="2:9">
      <c r="B221" s="865"/>
      <c r="C221" s="861"/>
      <c r="D221" s="861"/>
      <c r="E221" s="861"/>
      <c r="F221" s="861"/>
      <c r="G221" s="861"/>
      <c r="H221" s="861"/>
    </row>
    <row r="222" spans="2:9">
      <c r="B222" s="865"/>
      <c r="C222" s="861"/>
      <c r="D222" s="861"/>
      <c r="E222" s="861"/>
      <c r="F222" s="861"/>
      <c r="G222" s="861"/>
      <c r="H222" s="861"/>
    </row>
    <row r="223" spans="2:9">
      <c r="B223" s="865"/>
      <c r="C223" s="861"/>
      <c r="D223" s="861"/>
      <c r="E223" s="861"/>
      <c r="F223" s="861"/>
      <c r="G223" s="861"/>
      <c r="H223" s="861"/>
    </row>
    <row r="224" spans="2:9">
      <c r="B224" s="865"/>
      <c r="C224" s="861"/>
      <c r="D224" s="861"/>
      <c r="E224" s="861"/>
      <c r="F224" s="861"/>
      <c r="G224" s="861"/>
      <c r="H224" s="861"/>
    </row>
    <row r="225" spans="2:8">
      <c r="B225" s="865"/>
      <c r="C225" s="861"/>
      <c r="D225" s="861"/>
      <c r="E225" s="861"/>
      <c r="F225" s="861"/>
      <c r="G225" s="861"/>
      <c r="H225" s="861"/>
    </row>
    <row r="226" spans="2:8">
      <c r="B226" s="865"/>
      <c r="C226" s="861"/>
      <c r="D226" s="861"/>
      <c r="E226" s="861"/>
      <c r="F226" s="861"/>
      <c r="G226" s="861"/>
      <c r="H226" s="861"/>
    </row>
    <row r="227" spans="2:8">
      <c r="B227" s="865"/>
      <c r="C227" s="861"/>
      <c r="D227" s="861"/>
      <c r="E227" s="861"/>
      <c r="F227" s="861"/>
      <c r="G227" s="861"/>
      <c r="H227" s="861"/>
    </row>
    <row r="228" spans="2:8">
      <c r="B228" s="865"/>
      <c r="C228" s="861"/>
      <c r="D228" s="861"/>
      <c r="E228" s="861"/>
      <c r="F228" s="861"/>
      <c r="G228" s="861"/>
      <c r="H228" s="861"/>
    </row>
    <row r="229" spans="2:8">
      <c r="B229" s="865"/>
      <c r="C229" s="861"/>
      <c r="D229" s="861"/>
      <c r="E229" s="861"/>
      <c r="F229" s="861"/>
      <c r="G229" s="861"/>
      <c r="H229" s="861"/>
    </row>
    <row r="230" spans="2:8">
      <c r="B230" s="865"/>
      <c r="C230" s="861"/>
      <c r="D230" s="861"/>
      <c r="E230" s="861"/>
      <c r="F230" s="861"/>
      <c r="G230" s="861"/>
      <c r="H230" s="861"/>
    </row>
    <row r="231" spans="2:8">
      <c r="B231" s="865"/>
      <c r="C231" s="861"/>
      <c r="D231" s="861"/>
      <c r="E231" s="861"/>
      <c r="F231" s="861"/>
      <c r="G231" s="861"/>
      <c r="H231" s="861"/>
    </row>
    <row r="232" spans="2:8">
      <c r="B232" s="865"/>
      <c r="C232" s="861"/>
      <c r="D232" s="861"/>
      <c r="E232" s="861"/>
      <c r="F232" s="861"/>
      <c r="G232" s="861"/>
      <c r="H232" s="861"/>
    </row>
    <row r="233" spans="2:8">
      <c r="B233" s="865"/>
      <c r="C233" s="861"/>
      <c r="D233" s="861"/>
      <c r="E233" s="861"/>
      <c r="F233" s="861"/>
      <c r="G233" s="861"/>
      <c r="H233" s="861"/>
    </row>
    <row r="234" spans="2:8">
      <c r="B234" s="865"/>
      <c r="C234" s="861"/>
      <c r="D234" s="861"/>
      <c r="E234" s="861"/>
      <c r="F234" s="861"/>
      <c r="G234" s="861"/>
      <c r="H234" s="861"/>
    </row>
    <row r="235" spans="2:8">
      <c r="B235" s="865"/>
      <c r="C235" s="861"/>
      <c r="D235" s="861"/>
      <c r="E235" s="861"/>
      <c r="F235" s="861"/>
      <c r="G235" s="861"/>
      <c r="H235" s="861"/>
    </row>
    <row r="236" spans="2:8">
      <c r="B236" s="865"/>
      <c r="C236" s="861"/>
      <c r="D236" s="861"/>
      <c r="E236" s="861"/>
      <c r="F236" s="861"/>
      <c r="G236" s="861"/>
      <c r="H236" s="861"/>
    </row>
    <row r="237" spans="2:8">
      <c r="B237" s="865"/>
      <c r="C237" s="861"/>
      <c r="D237" s="861"/>
      <c r="E237" s="861"/>
      <c r="F237" s="861"/>
      <c r="G237" s="861"/>
      <c r="H237" s="861"/>
    </row>
    <row r="238" spans="2:8">
      <c r="B238" s="865"/>
      <c r="C238" s="861"/>
      <c r="D238" s="861"/>
      <c r="E238" s="861"/>
      <c r="F238" s="861"/>
      <c r="G238" s="861"/>
      <c r="H238" s="861"/>
    </row>
    <row r="239" spans="2:8">
      <c r="B239" s="865"/>
      <c r="C239" s="861"/>
      <c r="D239" s="861"/>
      <c r="E239" s="861"/>
      <c r="F239" s="861"/>
      <c r="G239" s="861"/>
      <c r="H239" s="861"/>
    </row>
    <row r="240" spans="2:8">
      <c r="B240" s="865"/>
      <c r="C240" s="861"/>
      <c r="D240" s="861"/>
      <c r="E240" s="861"/>
      <c r="F240" s="861"/>
      <c r="G240" s="861"/>
      <c r="H240" s="861"/>
    </row>
    <row r="241" spans="2:8">
      <c r="B241" s="865"/>
      <c r="C241" s="861"/>
      <c r="D241" s="861"/>
      <c r="E241" s="861"/>
      <c r="F241" s="861"/>
      <c r="G241" s="861"/>
      <c r="H241" s="861"/>
    </row>
    <row r="242" spans="2:8">
      <c r="B242" s="865"/>
      <c r="C242" s="861"/>
      <c r="D242" s="861"/>
      <c r="E242" s="861"/>
      <c r="F242" s="861"/>
      <c r="G242" s="861"/>
      <c r="H242" s="861"/>
    </row>
    <row r="243" spans="2:8">
      <c r="B243" s="865"/>
      <c r="C243" s="861"/>
      <c r="D243" s="861"/>
      <c r="E243" s="861"/>
      <c r="F243" s="861"/>
      <c r="G243" s="861"/>
      <c r="H243" s="861"/>
    </row>
    <row r="244" spans="2:8">
      <c r="B244" s="865"/>
      <c r="C244" s="861"/>
      <c r="D244" s="861"/>
      <c r="E244" s="861"/>
      <c r="F244" s="861"/>
      <c r="G244" s="861"/>
      <c r="H244" s="861"/>
    </row>
    <row r="245" spans="2:8">
      <c r="B245" s="865"/>
      <c r="C245" s="861"/>
      <c r="D245" s="861"/>
      <c r="E245" s="861"/>
      <c r="F245" s="861"/>
      <c r="G245" s="861"/>
      <c r="H245" s="861"/>
    </row>
    <row r="246" spans="2:8">
      <c r="B246" s="865"/>
      <c r="C246" s="861"/>
      <c r="D246" s="861"/>
      <c r="E246" s="861"/>
      <c r="F246" s="861"/>
      <c r="G246" s="861"/>
      <c r="H246" s="861"/>
    </row>
    <row r="247" spans="2:8">
      <c r="B247" s="865"/>
      <c r="C247" s="861"/>
      <c r="D247" s="861"/>
      <c r="E247" s="861"/>
      <c r="F247" s="861"/>
      <c r="G247" s="861"/>
      <c r="H247" s="861"/>
    </row>
    <row r="248" spans="2:8">
      <c r="B248" s="865"/>
      <c r="C248" s="861"/>
      <c r="D248" s="861"/>
      <c r="E248" s="861"/>
      <c r="F248" s="861"/>
      <c r="G248" s="861"/>
      <c r="H248" s="861"/>
    </row>
    <row r="249" spans="2:8">
      <c r="B249" s="865"/>
      <c r="C249" s="861"/>
      <c r="D249" s="861"/>
      <c r="E249" s="861"/>
      <c r="F249" s="861"/>
      <c r="G249" s="861"/>
      <c r="H249" s="861"/>
    </row>
    <row r="250" spans="2:8">
      <c r="B250" s="865"/>
      <c r="C250" s="861"/>
      <c r="D250" s="861"/>
      <c r="E250" s="861"/>
      <c r="F250" s="861"/>
      <c r="G250" s="861"/>
      <c r="H250" s="861"/>
    </row>
    <row r="251" spans="2:8">
      <c r="B251" s="865"/>
      <c r="C251" s="861"/>
      <c r="D251" s="861"/>
      <c r="E251" s="861"/>
      <c r="F251" s="861"/>
      <c r="G251" s="861"/>
      <c r="H251" s="861"/>
    </row>
    <row r="252" spans="2:8">
      <c r="B252" s="865"/>
      <c r="C252" s="861"/>
      <c r="D252" s="861"/>
      <c r="E252" s="861"/>
      <c r="F252" s="861"/>
      <c r="G252" s="861"/>
      <c r="H252" s="861"/>
    </row>
    <row r="253" spans="2:8">
      <c r="B253" s="865"/>
      <c r="C253" s="861"/>
      <c r="D253" s="861"/>
      <c r="E253" s="861"/>
      <c r="F253" s="861"/>
      <c r="G253" s="861"/>
      <c r="H253" s="861"/>
    </row>
    <row r="254" spans="2:8">
      <c r="B254" s="865"/>
      <c r="C254" s="861"/>
      <c r="D254" s="861"/>
      <c r="E254" s="861"/>
      <c r="F254" s="861"/>
      <c r="G254" s="861"/>
      <c r="H254" s="861"/>
    </row>
    <row r="255" spans="2:8">
      <c r="B255" s="865"/>
      <c r="C255" s="861"/>
      <c r="D255" s="861"/>
      <c r="E255" s="861"/>
      <c r="F255" s="861"/>
      <c r="G255" s="861"/>
      <c r="H255" s="861"/>
    </row>
    <row r="256" spans="2:8">
      <c r="B256" s="865"/>
      <c r="C256" s="861"/>
      <c r="D256" s="861"/>
      <c r="E256" s="861"/>
      <c r="F256" s="861"/>
      <c r="G256" s="861"/>
      <c r="H256" s="861"/>
    </row>
    <row r="257" spans="2:8">
      <c r="B257" s="865"/>
      <c r="C257" s="861"/>
      <c r="D257" s="861"/>
      <c r="E257" s="861"/>
      <c r="F257" s="861"/>
      <c r="G257" s="861"/>
      <c r="H257" s="861"/>
    </row>
    <row r="258" spans="2:8">
      <c r="B258" s="865"/>
      <c r="C258" s="861"/>
      <c r="D258" s="861"/>
      <c r="E258" s="861"/>
      <c r="F258" s="861"/>
      <c r="G258" s="861"/>
      <c r="H258" s="861"/>
    </row>
    <row r="259" spans="2:8">
      <c r="B259" s="865"/>
      <c r="C259" s="861"/>
      <c r="D259" s="861"/>
      <c r="E259" s="861"/>
      <c r="F259" s="861"/>
      <c r="G259" s="861"/>
      <c r="H259" s="861"/>
    </row>
    <row r="260" spans="2:8">
      <c r="B260" s="865"/>
      <c r="C260" s="861"/>
      <c r="D260" s="861"/>
      <c r="E260" s="861"/>
      <c r="F260" s="861"/>
      <c r="G260" s="861"/>
      <c r="H260" s="861"/>
    </row>
    <row r="261" spans="2:8">
      <c r="B261" s="865"/>
      <c r="C261" s="861"/>
      <c r="D261" s="861"/>
      <c r="E261" s="861"/>
      <c r="F261" s="861"/>
      <c r="G261" s="861"/>
      <c r="H261" s="861"/>
    </row>
    <row r="262" spans="2:8">
      <c r="B262" s="865"/>
      <c r="C262" s="861"/>
      <c r="D262" s="861"/>
      <c r="E262" s="861"/>
      <c r="F262" s="861"/>
      <c r="G262" s="861"/>
      <c r="H262" s="861"/>
    </row>
    <row r="263" spans="2:8">
      <c r="B263" s="865"/>
      <c r="C263" s="861"/>
      <c r="D263" s="861"/>
      <c r="E263" s="861"/>
      <c r="F263" s="861"/>
      <c r="G263" s="861"/>
      <c r="H263" s="861"/>
    </row>
    <row r="264" spans="2:8">
      <c r="B264" s="865"/>
      <c r="C264" s="861"/>
      <c r="D264" s="861"/>
      <c r="E264" s="861"/>
      <c r="F264" s="861"/>
      <c r="G264" s="861"/>
      <c r="H264" s="861"/>
    </row>
    <row r="265" spans="2:8">
      <c r="B265" s="865"/>
      <c r="C265" s="861"/>
      <c r="D265" s="861"/>
      <c r="E265" s="861"/>
      <c r="F265" s="861"/>
      <c r="G265" s="861"/>
      <c r="H265" s="861"/>
    </row>
    <row r="266" spans="2:8">
      <c r="B266" s="865"/>
      <c r="C266" s="861"/>
      <c r="D266" s="861"/>
      <c r="E266" s="861"/>
      <c r="F266" s="861"/>
      <c r="G266" s="861"/>
      <c r="H266" s="861"/>
    </row>
    <row r="267" spans="2:8">
      <c r="B267" s="865"/>
      <c r="C267" s="861"/>
      <c r="D267" s="861"/>
      <c r="E267" s="861"/>
      <c r="F267" s="861"/>
      <c r="G267" s="861"/>
      <c r="H267" s="861"/>
    </row>
    <row r="268" spans="2:8">
      <c r="B268" s="865"/>
      <c r="C268" s="861"/>
      <c r="D268" s="861"/>
      <c r="E268" s="861"/>
      <c r="F268" s="861"/>
      <c r="G268" s="861"/>
      <c r="H268" s="861"/>
    </row>
    <row r="269" spans="2:8">
      <c r="B269" s="865"/>
      <c r="C269" s="861"/>
      <c r="D269" s="861"/>
      <c r="E269" s="861"/>
      <c r="F269" s="861"/>
      <c r="G269" s="861"/>
      <c r="H269" s="861"/>
    </row>
    <row r="270" spans="2:8">
      <c r="B270" s="865"/>
      <c r="C270" s="861"/>
      <c r="D270" s="861"/>
      <c r="E270" s="861"/>
      <c r="F270" s="861"/>
      <c r="G270" s="861"/>
      <c r="H270" s="861"/>
    </row>
    <row r="271" spans="2:8">
      <c r="B271" s="865"/>
      <c r="C271" s="861"/>
      <c r="D271" s="861"/>
      <c r="E271" s="861"/>
      <c r="F271" s="861"/>
      <c r="G271" s="861"/>
      <c r="H271" s="861"/>
    </row>
    <row r="272" spans="2:8">
      <c r="B272" s="865"/>
      <c r="C272" s="861"/>
      <c r="D272" s="861"/>
      <c r="E272" s="861"/>
      <c r="F272" s="861"/>
      <c r="G272" s="861"/>
      <c r="H272" s="861"/>
    </row>
    <row r="273" spans="2:8">
      <c r="B273" s="865"/>
      <c r="C273" s="861"/>
      <c r="D273" s="861"/>
      <c r="E273" s="861"/>
      <c r="F273" s="861"/>
      <c r="G273" s="861"/>
      <c r="H273" s="861"/>
    </row>
    <row r="274" spans="2:8">
      <c r="B274" s="865"/>
      <c r="C274" s="861"/>
      <c r="D274" s="861"/>
      <c r="E274" s="861"/>
      <c r="F274" s="861"/>
      <c r="G274" s="861"/>
      <c r="H274" s="861"/>
    </row>
    <row r="275" spans="2:8">
      <c r="B275" s="865"/>
      <c r="C275" s="861"/>
      <c r="D275" s="861"/>
      <c r="E275" s="861"/>
      <c r="F275" s="861"/>
      <c r="G275" s="861"/>
      <c r="H275" s="861"/>
    </row>
    <row r="276" spans="2:8">
      <c r="B276" s="865"/>
      <c r="C276" s="861"/>
      <c r="D276" s="861"/>
      <c r="E276" s="861"/>
      <c r="F276" s="861"/>
      <c r="G276" s="861"/>
      <c r="H276" s="861"/>
    </row>
    <row r="277" spans="2:8">
      <c r="B277" s="865"/>
      <c r="C277" s="861"/>
      <c r="D277" s="861"/>
      <c r="E277" s="861"/>
      <c r="F277" s="861"/>
      <c r="G277" s="861"/>
      <c r="H277" s="861"/>
    </row>
    <row r="278" spans="2:8">
      <c r="B278" s="865"/>
      <c r="C278" s="861"/>
      <c r="D278" s="861"/>
      <c r="E278" s="861"/>
      <c r="F278" s="861"/>
      <c r="G278" s="861"/>
      <c r="H278" s="861"/>
    </row>
    <row r="279" spans="2:8">
      <c r="B279" s="865"/>
      <c r="C279" s="861"/>
      <c r="D279" s="861"/>
      <c r="E279" s="861"/>
      <c r="F279" s="861"/>
      <c r="G279" s="861"/>
      <c r="H279" s="861"/>
    </row>
    <row r="280" spans="2:8">
      <c r="B280" s="865"/>
      <c r="C280" s="861"/>
      <c r="D280" s="861"/>
      <c r="E280" s="861"/>
      <c r="F280" s="861"/>
      <c r="G280" s="861"/>
      <c r="H280" s="861"/>
    </row>
    <row r="281" spans="2:8">
      <c r="B281" s="865"/>
      <c r="C281" s="861"/>
      <c r="D281" s="861"/>
      <c r="E281" s="861"/>
      <c r="F281" s="861"/>
      <c r="G281" s="861"/>
      <c r="H281" s="861"/>
    </row>
    <row r="282" spans="2:8">
      <c r="B282" s="865"/>
      <c r="C282" s="861"/>
      <c r="D282" s="861"/>
      <c r="E282" s="861"/>
      <c r="F282" s="861"/>
      <c r="G282" s="861"/>
      <c r="H282" s="861"/>
    </row>
    <row r="283" spans="2:8">
      <c r="B283" s="865"/>
      <c r="C283" s="861"/>
      <c r="D283" s="861"/>
      <c r="E283" s="861"/>
      <c r="F283" s="861"/>
      <c r="G283" s="861"/>
      <c r="H283" s="861"/>
    </row>
    <row r="284" spans="2:8">
      <c r="B284" s="865"/>
      <c r="C284" s="861"/>
      <c r="D284" s="861"/>
      <c r="E284" s="861"/>
      <c r="F284" s="861"/>
      <c r="G284" s="861"/>
      <c r="H284" s="861"/>
    </row>
    <row r="285" spans="2:8">
      <c r="B285" s="865"/>
      <c r="C285" s="861"/>
      <c r="D285" s="861"/>
      <c r="E285" s="861"/>
      <c r="F285" s="861"/>
      <c r="G285" s="861"/>
      <c r="H285" s="861"/>
    </row>
    <row r="286" spans="2:8">
      <c r="B286" s="865"/>
      <c r="C286" s="861"/>
      <c r="D286" s="861"/>
      <c r="E286" s="861"/>
      <c r="F286" s="861"/>
      <c r="G286" s="861"/>
      <c r="H286" s="861"/>
    </row>
    <row r="287" spans="2:8">
      <c r="B287" s="865"/>
      <c r="C287" s="861"/>
      <c r="D287" s="861"/>
      <c r="E287" s="861"/>
      <c r="F287" s="861"/>
      <c r="G287" s="861"/>
      <c r="H287" s="861"/>
    </row>
    <row r="288" spans="2:8">
      <c r="B288" s="865"/>
      <c r="C288" s="861"/>
      <c r="D288" s="861"/>
      <c r="E288" s="861"/>
      <c r="F288" s="861"/>
      <c r="G288" s="861"/>
      <c r="H288" s="861"/>
    </row>
    <row r="289" spans="2:8">
      <c r="B289" s="865"/>
      <c r="C289" s="861"/>
      <c r="D289" s="861"/>
      <c r="E289" s="861"/>
      <c r="F289" s="861"/>
      <c r="G289" s="861"/>
      <c r="H289" s="861"/>
    </row>
    <row r="290" spans="2:8">
      <c r="B290" s="865"/>
      <c r="C290" s="861"/>
      <c r="D290" s="861"/>
      <c r="E290" s="861"/>
      <c r="F290" s="861"/>
      <c r="G290" s="861"/>
      <c r="H290" s="861"/>
    </row>
    <row r="291" spans="2:8">
      <c r="B291" s="865"/>
      <c r="C291" s="861"/>
      <c r="D291" s="861"/>
      <c r="E291" s="861"/>
      <c r="F291" s="861"/>
      <c r="G291" s="861"/>
      <c r="H291" s="861"/>
    </row>
    <row r="292" spans="2:8">
      <c r="B292" s="865"/>
      <c r="C292" s="861"/>
      <c r="D292" s="861"/>
      <c r="E292" s="861"/>
      <c r="F292" s="861"/>
      <c r="G292" s="861"/>
      <c r="H292" s="861"/>
    </row>
    <row r="293" spans="2:8">
      <c r="B293" s="865"/>
      <c r="C293" s="861"/>
      <c r="D293" s="861"/>
      <c r="E293" s="861"/>
      <c r="F293" s="861"/>
      <c r="G293" s="861"/>
      <c r="H293" s="861"/>
    </row>
    <row r="294" spans="2:8">
      <c r="B294" s="865"/>
      <c r="C294" s="861"/>
      <c r="D294" s="861"/>
      <c r="E294" s="861"/>
      <c r="F294" s="861"/>
      <c r="G294" s="861"/>
      <c r="H294" s="861"/>
    </row>
    <row r="295" spans="2:8">
      <c r="B295" s="865"/>
      <c r="C295" s="861"/>
      <c r="D295" s="861"/>
      <c r="E295" s="861"/>
      <c r="F295" s="861"/>
      <c r="G295" s="861"/>
      <c r="H295" s="861"/>
    </row>
    <row r="296" spans="2:8">
      <c r="B296" s="865"/>
      <c r="C296" s="861"/>
      <c r="D296" s="861"/>
      <c r="E296" s="861"/>
      <c r="F296" s="861"/>
      <c r="G296" s="861"/>
      <c r="H296" s="861"/>
    </row>
    <row r="297" spans="2:8">
      <c r="B297" s="865"/>
      <c r="C297" s="861"/>
      <c r="D297" s="861"/>
      <c r="E297" s="861"/>
      <c r="F297" s="861"/>
      <c r="G297" s="861"/>
      <c r="H297" s="861"/>
    </row>
    <row r="298" spans="2:8">
      <c r="B298" s="865"/>
      <c r="C298" s="861"/>
      <c r="D298" s="861"/>
      <c r="E298" s="861"/>
      <c r="F298" s="861"/>
      <c r="G298" s="861"/>
      <c r="H298" s="861"/>
    </row>
    <row r="299" spans="2:8">
      <c r="B299" s="865"/>
      <c r="C299" s="861"/>
      <c r="D299" s="861"/>
      <c r="E299" s="861"/>
      <c r="F299" s="861"/>
      <c r="G299" s="861"/>
      <c r="H299" s="861"/>
    </row>
    <row r="300" spans="2:8">
      <c r="B300" s="865"/>
      <c r="C300" s="861"/>
      <c r="D300" s="861"/>
      <c r="E300" s="861"/>
      <c r="F300" s="861"/>
      <c r="G300" s="861"/>
      <c r="H300" s="861"/>
    </row>
    <row r="301" spans="2:8">
      <c r="B301" s="865"/>
      <c r="C301" s="861"/>
      <c r="D301" s="861"/>
      <c r="E301" s="861"/>
      <c r="F301" s="861"/>
      <c r="G301" s="861"/>
      <c r="H301" s="861"/>
    </row>
    <row r="302" spans="2:8">
      <c r="B302" s="865"/>
      <c r="C302" s="861"/>
      <c r="D302" s="861"/>
      <c r="E302" s="861"/>
      <c r="F302" s="861"/>
      <c r="G302" s="861"/>
      <c r="H302" s="861"/>
    </row>
    <row r="303" spans="2:8">
      <c r="B303" s="865"/>
      <c r="C303" s="861"/>
      <c r="D303" s="861"/>
      <c r="E303" s="861"/>
      <c r="F303" s="861"/>
      <c r="G303" s="861"/>
      <c r="H303" s="861"/>
    </row>
    <row r="304" spans="2:8">
      <c r="B304" s="865"/>
      <c r="C304" s="861"/>
      <c r="D304" s="861"/>
      <c r="E304" s="861"/>
      <c r="F304" s="861"/>
      <c r="G304" s="861"/>
      <c r="H304" s="861"/>
    </row>
    <row r="305" spans="2:8">
      <c r="B305" s="865"/>
      <c r="C305" s="861"/>
      <c r="D305" s="861"/>
      <c r="E305" s="861"/>
      <c r="F305" s="861"/>
      <c r="G305" s="861"/>
      <c r="H305" s="861"/>
    </row>
    <row r="306" spans="2:8">
      <c r="B306" s="865"/>
      <c r="C306" s="861"/>
      <c r="D306" s="861"/>
      <c r="E306" s="861"/>
      <c r="F306" s="861"/>
      <c r="G306" s="861"/>
      <c r="H306" s="861"/>
    </row>
    <row r="307" spans="2:8">
      <c r="B307" s="865"/>
      <c r="C307" s="861"/>
      <c r="D307" s="861"/>
      <c r="E307" s="861"/>
      <c r="F307" s="861"/>
      <c r="G307" s="861"/>
      <c r="H307" s="861"/>
    </row>
    <row r="308" spans="2:8">
      <c r="B308" s="865"/>
      <c r="C308" s="861"/>
      <c r="D308" s="861"/>
      <c r="E308" s="861"/>
      <c r="F308" s="861"/>
      <c r="G308" s="861"/>
      <c r="H308" s="861"/>
    </row>
    <row r="309" spans="2:8">
      <c r="B309" s="865"/>
      <c r="C309" s="861"/>
      <c r="D309" s="861"/>
      <c r="E309" s="861"/>
      <c r="F309" s="861"/>
      <c r="G309" s="861"/>
      <c r="H309" s="861"/>
    </row>
    <row r="310" spans="2:8">
      <c r="B310" s="865"/>
      <c r="C310" s="861"/>
      <c r="D310" s="861"/>
      <c r="E310" s="861"/>
      <c r="F310" s="861"/>
      <c r="G310" s="861"/>
      <c r="H310" s="861"/>
    </row>
    <row r="311" spans="2:8">
      <c r="B311" s="865"/>
      <c r="C311" s="861"/>
      <c r="D311" s="861"/>
      <c r="E311" s="861"/>
      <c r="F311" s="861"/>
      <c r="G311" s="861"/>
      <c r="H311" s="861"/>
    </row>
    <row r="312" spans="2:8">
      <c r="B312" s="865"/>
      <c r="C312" s="861"/>
      <c r="D312" s="861"/>
      <c r="E312" s="861"/>
      <c r="F312" s="861"/>
      <c r="G312" s="861"/>
      <c r="H312" s="861"/>
    </row>
    <row r="313" spans="2:8">
      <c r="B313" s="865"/>
      <c r="C313" s="861"/>
      <c r="D313" s="861"/>
      <c r="E313" s="861"/>
      <c r="F313" s="861"/>
      <c r="G313" s="861"/>
      <c r="H313" s="861"/>
    </row>
    <row r="314" spans="2:8">
      <c r="B314" s="865"/>
      <c r="C314" s="861"/>
      <c r="D314" s="861"/>
      <c r="E314" s="861"/>
      <c r="F314" s="861"/>
      <c r="G314" s="861"/>
      <c r="H314" s="861"/>
    </row>
    <row r="315" spans="2:8">
      <c r="B315" s="865"/>
      <c r="C315" s="861"/>
      <c r="D315" s="861"/>
      <c r="E315" s="861"/>
      <c r="F315" s="861"/>
      <c r="G315" s="861"/>
      <c r="H315" s="861"/>
    </row>
    <row r="316" spans="2:8">
      <c r="B316" s="865"/>
      <c r="C316" s="861"/>
      <c r="D316" s="861"/>
      <c r="E316" s="861"/>
      <c r="F316" s="861"/>
      <c r="G316" s="861"/>
      <c r="H316" s="861"/>
    </row>
    <row r="317" spans="2:8">
      <c r="B317" s="865"/>
      <c r="C317" s="861"/>
      <c r="D317" s="861"/>
      <c r="E317" s="861"/>
      <c r="F317" s="861"/>
      <c r="G317" s="861"/>
      <c r="H317" s="861"/>
    </row>
    <row r="318" spans="2:8">
      <c r="B318" s="865"/>
      <c r="C318" s="861"/>
      <c r="D318" s="861"/>
      <c r="E318" s="861"/>
      <c r="F318" s="861"/>
      <c r="G318" s="861"/>
      <c r="H318" s="861"/>
    </row>
    <row r="319" spans="2:8">
      <c r="B319" s="865"/>
      <c r="C319" s="861"/>
      <c r="D319" s="861"/>
      <c r="E319" s="861"/>
      <c r="F319" s="861"/>
      <c r="G319" s="861"/>
      <c r="H319" s="861"/>
    </row>
    <row r="320" spans="2:8">
      <c r="B320" s="865"/>
      <c r="C320" s="861"/>
      <c r="D320" s="861"/>
      <c r="E320" s="861"/>
      <c r="F320" s="861"/>
      <c r="G320" s="861"/>
      <c r="H320" s="861"/>
    </row>
    <row r="321" spans="2:8">
      <c r="B321" s="865"/>
      <c r="C321" s="861"/>
      <c r="D321" s="861"/>
      <c r="E321" s="861"/>
      <c r="F321" s="861"/>
      <c r="G321" s="861"/>
      <c r="H321" s="861"/>
    </row>
    <row r="322" spans="2:8">
      <c r="B322" s="865"/>
      <c r="C322" s="861"/>
      <c r="D322" s="861"/>
      <c r="E322" s="861"/>
      <c r="F322" s="861"/>
      <c r="G322" s="861"/>
      <c r="H322" s="861"/>
    </row>
    <row r="323" spans="2:8">
      <c r="B323" s="865"/>
      <c r="C323" s="861"/>
      <c r="D323" s="861"/>
      <c r="E323" s="861"/>
      <c r="F323" s="861"/>
      <c r="G323" s="861"/>
      <c r="H323" s="861"/>
    </row>
    <row r="324" spans="2:8">
      <c r="B324" s="865"/>
      <c r="C324" s="861"/>
      <c r="D324" s="861"/>
      <c r="E324" s="861"/>
      <c r="F324" s="861"/>
      <c r="G324" s="861"/>
      <c r="H324" s="861"/>
    </row>
    <row r="325" spans="2:8">
      <c r="B325" s="865"/>
      <c r="C325" s="861"/>
      <c r="D325" s="861"/>
      <c r="E325" s="861"/>
      <c r="F325" s="861"/>
      <c r="G325" s="861"/>
      <c r="H325" s="861"/>
    </row>
    <row r="326" spans="2:8">
      <c r="B326" s="865"/>
      <c r="C326" s="861"/>
      <c r="D326" s="861"/>
      <c r="E326" s="861"/>
      <c r="F326" s="861"/>
      <c r="G326" s="861"/>
      <c r="H326" s="861"/>
    </row>
    <row r="327" spans="2:8">
      <c r="B327" s="865"/>
      <c r="C327" s="861"/>
      <c r="D327" s="861"/>
      <c r="E327" s="861"/>
      <c r="F327" s="861"/>
      <c r="G327" s="861"/>
      <c r="H327" s="861"/>
    </row>
    <row r="328" spans="2:8">
      <c r="B328" s="865"/>
      <c r="C328" s="861"/>
      <c r="D328" s="861"/>
      <c r="E328" s="861"/>
      <c r="F328" s="861"/>
      <c r="G328" s="861"/>
      <c r="H328" s="861"/>
    </row>
    <row r="329" spans="2:8">
      <c r="B329" s="865"/>
      <c r="C329" s="861"/>
      <c r="D329" s="861"/>
      <c r="E329" s="861"/>
      <c r="F329" s="861"/>
      <c r="G329" s="861"/>
      <c r="H329" s="861"/>
    </row>
    <row r="330" spans="2:8">
      <c r="B330" s="865"/>
      <c r="C330" s="861"/>
      <c r="D330" s="861"/>
      <c r="E330" s="861"/>
      <c r="F330" s="861"/>
      <c r="G330" s="861"/>
      <c r="H330" s="861"/>
    </row>
    <row r="331" spans="2:8">
      <c r="B331" s="865"/>
      <c r="C331" s="861"/>
      <c r="D331" s="861"/>
      <c r="E331" s="861"/>
      <c r="F331" s="861"/>
      <c r="G331" s="861"/>
      <c r="H331" s="861"/>
    </row>
    <row r="332" spans="2:8">
      <c r="B332" s="865"/>
      <c r="C332" s="861"/>
      <c r="D332" s="861"/>
      <c r="E332" s="861"/>
      <c r="F332" s="861"/>
      <c r="G332" s="861"/>
      <c r="H332" s="861"/>
    </row>
    <row r="333" spans="2:8">
      <c r="B333" s="865"/>
      <c r="C333" s="861"/>
      <c r="D333" s="861"/>
      <c r="E333" s="861"/>
      <c r="F333" s="861"/>
      <c r="G333" s="861"/>
      <c r="H333" s="861"/>
    </row>
    <row r="334" spans="2:8">
      <c r="B334" s="865"/>
      <c r="C334" s="861"/>
      <c r="D334" s="861"/>
      <c r="E334" s="861"/>
      <c r="F334" s="861"/>
      <c r="G334" s="861"/>
      <c r="H334" s="861"/>
    </row>
    <row r="335" spans="2:8">
      <c r="B335" s="865"/>
      <c r="C335" s="861"/>
      <c r="D335" s="861"/>
      <c r="E335" s="861"/>
      <c r="F335" s="861"/>
      <c r="G335" s="861"/>
      <c r="H335" s="861"/>
    </row>
    <row r="336" spans="2:8">
      <c r="B336" s="865"/>
      <c r="C336" s="861"/>
      <c r="D336" s="861"/>
      <c r="E336" s="861"/>
      <c r="F336" s="861"/>
      <c r="G336" s="861"/>
      <c r="H336" s="861"/>
    </row>
    <row r="337" spans="2:8">
      <c r="B337" s="865"/>
      <c r="C337" s="861"/>
      <c r="D337" s="861"/>
      <c r="E337" s="861"/>
      <c r="F337" s="861"/>
      <c r="G337" s="861"/>
      <c r="H337" s="861"/>
    </row>
    <row r="338" spans="2:8">
      <c r="B338" s="865"/>
      <c r="C338" s="861"/>
      <c r="D338" s="861"/>
      <c r="E338" s="861"/>
      <c r="F338" s="861"/>
      <c r="G338" s="861"/>
      <c r="H338" s="861"/>
    </row>
    <row r="339" spans="2:8">
      <c r="B339" s="865"/>
      <c r="C339" s="861"/>
      <c r="D339" s="861"/>
      <c r="E339" s="861"/>
      <c r="F339" s="861"/>
      <c r="G339" s="861"/>
      <c r="H339" s="861"/>
    </row>
    <row r="340" spans="2:8">
      <c r="B340" s="865"/>
      <c r="C340" s="861"/>
      <c r="D340" s="861"/>
      <c r="E340" s="861"/>
      <c r="F340" s="861"/>
      <c r="G340" s="861"/>
      <c r="H340" s="861"/>
    </row>
    <row r="341" spans="2:8">
      <c r="B341" s="865"/>
      <c r="C341" s="861"/>
      <c r="D341" s="861"/>
      <c r="E341" s="861"/>
      <c r="F341" s="861"/>
      <c r="G341" s="861"/>
      <c r="H341" s="861"/>
    </row>
    <row r="342" spans="2:8">
      <c r="B342" s="865"/>
      <c r="C342" s="861"/>
      <c r="D342" s="861"/>
      <c r="E342" s="861"/>
      <c r="F342" s="861"/>
      <c r="G342" s="861"/>
      <c r="H342" s="861"/>
    </row>
    <row r="343" spans="2:8">
      <c r="B343" s="865"/>
      <c r="C343" s="861"/>
      <c r="D343" s="861"/>
      <c r="E343" s="861"/>
      <c r="F343" s="861"/>
      <c r="G343" s="861"/>
      <c r="H343" s="861"/>
    </row>
    <row r="344" spans="2:8">
      <c r="B344" s="865"/>
      <c r="C344" s="861"/>
      <c r="D344" s="861"/>
      <c r="E344" s="861"/>
      <c r="F344" s="861"/>
      <c r="G344" s="861"/>
      <c r="H344" s="861"/>
    </row>
    <row r="345" spans="2:8">
      <c r="B345" s="865"/>
      <c r="C345" s="861"/>
      <c r="D345" s="861"/>
      <c r="E345" s="861"/>
      <c r="F345" s="861"/>
      <c r="G345" s="861"/>
      <c r="H345" s="861"/>
    </row>
    <row r="346" spans="2:8">
      <c r="B346" s="865"/>
      <c r="C346" s="861"/>
      <c r="D346" s="861"/>
      <c r="E346" s="861"/>
      <c r="F346" s="861"/>
      <c r="G346" s="861"/>
      <c r="H346" s="861"/>
    </row>
    <row r="347" spans="2:8">
      <c r="B347" s="865"/>
      <c r="C347" s="861"/>
      <c r="D347" s="861"/>
      <c r="E347" s="861"/>
      <c r="F347" s="861"/>
      <c r="G347" s="861"/>
      <c r="H347" s="861"/>
    </row>
    <row r="348" spans="2:8">
      <c r="B348" s="865"/>
      <c r="C348" s="861"/>
      <c r="D348" s="861"/>
      <c r="E348" s="861"/>
      <c r="F348" s="861"/>
      <c r="G348" s="861"/>
      <c r="H348" s="861"/>
    </row>
    <row r="349" spans="2:8">
      <c r="B349" s="865"/>
      <c r="C349" s="861"/>
      <c r="D349" s="861"/>
      <c r="E349" s="861"/>
      <c r="F349" s="861"/>
      <c r="G349" s="861"/>
      <c r="H349" s="861"/>
    </row>
    <row r="350" spans="2:8">
      <c r="B350" s="865"/>
      <c r="C350" s="861"/>
      <c r="D350" s="861"/>
      <c r="E350" s="861"/>
      <c r="F350" s="861"/>
      <c r="G350" s="861"/>
      <c r="H350" s="861"/>
    </row>
    <row r="351" spans="2:8">
      <c r="B351" s="865"/>
      <c r="C351" s="861"/>
      <c r="D351" s="861"/>
      <c r="E351" s="861"/>
      <c r="F351" s="861"/>
      <c r="G351" s="861"/>
      <c r="H351" s="861"/>
    </row>
    <row r="352" spans="2:8">
      <c r="B352" s="865"/>
      <c r="C352" s="861"/>
      <c r="D352" s="861"/>
      <c r="E352" s="861"/>
      <c r="F352" s="861"/>
      <c r="G352" s="861"/>
      <c r="H352" s="861"/>
    </row>
    <row r="353" spans="2:8">
      <c r="B353" s="865"/>
      <c r="C353" s="861"/>
      <c r="D353" s="861"/>
      <c r="E353" s="861"/>
      <c r="F353" s="861"/>
      <c r="G353" s="861"/>
      <c r="H353" s="861"/>
    </row>
    <row r="354" spans="2:8">
      <c r="B354" s="865"/>
      <c r="C354" s="861"/>
      <c r="D354" s="861"/>
      <c r="E354" s="861"/>
      <c r="F354" s="861"/>
      <c r="G354" s="861"/>
      <c r="H354" s="861"/>
    </row>
    <row r="355" spans="2:8">
      <c r="B355" s="865"/>
      <c r="C355" s="861"/>
      <c r="D355" s="861"/>
      <c r="E355" s="861"/>
      <c r="F355" s="861"/>
      <c r="G355" s="861"/>
      <c r="H355" s="861"/>
    </row>
    <row r="356" spans="2:8">
      <c r="B356" s="865"/>
      <c r="C356" s="861"/>
      <c r="D356" s="861"/>
      <c r="E356" s="861"/>
      <c r="F356" s="861"/>
      <c r="G356" s="861"/>
      <c r="H356" s="861"/>
    </row>
    <row r="357" spans="2:8">
      <c r="B357" s="865"/>
      <c r="C357" s="861"/>
      <c r="D357" s="861"/>
      <c r="E357" s="861"/>
      <c r="F357" s="861"/>
      <c r="G357" s="861"/>
      <c r="H357" s="861"/>
    </row>
    <row r="358" spans="2:8">
      <c r="B358" s="865"/>
      <c r="C358" s="861"/>
      <c r="D358" s="861"/>
      <c r="E358" s="861"/>
      <c r="F358" s="861"/>
      <c r="G358" s="861"/>
      <c r="H358" s="861"/>
    </row>
    <row r="359" spans="2:8">
      <c r="B359" s="865"/>
      <c r="C359" s="861"/>
      <c r="D359" s="861"/>
      <c r="E359" s="861"/>
      <c r="F359" s="861"/>
      <c r="G359" s="861"/>
      <c r="H359" s="861"/>
    </row>
    <row r="360" spans="2:8">
      <c r="B360" s="865"/>
      <c r="C360" s="861"/>
      <c r="D360" s="861"/>
      <c r="E360" s="861"/>
      <c r="F360" s="861"/>
      <c r="G360" s="861"/>
      <c r="H360" s="861"/>
    </row>
    <row r="361" spans="2:8">
      <c r="B361" s="865"/>
      <c r="C361" s="861"/>
      <c r="D361" s="861"/>
      <c r="E361" s="861"/>
      <c r="F361" s="861"/>
      <c r="G361" s="861"/>
      <c r="H361" s="861"/>
    </row>
    <row r="362" spans="2:8">
      <c r="B362" s="865"/>
      <c r="C362" s="861"/>
      <c r="D362" s="861"/>
      <c r="E362" s="861"/>
      <c r="F362" s="861"/>
      <c r="G362" s="861"/>
      <c r="H362" s="861"/>
    </row>
    <row r="363" spans="2:8">
      <c r="B363" s="865"/>
      <c r="C363" s="861"/>
      <c r="D363" s="861"/>
      <c r="E363" s="861"/>
      <c r="F363" s="861"/>
      <c r="G363" s="861"/>
      <c r="H363" s="861"/>
    </row>
    <row r="364" spans="2:8">
      <c r="B364" s="865"/>
      <c r="C364" s="861"/>
      <c r="D364" s="861"/>
      <c r="E364" s="861"/>
      <c r="F364" s="861"/>
      <c r="G364" s="861"/>
      <c r="H364" s="861"/>
    </row>
    <row r="365" spans="2:8">
      <c r="B365" s="865"/>
      <c r="C365" s="861"/>
      <c r="D365" s="861"/>
      <c r="E365" s="861"/>
      <c r="F365" s="861"/>
      <c r="G365" s="861"/>
      <c r="H365" s="861"/>
    </row>
    <row r="366" spans="2:8">
      <c r="B366" s="865"/>
      <c r="C366" s="861"/>
      <c r="D366" s="861"/>
      <c r="E366" s="861"/>
      <c r="F366" s="861"/>
      <c r="G366" s="861"/>
      <c r="H366" s="861"/>
    </row>
    <row r="367" spans="2:8">
      <c r="B367" s="865"/>
      <c r="C367" s="861"/>
      <c r="D367" s="861"/>
      <c r="E367" s="861"/>
      <c r="F367" s="861"/>
      <c r="G367" s="861"/>
      <c r="H367" s="861"/>
    </row>
    <row r="368" spans="2:8">
      <c r="B368" s="865"/>
      <c r="C368" s="861"/>
      <c r="D368" s="861"/>
      <c r="E368" s="861"/>
      <c r="F368" s="861"/>
      <c r="G368" s="861"/>
      <c r="H368" s="861"/>
    </row>
    <row r="369" spans="2:8">
      <c r="B369" s="865"/>
      <c r="C369" s="861"/>
      <c r="D369" s="861"/>
      <c r="E369" s="861"/>
      <c r="F369" s="861"/>
      <c r="G369" s="861"/>
      <c r="H369" s="861"/>
    </row>
    <row r="370" spans="2:8">
      <c r="B370" s="865"/>
      <c r="C370" s="861"/>
      <c r="D370" s="861"/>
      <c r="E370" s="861"/>
      <c r="F370" s="861"/>
      <c r="G370" s="861"/>
      <c r="H370" s="861"/>
    </row>
    <row r="371" spans="2:8">
      <c r="B371" s="865"/>
      <c r="C371" s="861"/>
      <c r="D371" s="861"/>
      <c r="E371" s="861"/>
      <c r="F371" s="861"/>
      <c r="G371" s="861"/>
      <c r="H371" s="861"/>
    </row>
    <row r="372" spans="2:8">
      <c r="B372" s="865"/>
      <c r="C372" s="861"/>
      <c r="D372" s="861"/>
      <c r="E372" s="861"/>
      <c r="F372" s="861"/>
      <c r="G372" s="861"/>
      <c r="H372" s="861"/>
    </row>
    <row r="373" spans="2:8">
      <c r="B373" s="865"/>
      <c r="C373" s="861"/>
      <c r="D373" s="861"/>
      <c r="E373" s="861"/>
      <c r="F373" s="861"/>
      <c r="G373" s="861"/>
      <c r="H373" s="861"/>
    </row>
    <row r="374" spans="2:8">
      <c r="B374" s="865"/>
      <c r="C374" s="861"/>
      <c r="D374" s="861"/>
      <c r="E374" s="861"/>
      <c r="F374" s="861"/>
      <c r="G374" s="861"/>
      <c r="H374" s="861"/>
    </row>
    <row r="375" spans="2:8">
      <c r="B375" s="865"/>
      <c r="C375" s="861"/>
      <c r="D375" s="861"/>
      <c r="E375" s="861"/>
      <c r="F375" s="861"/>
      <c r="G375" s="861"/>
      <c r="H375" s="861"/>
    </row>
    <row r="376" spans="2:8">
      <c r="B376" s="865"/>
      <c r="C376" s="861"/>
      <c r="D376" s="861"/>
      <c r="E376" s="861"/>
      <c r="F376" s="861"/>
      <c r="G376" s="861"/>
      <c r="H376" s="861"/>
    </row>
    <row r="377" spans="2:8">
      <c r="B377" s="865"/>
      <c r="C377" s="861"/>
      <c r="D377" s="861"/>
      <c r="E377" s="861"/>
      <c r="F377" s="861"/>
      <c r="G377" s="861"/>
      <c r="H377" s="861"/>
    </row>
    <row r="378" spans="2:8">
      <c r="B378" s="865"/>
      <c r="C378" s="861"/>
      <c r="D378" s="861"/>
      <c r="E378" s="861"/>
      <c r="F378" s="861"/>
      <c r="G378" s="861"/>
      <c r="H378" s="861"/>
    </row>
    <row r="379" spans="2:8">
      <c r="B379" s="865"/>
      <c r="C379" s="861"/>
      <c r="D379" s="861"/>
      <c r="E379" s="861"/>
      <c r="F379" s="861"/>
      <c r="G379" s="861"/>
      <c r="H379" s="861"/>
    </row>
    <row r="380" spans="2:8">
      <c r="B380" s="865"/>
      <c r="C380" s="861"/>
      <c r="D380" s="861"/>
      <c r="E380" s="861"/>
      <c r="F380" s="861"/>
      <c r="G380" s="861"/>
      <c r="H380" s="861"/>
    </row>
    <row r="381" spans="2:8">
      <c r="B381" s="865"/>
      <c r="C381" s="861"/>
      <c r="D381" s="861"/>
      <c r="E381" s="861"/>
      <c r="F381" s="861"/>
      <c r="G381" s="861"/>
      <c r="H381" s="861"/>
    </row>
    <row r="382" spans="2:8">
      <c r="B382" s="865"/>
      <c r="C382" s="861"/>
      <c r="D382" s="861"/>
      <c r="E382" s="861"/>
      <c r="F382" s="861"/>
      <c r="G382" s="861"/>
      <c r="H382" s="861"/>
    </row>
    <row r="383" spans="2:8">
      <c r="B383" s="865"/>
      <c r="C383" s="861"/>
      <c r="D383" s="861"/>
      <c r="E383" s="861"/>
      <c r="F383" s="861"/>
      <c r="G383" s="861"/>
      <c r="H383" s="861"/>
    </row>
    <row r="384" spans="2:8">
      <c r="B384" s="865"/>
      <c r="C384" s="861"/>
      <c r="D384" s="861"/>
      <c r="E384" s="861"/>
      <c r="F384" s="861"/>
      <c r="G384" s="861"/>
      <c r="H384" s="861"/>
    </row>
    <row r="385" spans="2:8">
      <c r="B385" s="865"/>
      <c r="C385" s="861"/>
      <c r="D385" s="861"/>
      <c r="E385" s="861"/>
      <c r="F385" s="861"/>
      <c r="G385" s="861"/>
      <c r="H385" s="861"/>
    </row>
    <row r="386" spans="2:8">
      <c r="B386" s="865"/>
      <c r="C386" s="861"/>
      <c r="D386" s="861"/>
      <c r="E386" s="861"/>
      <c r="F386" s="861"/>
      <c r="G386" s="861"/>
      <c r="H386" s="861"/>
    </row>
    <row r="387" spans="2:8">
      <c r="B387" s="865"/>
      <c r="C387" s="861"/>
      <c r="D387" s="861"/>
      <c r="E387" s="861"/>
      <c r="F387" s="861"/>
      <c r="G387" s="861"/>
      <c r="H387" s="861"/>
    </row>
    <row r="388" spans="2:8">
      <c r="B388" s="865"/>
      <c r="C388" s="861"/>
      <c r="D388" s="861"/>
      <c r="E388" s="861"/>
      <c r="F388" s="861"/>
      <c r="G388" s="861"/>
      <c r="H388" s="861"/>
    </row>
    <row r="389" spans="2:8">
      <c r="B389" s="865"/>
      <c r="C389" s="861"/>
      <c r="D389" s="861"/>
      <c r="E389" s="861"/>
      <c r="F389" s="861"/>
      <c r="G389" s="861"/>
      <c r="H389" s="861"/>
    </row>
    <row r="390" spans="2:8">
      <c r="B390" s="865"/>
      <c r="C390" s="861"/>
      <c r="D390" s="861"/>
      <c r="E390" s="861"/>
      <c r="F390" s="861"/>
      <c r="G390" s="861"/>
      <c r="H390" s="861"/>
    </row>
    <row r="391" spans="2:8">
      <c r="B391" s="865"/>
      <c r="C391" s="861"/>
      <c r="D391" s="861"/>
      <c r="E391" s="861"/>
      <c r="F391" s="861"/>
      <c r="G391" s="861"/>
      <c r="H391" s="861"/>
    </row>
    <row r="392" spans="2:8">
      <c r="B392" s="865"/>
      <c r="C392" s="861"/>
      <c r="D392" s="861"/>
      <c r="E392" s="861"/>
      <c r="F392" s="861"/>
      <c r="G392" s="861"/>
      <c r="H392" s="861"/>
    </row>
    <row r="393" spans="2:8">
      <c r="B393" s="865"/>
      <c r="C393" s="861"/>
      <c r="D393" s="861"/>
      <c r="E393" s="861"/>
      <c r="F393" s="861"/>
      <c r="G393" s="861"/>
      <c r="H393" s="861"/>
    </row>
    <row r="394" spans="2:8">
      <c r="B394" s="865"/>
      <c r="C394" s="861"/>
      <c r="D394" s="861"/>
      <c r="E394" s="861"/>
      <c r="F394" s="861"/>
      <c r="G394" s="861"/>
      <c r="H394" s="861"/>
    </row>
    <row r="395" spans="2:8">
      <c r="B395" s="865"/>
      <c r="C395" s="861"/>
      <c r="D395" s="861"/>
      <c r="E395" s="861"/>
      <c r="F395" s="861"/>
      <c r="G395" s="861"/>
      <c r="H395" s="861"/>
    </row>
    <row r="396" spans="2:8">
      <c r="B396" s="865"/>
      <c r="C396" s="861"/>
      <c r="D396" s="861"/>
      <c r="E396" s="861"/>
      <c r="F396" s="861"/>
      <c r="G396" s="861"/>
      <c r="H396" s="861"/>
    </row>
    <row r="397" spans="2:8">
      <c r="B397" s="865"/>
      <c r="C397" s="861"/>
      <c r="D397" s="861"/>
      <c r="E397" s="861"/>
      <c r="F397" s="861"/>
      <c r="G397" s="861"/>
      <c r="H397" s="861"/>
    </row>
    <row r="398" spans="2:8">
      <c r="B398" s="865"/>
      <c r="C398" s="861"/>
      <c r="D398" s="861"/>
      <c r="E398" s="861"/>
      <c r="F398" s="861"/>
      <c r="G398" s="861"/>
      <c r="H398" s="861"/>
    </row>
    <row r="399" spans="2:8">
      <c r="B399" s="865"/>
      <c r="C399" s="861"/>
      <c r="D399" s="861"/>
      <c r="E399" s="861"/>
      <c r="F399" s="861"/>
      <c r="G399" s="861"/>
      <c r="H399" s="861"/>
    </row>
    <row r="400" spans="2:8">
      <c r="B400" s="865"/>
      <c r="C400" s="861"/>
      <c r="D400" s="861"/>
      <c r="E400" s="861"/>
      <c r="F400" s="861"/>
      <c r="G400" s="861"/>
      <c r="H400" s="861"/>
    </row>
    <row r="401" spans="2:8">
      <c r="B401" s="865"/>
      <c r="C401" s="861"/>
      <c r="D401" s="861"/>
      <c r="E401" s="861"/>
      <c r="F401" s="861"/>
      <c r="G401" s="861"/>
      <c r="H401" s="861"/>
    </row>
    <row r="402" spans="2:8">
      <c r="B402" s="865"/>
      <c r="C402" s="861"/>
      <c r="D402" s="861"/>
      <c r="E402" s="861"/>
      <c r="F402" s="861"/>
      <c r="G402" s="861"/>
      <c r="H402" s="861"/>
    </row>
    <row r="403" spans="2:8">
      <c r="B403" s="865"/>
      <c r="C403" s="861"/>
      <c r="D403" s="861"/>
      <c r="E403" s="861"/>
      <c r="F403" s="861"/>
      <c r="G403" s="861"/>
      <c r="H403" s="861"/>
    </row>
    <row r="404" spans="2:8">
      <c r="B404" s="865"/>
      <c r="C404" s="861"/>
      <c r="D404" s="861"/>
      <c r="E404" s="861"/>
      <c r="F404" s="861"/>
      <c r="G404" s="861"/>
      <c r="H404" s="861"/>
    </row>
    <row r="405" spans="2:8">
      <c r="B405" s="865"/>
      <c r="C405" s="861"/>
      <c r="D405" s="861"/>
      <c r="E405" s="861"/>
      <c r="F405" s="861"/>
      <c r="G405" s="861"/>
      <c r="H405" s="861"/>
    </row>
    <row r="406" spans="2:8">
      <c r="B406" s="865"/>
      <c r="C406" s="861"/>
      <c r="D406" s="861"/>
      <c r="E406" s="861"/>
      <c r="F406" s="861"/>
      <c r="G406" s="861"/>
      <c r="H406" s="861"/>
    </row>
    <row r="407" spans="2:8">
      <c r="B407" s="865"/>
      <c r="C407" s="861"/>
      <c r="D407" s="861"/>
      <c r="E407" s="861"/>
      <c r="F407" s="861"/>
      <c r="G407" s="861"/>
      <c r="H407" s="861"/>
    </row>
    <row r="408" spans="2:8">
      <c r="B408" s="865"/>
      <c r="C408" s="861"/>
      <c r="D408" s="861"/>
      <c r="E408" s="861"/>
      <c r="F408" s="861"/>
      <c r="G408" s="861"/>
      <c r="H408" s="861"/>
    </row>
    <row r="409" spans="2:8">
      <c r="B409" s="865"/>
      <c r="C409" s="861"/>
      <c r="D409" s="861"/>
      <c r="E409" s="861"/>
      <c r="F409" s="861"/>
      <c r="G409" s="861"/>
      <c r="H409" s="861"/>
    </row>
    <row r="410" spans="2:8">
      <c r="B410" s="865"/>
      <c r="C410" s="861"/>
      <c r="D410" s="861"/>
      <c r="E410" s="861"/>
      <c r="F410" s="861"/>
      <c r="G410" s="861"/>
      <c r="H410" s="861"/>
    </row>
    <row r="411" spans="2:8">
      <c r="B411" s="865"/>
      <c r="C411" s="861"/>
      <c r="D411" s="861"/>
      <c r="E411" s="861"/>
      <c r="F411" s="861"/>
      <c r="G411" s="861"/>
      <c r="H411" s="861"/>
    </row>
    <row r="412" spans="2:8">
      <c r="B412" s="865"/>
      <c r="C412" s="861"/>
      <c r="D412" s="861"/>
      <c r="E412" s="861"/>
      <c r="F412" s="861"/>
      <c r="G412" s="861"/>
      <c r="H412" s="861"/>
    </row>
    <row r="413" spans="2:8">
      <c r="B413" s="865"/>
      <c r="C413" s="861"/>
      <c r="D413" s="861"/>
      <c r="E413" s="861"/>
      <c r="F413" s="861"/>
      <c r="G413" s="861"/>
      <c r="H413" s="861"/>
    </row>
    <row r="414" spans="2:8">
      <c r="B414" s="865"/>
      <c r="C414" s="861"/>
      <c r="D414" s="861"/>
      <c r="E414" s="861"/>
      <c r="F414" s="861"/>
      <c r="G414" s="861"/>
      <c r="H414" s="861"/>
    </row>
    <row r="415" spans="2:8">
      <c r="B415" s="865"/>
      <c r="C415" s="861"/>
      <c r="D415" s="861"/>
      <c r="E415" s="861"/>
      <c r="F415" s="861"/>
      <c r="G415" s="861"/>
      <c r="H415" s="861"/>
    </row>
    <row r="416" spans="2:8">
      <c r="B416" s="865"/>
      <c r="C416" s="861"/>
      <c r="D416" s="861"/>
      <c r="E416" s="861"/>
      <c r="F416" s="861"/>
      <c r="G416" s="861"/>
      <c r="H416" s="861"/>
    </row>
    <row r="417" spans="2:8">
      <c r="B417" s="865"/>
      <c r="C417" s="861"/>
      <c r="D417" s="861"/>
      <c r="E417" s="861"/>
      <c r="F417" s="861"/>
      <c r="G417" s="861"/>
      <c r="H417" s="861"/>
    </row>
    <row r="418" spans="2:8">
      <c r="B418" s="865"/>
      <c r="C418" s="861"/>
      <c r="D418" s="861"/>
      <c r="E418" s="861"/>
      <c r="F418" s="861"/>
      <c r="G418" s="861"/>
      <c r="H418" s="861"/>
    </row>
    <row r="419" spans="2:8">
      <c r="B419" s="865"/>
      <c r="C419" s="861"/>
      <c r="D419" s="861"/>
      <c r="E419" s="861"/>
      <c r="F419" s="861"/>
      <c r="G419" s="861"/>
      <c r="H419" s="861"/>
    </row>
    <row r="420" spans="2:8">
      <c r="B420" s="865"/>
      <c r="C420" s="861"/>
      <c r="D420" s="861"/>
      <c r="E420" s="861"/>
      <c r="F420" s="861"/>
      <c r="G420" s="861"/>
      <c r="H420" s="861"/>
    </row>
    <row r="421" spans="2:8">
      <c r="B421" s="865"/>
      <c r="C421" s="861"/>
      <c r="D421" s="861"/>
      <c r="E421" s="861"/>
      <c r="F421" s="861"/>
      <c r="G421" s="861"/>
      <c r="H421" s="861"/>
    </row>
    <row r="422" spans="2:8">
      <c r="B422" s="865"/>
      <c r="C422" s="861"/>
      <c r="D422" s="861"/>
      <c r="E422" s="861"/>
      <c r="F422" s="861"/>
      <c r="G422" s="861"/>
      <c r="H422" s="861"/>
    </row>
    <row r="423" spans="2:8">
      <c r="B423" s="865"/>
      <c r="C423" s="861"/>
      <c r="D423" s="861"/>
      <c r="E423" s="861"/>
      <c r="F423" s="861"/>
      <c r="G423" s="861"/>
      <c r="H423" s="861"/>
    </row>
    <row r="424" spans="2:8">
      <c r="B424" s="865"/>
      <c r="C424" s="861"/>
      <c r="D424" s="861"/>
      <c r="E424" s="861"/>
      <c r="F424" s="861"/>
      <c r="G424" s="861"/>
      <c r="H424" s="861"/>
    </row>
    <row r="425" spans="2:8">
      <c r="B425" s="865"/>
      <c r="C425" s="861"/>
      <c r="D425" s="861"/>
      <c r="E425" s="861"/>
      <c r="F425" s="861"/>
      <c r="G425" s="861"/>
      <c r="H425" s="861"/>
    </row>
    <row r="426" spans="2:8">
      <c r="B426" s="865"/>
      <c r="C426" s="861"/>
      <c r="D426" s="861"/>
      <c r="E426" s="861"/>
      <c r="F426" s="861"/>
      <c r="G426" s="861"/>
      <c r="H426" s="861"/>
    </row>
    <row r="427" spans="2:8">
      <c r="B427" s="865"/>
      <c r="C427" s="861"/>
      <c r="D427" s="861"/>
      <c r="E427" s="861"/>
      <c r="F427" s="861"/>
      <c r="G427" s="861"/>
      <c r="H427" s="861"/>
    </row>
    <row r="428" spans="2:8">
      <c r="B428" s="865"/>
      <c r="C428" s="861"/>
      <c r="D428" s="861"/>
      <c r="E428" s="861"/>
      <c r="F428" s="861"/>
      <c r="G428" s="861"/>
      <c r="H428" s="861"/>
    </row>
    <row r="429" spans="2:8">
      <c r="B429" s="865"/>
      <c r="C429" s="861"/>
      <c r="D429" s="861"/>
      <c r="E429" s="861"/>
      <c r="F429" s="861"/>
      <c r="G429" s="861"/>
      <c r="H429" s="861"/>
    </row>
    <row r="430" spans="2:8">
      <c r="B430" s="865"/>
      <c r="C430" s="861"/>
      <c r="D430" s="861"/>
      <c r="E430" s="861"/>
      <c r="F430" s="861"/>
      <c r="G430" s="861"/>
      <c r="H430" s="861"/>
    </row>
    <row r="431" spans="2:8">
      <c r="B431" s="865"/>
      <c r="C431" s="861"/>
      <c r="D431" s="861"/>
      <c r="E431" s="861"/>
      <c r="F431" s="861"/>
      <c r="G431" s="861"/>
      <c r="H431" s="861"/>
    </row>
    <row r="432" spans="2:8">
      <c r="B432" s="865"/>
      <c r="C432" s="861"/>
      <c r="D432" s="861"/>
      <c r="E432" s="861"/>
      <c r="F432" s="861"/>
      <c r="G432" s="861"/>
      <c r="H432" s="861"/>
    </row>
    <row r="433" spans="2:8">
      <c r="B433" s="865"/>
      <c r="C433" s="861"/>
      <c r="D433" s="861"/>
      <c r="E433" s="861"/>
      <c r="F433" s="861"/>
      <c r="G433" s="861"/>
      <c r="H433" s="861"/>
    </row>
    <row r="434" spans="2:8">
      <c r="B434" s="865"/>
      <c r="C434" s="861"/>
      <c r="D434" s="861"/>
      <c r="E434" s="861"/>
      <c r="F434" s="861"/>
      <c r="G434" s="861"/>
      <c r="H434" s="861"/>
    </row>
    <row r="435" spans="2:8">
      <c r="B435" s="865"/>
      <c r="C435" s="861"/>
      <c r="D435" s="861"/>
      <c r="E435" s="861"/>
      <c r="F435" s="861"/>
      <c r="G435" s="861"/>
      <c r="H435" s="861"/>
    </row>
    <row r="436" spans="2:8">
      <c r="B436" s="865"/>
      <c r="C436" s="861"/>
      <c r="D436" s="861"/>
      <c r="E436" s="861"/>
      <c r="F436" s="861"/>
      <c r="G436" s="861"/>
      <c r="H436" s="861"/>
    </row>
    <row r="437" spans="2:8">
      <c r="B437" s="865"/>
      <c r="C437" s="861"/>
      <c r="D437" s="861"/>
      <c r="E437" s="861"/>
      <c r="F437" s="861"/>
      <c r="G437" s="861"/>
      <c r="H437" s="861"/>
    </row>
    <row r="438" spans="2:8">
      <c r="B438" s="865"/>
      <c r="C438" s="861"/>
      <c r="D438" s="861"/>
      <c r="E438" s="861"/>
      <c r="F438" s="861"/>
      <c r="G438" s="861"/>
      <c r="H438" s="861"/>
    </row>
    <row r="439" spans="2:8">
      <c r="B439" s="865"/>
      <c r="C439" s="861"/>
      <c r="D439" s="861"/>
      <c r="E439" s="861"/>
      <c r="F439" s="861"/>
      <c r="G439" s="861"/>
      <c r="H439" s="861"/>
    </row>
    <row r="440" spans="2:8">
      <c r="B440" s="865"/>
      <c r="C440" s="861"/>
      <c r="D440" s="861"/>
      <c r="E440" s="861"/>
      <c r="F440" s="861"/>
      <c r="G440" s="861"/>
      <c r="H440" s="861"/>
    </row>
    <row r="441" spans="2:8">
      <c r="B441" s="865"/>
      <c r="C441" s="861"/>
      <c r="D441" s="861"/>
      <c r="E441" s="861"/>
      <c r="F441" s="861"/>
      <c r="G441" s="861"/>
      <c r="H441" s="861"/>
    </row>
    <row r="442" spans="2:8">
      <c r="B442" s="865"/>
      <c r="C442" s="861"/>
      <c r="D442" s="861"/>
      <c r="E442" s="861"/>
      <c r="F442" s="861"/>
      <c r="G442" s="861"/>
      <c r="H442" s="861"/>
    </row>
    <row r="443" spans="2:8">
      <c r="B443" s="865"/>
      <c r="C443" s="861"/>
      <c r="D443" s="861"/>
      <c r="E443" s="861"/>
      <c r="F443" s="861"/>
      <c r="G443" s="861"/>
      <c r="H443" s="861"/>
    </row>
    <row r="444" spans="2:8">
      <c r="B444" s="865"/>
      <c r="C444" s="861"/>
      <c r="D444" s="861"/>
      <c r="E444" s="861"/>
      <c r="F444" s="861"/>
      <c r="G444" s="861"/>
      <c r="H444" s="861"/>
    </row>
    <row r="445" spans="2:8">
      <c r="B445" s="865"/>
      <c r="C445" s="861"/>
      <c r="D445" s="861"/>
      <c r="E445" s="861"/>
      <c r="F445" s="861"/>
      <c r="G445" s="861"/>
      <c r="H445" s="861"/>
    </row>
    <row r="446" spans="2:8">
      <c r="B446" s="865"/>
      <c r="C446" s="861"/>
      <c r="D446" s="861"/>
      <c r="E446" s="861"/>
      <c r="F446" s="861"/>
      <c r="G446" s="861"/>
      <c r="H446" s="861"/>
    </row>
    <row r="447" spans="2:8">
      <c r="B447" s="865"/>
      <c r="C447" s="861"/>
      <c r="D447" s="861"/>
      <c r="E447" s="861"/>
      <c r="F447" s="861"/>
      <c r="G447" s="861"/>
      <c r="H447" s="861"/>
    </row>
    <row r="448" spans="2:8">
      <c r="B448" s="865"/>
      <c r="C448" s="861"/>
      <c r="D448" s="861"/>
      <c r="E448" s="861"/>
      <c r="F448" s="861"/>
      <c r="G448" s="861"/>
      <c r="H448" s="861"/>
    </row>
    <row r="449" spans="2:8">
      <c r="B449" s="865"/>
      <c r="C449" s="861"/>
      <c r="D449" s="861"/>
      <c r="E449" s="861"/>
      <c r="F449" s="861"/>
      <c r="G449" s="861"/>
      <c r="H449" s="861"/>
    </row>
    <row r="450" spans="2:8">
      <c r="B450" s="865"/>
      <c r="C450" s="861"/>
      <c r="D450" s="861"/>
      <c r="E450" s="861"/>
      <c r="F450" s="861"/>
      <c r="G450" s="861"/>
      <c r="H450" s="861"/>
    </row>
    <row r="451" spans="2:8">
      <c r="B451" s="865"/>
      <c r="C451" s="861"/>
      <c r="D451" s="861"/>
      <c r="E451" s="861"/>
      <c r="F451" s="861"/>
      <c r="G451" s="861"/>
      <c r="H451" s="861"/>
    </row>
    <row r="452" spans="2:8">
      <c r="B452" s="865"/>
      <c r="C452" s="861"/>
      <c r="D452" s="861"/>
      <c r="E452" s="861"/>
      <c r="F452" s="861"/>
      <c r="G452" s="861"/>
      <c r="H452" s="861"/>
    </row>
    <row r="453" spans="2:8">
      <c r="B453" s="865"/>
      <c r="C453" s="861"/>
      <c r="D453" s="861"/>
      <c r="E453" s="861"/>
      <c r="F453" s="861"/>
      <c r="G453" s="861"/>
      <c r="H453" s="861"/>
    </row>
    <row r="454" spans="2:8">
      <c r="B454" s="865"/>
      <c r="C454" s="861"/>
      <c r="D454" s="861"/>
      <c r="E454" s="861"/>
      <c r="F454" s="861"/>
      <c r="G454" s="861"/>
      <c r="H454" s="861"/>
    </row>
    <row r="455" spans="2:8">
      <c r="B455" s="865"/>
      <c r="C455" s="861"/>
      <c r="D455" s="861"/>
      <c r="E455" s="861"/>
      <c r="F455" s="861"/>
      <c r="G455" s="861"/>
      <c r="H455" s="861"/>
    </row>
    <row r="456" spans="2:8">
      <c r="B456" s="865"/>
      <c r="C456" s="861"/>
      <c r="D456" s="861"/>
      <c r="E456" s="861"/>
      <c r="F456" s="861"/>
      <c r="G456" s="861"/>
      <c r="H456" s="861"/>
    </row>
    <row r="457" spans="2:8">
      <c r="B457" s="865"/>
      <c r="C457" s="861"/>
      <c r="D457" s="861"/>
      <c r="E457" s="861"/>
      <c r="F457" s="861"/>
      <c r="G457" s="861"/>
      <c r="H457" s="861"/>
    </row>
    <row r="458" spans="2:8">
      <c r="B458" s="865"/>
      <c r="C458" s="861"/>
      <c r="D458" s="861"/>
      <c r="E458" s="861"/>
      <c r="F458" s="861"/>
      <c r="G458" s="861"/>
      <c r="H458" s="861"/>
    </row>
    <row r="459" spans="2:8">
      <c r="B459" s="865"/>
      <c r="C459" s="861"/>
      <c r="D459" s="861"/>
      <c r="E459" s="861"/>
      <c r="F459" s="861"/>
      <c r="G459" s="861"/>
      <c r="H459" s="861"/>
    </row>
    <row r="460" spans="2:8">
      <c r="B460" s="865"/>
      <c r="C460" s="861"/>
      <c r="D460" s="861"/>
      <c r="E460" s="861"/>
      <c r="F460" s="861"/>
      <c r="G460" s="861"/>
      <c r="H460" s="861"/>
    </row>
    <row r="461" spans="2:8">
      <c r="B461" s="865"/>
      <c r="C461" s="861"/>
      <c r="D461" s="861"/>
      <c r="E461" s="861"/>
      <c r="F461" s="861"/>
      <c r="G461" s="861"/>
      <c r="H461" s="861"/>
    </row>
    <row r="462" spans="2:8">
      <c r="B462" s="865"/>
      <c r="C462" s="861"/>
      <c r="D462" s="861"/>
      <c r="E462" s="861"/>
      <c r="F462" s="861"/>
      <c r="G462" s="861"/>
      <c r="H462" s="861"/>
    </row>
    <row r="463" spans="2:8">
      <c r="B463" s="865"/>
      <c r="C463" s="861"/>
      <c r="D463" s="861"/>
      <c r="E463" s="861"/>
      <c r="F463" s="861"/>
      <c r="G463" s="861"/>
      <c r="H463" s="861"/>
    </row>
    <row r="464" spans="2:8">
      <c r="B464" s="865"/>
      <c r="C464" s="861"/>
      <c r="D464" s="861"/>
      <c r="E464" s="861"/>
      <c r="F464" s="861"/>
      <c r="G464" s="861"/>
      <c r="H464" s="861"/>
    </row>
    <row r="465" spans="2:8">
      <c r="B465" s="865"/>
      <c r="C465" s="861"/>
      <c r="D465" s="861"/>
      <c r="E465" s="861"/>
      <c r="F465" s="861"/>
      <c r="G465" s="861"/>
      <c r="H465" s="861"/>
    </row>
    <row r="466" spans="2:8">
      <c r="B466" s="865"/>
      <c r="C466" s="861"/>
      <c r="D466" s="861"/>
      <c r="E466" s="861"/>
      <c r="F466" s="861"/>
      <c r="G466" s="861"/>
      <c r="H466" s="861"/>
    </row>
    <row r="467" spans="2:8">
      <c r="B467" s="865"/>
      <c r="C467" s="861"/>
      <c r="D467" s="861"/>
      <c r="E467" s="861"/>
      <c r="F467" s="861"/>
      <c r="G467" s="861"/>
      <c r="H467" s="861"/>
    </row>
    <row r="468" spans="2:8">
      <c r="B468" s="865"/>
      <c r="C468" s="861"/>
      <c r="D468" s="861"/>
      <c r="E468" s="861"/>
      <c r="F468" s="861"/>
      <c r="G468" s="861"/>
      <c r="H468" s="861"/>
    </row>
    <row r="469" spans="2:8">
      <c r="B469" s="865"/>
      <c r="C469" s="861"/>
      <c r="D469" s="861"/>
      <c r="E469" s="861"/>
      <c r="F469" s="861"/>
      <c r="G469" s="861"/>
      <c r="H469" s="861"/>
    </row>
    <row r="470" spans="2:8">
      <c r="B470" s="865"/>
      <c r="C470" s="861"/>
      <c r="D470" s="861"/>
      <c r="E470" s="861"/>
      <c r="F470" s="861"/>
      <c r="G470" s="861"/>
      <c r="H470" s="861"/>
    </row>
    <row r="471" spans="2:8">
      <c r="B471" s="865"/>
      <c r="C471" s="861"/>
      <c r="D471" s="861"/>
      <c r="E471" s="861"/>
      <c r="F471" s="861"/>
      <c r="G471" s="861"/>
      <c r="H471" s="861"/>
    </row>
    <row r="472" spans="2:8">
      <c r="B472" s="865"/>
      <c r="C472" s="861"/>
      <c r="D472" s="861"/>
      <c r="E472" s="861"/>
      <c r="F472" s="861"/>
      <c r="G472" s="861"/>
      <c r="H472" s="861"/>
    </row>
    <row r="473" spans="2:8">
      <c r="B473" s="865"/>
      <c r="C473" s="861"/>
      <c r="D473" s="861"/>
      <c r="E473" s="861"/>
      <c r="F473" s="861"/>
      <c r="G473" s="861"/>
      <c r="H473" s="861"/>
    </row>
    <row r="474" spans="2:8">
      <c r="B474" s="865"/>
      <c r="C474" s="861"/>
      <c r="D474" s="861"/>
      <c r="E474" s="861"/>
      <c r="F474" s="861"/>
      <c r="G474" s="861"/>
      <c r="H474" s="861"/>
    </row>
    <row r="475" spans="2:8">
      <c r="B475" s="865"/>
      <c r="C475" s="861"/>
      <c r="D475" s="861"/>
      <c r="E475" s="861"/>
      <c r="F475" s="861"/>
      <c r="G475" s="861"/>
      <c r="H475" s="861"/>
    </row>
    <row r="476" spans="2:8">
      <c r="B476" s="865"/>
      <c r="C476" s="861"/>
      <c r="D476" s="861"/>
      <c r="E476" s="861"/>
      <c r="F476" s="861"/>
      <c r="G476" s="861"/>
      <c r="H476" s="861"/>
    </row>
    <row r="477" spans="2:8">
      <c r="B477" s="865"/>
      <c r="C477" s="861"/>
      <c r="D477" s="861"/>
      <c r="E477" s="861"/>
      <c r="F477" s="861"/>
      <c r="G477" s="861"/>
      <c r="H477" s="861"/>
    </row>
    <row r="478" spans="2:8">
      <c r="B478" s="865"/>
      <c r="C478" s="861"/>
      <c r="D478" s="861"/>
      <c r="E478" s="861"/>
      <c r="F478" s="861"/>
      <c r="G478" s="861"/>
      <c r="H478" s="861"/>
    </row>
    <row r="479" spans="2:8">
      <c r="B479" s="865"/>
      <c r="C479" s="861"/>
      <c r="D479" s="861"/>
      <c r="E479" s="861"/>
      <c r="F479" s="861"/>
      <c r="G479" s="861"/>
      <c r="H479" s="861"/>
    </row>
    <row r="480" spans="2:8">
      <c r="B480" s="865"/>
      <c r="C480" s="861"/>
      <c r="D480" s="861"/>
      <c r="E480" s="861"/>
      <c r="F480" s="861"/>
      <c r="G480" s="861"/>
      <c r="H480" s="861"/>
    </row>
    <row r="481" spans="2:8">
      <c r="B481" s="865"/>
      <c r="C481" s="861"/>
      <c r="D481" s="861"/>
      <c r="E481" s="861"/>
      <c r="F481" s="861"/>
      <c r="G481" s="861"/>
      <c r="H481" s="861"/>
    </row>
    <row r="482" spans="2:8">
      <c r="B482" s="865"/>
      <c r="C482" s="861"/>
      <c r="D482" s="861"/>
      <c r="E482" s="861"/>
      <c r="F482" s="861"/>
      <c r="G482" s="861"/>
      <c r="H482" s="861"/>
    </row>
    <row r="483" spans="2:8">
      <c r="B483" s="865"/>
      <c r="C483" s="861"/>
      <c r="D483" s="861"/>
      <c r="E483" s="861"/>
      <c r="F483" s="861"/>
      <c r="G483" s="861"/>
      <c r="H483" s="861"/>
    </row>
    <row r="484" spans="2:8">
      <c r="B484" s="865"/>
      <c r="C484" s="861"/>
      <c r="D484" s="861"/>
      <c r="E484" s="861"/>
      <c r="F484" s="861"/>
      <c r="G484" s="861"/>
      <c r="H484" s="861"/>
    </row>
    <row r="485" spans="2:8">
      <c r="B485" s="865"/>
      <c r="C485" s="861"/>
      <c r="D485" s="861"/>
      <c r="E485" s="861"/>
      <c r="F485" s="861"/>
      <c r="G485" s="861"/>
      <c r="H485" s="861"/>
    </row>
    <row r="486" spans="2:8">
      <c r="B486" s="865"/>
      <c r="C486" s="861"/>
      <c r="D486" s="861"/>
      <c r="E486" s="861"/>
      <c r="F486" s="861"/>
      <c r="G486" s="861"/>
      <c r="H486" s="861"/>
    </row>
    <row r="487" spans="2:8">
      <c r="B487" s="865"/>
      <c r="C487" s="861"/>
      <c r="D487" s="861"/>
      <c r="E487" s="861"/>
      <c r="F487" s="861"/>
      <c r="G487" s="861"/>
      <c r="H487" s="861"/>
    </row>
    <row r="488" spans="2:8">
      <c r="B488" s="865"/>
      <c r="C488" s="861"/>
      <c r="D488" s="861"/>
      <c r="E488" s="861"/>
      <c r="F488" s="861"/>
      <c r="G488" s="861"/>
      <c r="H488" s="861"/>
    </row>
    <row r="489" spans="2:8">
      <c r="B489" s="865"/>
      <c r="C489" s="861"/>
      <c r="D489" s="861"/>
      <c r="E489" s="861"/>
      <c r="F489" s="861"/>
      <c r="G489" s="861"/>
      <c r="H489" s="861"/>
    </row>
    <row r="490" spans="2:8">
      <c r="B490" s="865"/>
      <c r="C490" s="861"/>
      <c r="D490" s="861"/>
      <c r="E490" s="861"/>
      <c r="F490" s="861"/>
      <c r="G490" s="861"/>
      <c r="H490" s="861"/>
    </row>
    <row r="491" spans="2:8">
      <c r="B491" s="865"/>
      <c r="C491" s="861"/>
      <c r="D491" s="861"/>
      <c r="E491" s="861"/>
      <c r="F491" s="861"/>
      <c r="G491" s="861"/>
      <c r="H491" s="861"/>
    </row>
    <row r="492" spans="2:8">
      <c r="B492" s="865"/>
      <c r="C492" s="861"/>
      <c r="D492" s="861"/>
      <c r="E492" s="861"/>
      <c r="F492" s="861"/>
      <c r="G492" s="861"/>
      <c r="H492" s="861"/>
    </row>
    <row r="493" spans="2:8">
      <c r="B493" s="865"/>
      <c r="C493" s="861"/>
      <c r="D493" s="861"/>
      <c r="E493" s="861"/>
      <c r="F493" s="861"/>
      <c r="G493" s="861"/>
      <c r="H493" s="861"/>
    </row>
    <row r="494" spans="2:8">
      <c r="B494" s="865"/>
      <c r="C494" s="861"/>
      <c r="D494" s="861"/>
      <c r="E494" s="861"/>
      <c r="F494" s="861"/>
      <c r="G494" s="861"/>
      <c r="H494" s="861"/>
    </row>
    <row r="495" spans="2:8">
      <c r="B495" s="865"/>
      <c r="C495" s="861"/>
      <c r="D495" s="861"/>
      <c r="E495" s="861"/>
      <c r="F495" s="861"/>
      <c r="G495" s="861"/>
      <c r="H495" s="861"/>
    </row>
    <row r="496" spans="2:8">
      <c r="B496" s="865"/>
      <c r="C496" s="861"/>
      <c r="D496" s="861"/>
      <c r="E496" s="861"/>
      <c r="F496" s="861"/>
      <c r="G496" s="861"/>
      <c r="H496" s="861"/>
    </row>
    <row r="497" spans="2:8">
      <c r="B497" s="865"/>
      <c r="C497" s="861"/>
      <c r="D497" s="861"/>
      <c r="E497" s="861"/>
      <c r="F497" s="861"/>
      <c r="G497" s="861"/>
      <c r="H497" s="861"/>
    </row>
    <row r="498" spans="2:8">
      <c r="B498" s="865"/>
      <c r="C498" s="861"/>
      <c r="D498" s="861"/>
      <c r="E498" s="861"/>
      <c r="F498" s="861"/>
      <c r="G498" s="861"/>
      <c r="H498" s="861"/>
    </row>
    <row r="499" spans="2:8">
      <c r="B499" s="865"/>
      <c r="C499" s="861"/>
      <c r="D499" s="861"/>
      <c r="E499" s="861"/>
      <c r="F499" s="861"/>
      <c r="G499" s="861"/>
      <c r="H499" s="861"/>
    </row>
    <row r="500" spans="2:8">
      <c r="B500" s="865"/>
      <c r="C500" s="861"/>
      <c r="D500" s="861"/>
      <c r="E500" s="861"/>
      <c r="F500" s="861"/>
      <c r="G500" s="861"/>
      <c r="H500" s="861"/>
    </row>
    <row r="501" spans="2:8">
      <c r="B501" s="865"/>
      <c r="C501" s="861"/>
      <c r="D501" s="861"/>
      <c r="E501" s="861"/>
      <c r="F501" s="861"/>
      <c r="G501" s="861"/>
      <c r="H501" s="861"/>
    </row>
    <row r="502" spans="2:8">
      <c r="B502" s="865"/>
      <c r="C502" s="861"/>
      <c r="D502" s="861"/>
      <c r="E502" s="861"/>
      <c r="F502" s="861"/>
      <c r="G502" s="861"/>
      <c r="H502" s="861"/>
    </row>
    <row r="503" spans="2:8">
      <c r="B503" s="865"/>
      <c r="C503" s="861"/>
      <c r="D503" s="861"/>
      <c r="E503" s="861"/>
      <c r="F503" s="861"/>
      <c r="G503" s="861"/>
      <c r="H503" s="861"/>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50" fitToHeight="0" orientation="landscape" r:id="rId1"/>
  <headerFooter alignWithMargins="0"/>
  <rowBreaks count="1" manualBreakCount="1">
    <brk id="39"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46"/>
  <sheetViews>
    <sheetView view="pageBreakPreview" zoomScale="70" zoomScaleNormal="50" zoomScaleSheetLayoutView="70" workbookViewId="0">
      <selection activeCell="Q60" sqref="Q60"/>
    </sheetView>
  </sheetViews>
  <sheetFormatPr defaultColWidth="8.90625" defaultRowHeight="13.2"/>
  <cols>
    <col min="1" max="1" width="5.6328125" style="845" customWidth="1"/>
    <col min="2" max="2" width="32.1796875" style="852" bestFit="1" customWidth="1"/>
    <col min="3" max="3" width="10.6328125" style="845" customWidth="1"/>
    <col min="4" max="4" width="9.90625" style="845" customWidth="1"/>
    <col min="5" max="5" width="16.36328125" style="845" customWidth="1"/>
    <col min="6" max="6" width="12.08984375" style="845" customWidth="1"/>
    <col min="7" max="7" width="11.90625" style="845" customWidth="1"/>
    <col min="8" max="8" width="14.08984375" style="845" customWidth="1"/>
    <col min="9" max="9" width="17.08984375" style="845" customWidth="1"/>
    <col min="10" max="10" width="38.453125" style="845" bestFit="1" customWidth="1"/>
    <col min="11" max="11" width="8.90625" style="845"/>
    <col min="12" max="12" width="12.08984375" style="845" customWidth="1"/>
    <col min="13" max="13" width="12.90625" style="845" customWidth="1"/>
    <col min="14" max="16384" width="8.90625" style="845"/>
  </cols>
  <sheetData>
    <row r="1" spans="1:18" ht="18" customHeight="1">
      <c r="A1" s="1129" t="s">
        <v>1067</v>
      </c>
      <c r="B1" s="1129"/>
      <c r="C1" s="1129"/>
      <c r="D1" s="1129"/>
      <c r="E1" s="1129"/>
      <c r="F1" s="1129"/>
      <c r="G1" s="1129"/>
      <c r="H1" s="1129"/>
      <c r="I1" s="1129"/>
      <c r="J1" s="1129"/>
      <c r="K1" s="844"/>
      <c r="L1" s="844"/>
      <c r="M1" s="844"/>
    </row>
    <row r="2" spans="1:18" ht="18" customHeight="1">
      <c r="A2" s="1129" t="str">
        <f>+'Attachment H'!D5</f>
        <v>Gridliance High Plains LLC</v>
      </c>
      <c r="B2" s="1129"/>
      <c r="C2" s="1129"/>
      <c r="D2" s="1129"/>
      <c r="E2" s="1129"/>
      <c r="F2" s="1129"/>
      <c r="G2" s="1129"/>
      <c r="H2" s="1129"/>
      <c r="I2" s="1129"/>
      <c r="J2" s="1129"/>
      <c r="K2" s="846"/>
      <c r="L2" s="846"/>
      <c r="M2" s="846"/>
    </row>
    <row r="3" spans="1:18" ht="18" customHeight="1">
      <c r="A3" s="1129" t="s">
        <v>1141</v>
      </c>
      <c r="B3" s="1129"/>
      <c r="C3" s="1129"/>
      <c r="D3" s="1129"/>
      <c r="E3" s="1129"/>
      <c r="F3" s="1129"/>
      <c r="G3" s="1129"/>
      <c r="H3" s="1130"/>
      <c r="I3" s="1130"/>
      <c r="J3" s="1129"/>
      <c r="K3" s="844"/>
      <c r="L3" s="844"/>
      <c r="M3" s="844"/>
    </row>
    <row r="4" spans="1:18" ht="18" customHeight="1">
      <c r="A4" s="847"/>
      <c r="B4" s="847"/>
      <c r="C4" s="847"/>
      <c r="D4" s="847"/>
      <c r="E4" s="847"/>
      <c r="F4" s="847"/>
      <c r="G4" s="847"/>
      <c r="H4" s="847"/>
      <c r="I4" s="847"/>
      <c r="J4" s="847"/>
      <c r="K4" s="844"/>
      <c r="L4" s="844"/>
      <c r="M4" s="844"/>
    </row>
    <row r="5" spans="1:18">
      <c r="B5" s="847" t="s">
        <v>292</v>
      </c>
      <c r="C5" s="847" t="s">
        <v>293</v>
      </c>
      <c r="D5" s="847" t="s">
        <v>294</v>
      </c>
      <c r="E5" s="847" t="s">
        <v>295</v>
      </c>
      <c r="F5" s="847" t="s">
        <v>297</v>
      </c>
      <c r="G5" s="848" t="s">
        <v>296</v>
      </c>
      <c r="H5" s="848" t="s">
        <v>298</v>
      </c>
      <c r="I5" s="849" t="s">
        <v>299</v>
      </c>
      <c r="J5" s="847"/>
    </row>
    <row r="6" spans="1:18" ht="26.4">
      <c r="A6" s="850" t="s">
        <v>992</v>
      </c>
      <c r="B6" s="851" t="s">
        <v>993</v>
      </c>
      <c r="C6" s="851" t="s">
        <v>252</v>
      </c>
      <c r="D6" s="851" t="s">
        <v>96</v>
      </c>
      <c r="E6" s="851" t="s">
        <v>994</v>
      </c>
      <c r="F6" s="851" t="s">
        <v>995</v>
      </c>
      <c r="G6" s="851" t="s">
        <v>996</v>
      </c>
      <c r="H6" s="851" t="s">
        <v>997</v>
      </c>
      <c r="I6" s="851" t="s">
        <v>998</v>
      </c>
      <c r="J6" s="851"/>
      <c r="K6" s="844"/>
      <c r="L6" s="844"/>
      <c r="M6" s="844"/>
      <c r="N6" s="844"/>
      <c r="O6" s="844"/>
      <c r="P6" s="844"/>
      <c r="Q6" s="844"/>
      <c r="R6" s="847"/>
    </row>
    <row r="7" spans="1:18">
      <c r="A7" s="845" t="s">
        <v>999</v>
      </c>
      <c r="C7" s="853"/>
      <c r="D7" s="847"/>
      <c r="E7" s="847"/>
      <c r="F7" s="847"/>
      <c r="H7" s="844"/>
      <c r="I7" s="844"/>
      <c r="J7" s="844"/>
      <c r="K7" s="844"/>
      <c r="L7" s="844"/>
      <c r="M7" s="844"/>
      <c r="N7" s="844"/>
      <c r="O7" s="844"/>
      <c r="P7" s="844"/>
      <c r="Q7" s="844"/>
      <c r="R7" s="847"/>
    </row>
    <row r="8" spans="1:18" ht="20.100000000000001" customHeight="1">
      <c r="A8" s="854">
        <v>1</v>
      </c>
      <c r="B8" s="855" t="s">
        <v>1000</v>
      </c>
      <c r="C8" s="853" t="s">
        <v>98</v>
      </c>
      <c r="D8" s="1005">
        <v>2021</v>
      </c>
      <c r="E8" s="134">
        <f>SUM(F8:H8)</f>
        <v>-604380.61580149084</v>
      </c>
      <c r="F8" s="134">
        <f>'4c- ADIT BOY'!E54</f>
        <v>-604380.61580149084</v>
      </c>
      <c r="G8" s="767">
        <f>'4c- ADIT BOY'!F54</f>
        <v>0</v>
      </c>
      <c r="H8" s="767">
        <f>'4c- ADIT BOY'!G54</f>
        <v>0</v>
      </c>
      <c r="I8" s="767"/>
      <c r="J8" s="856"/>
    </row>
    <row r="9" spans="1:18" ht="20.100000000000001" customHeight="1">
      <c r="A9" s="854">
        <f>A8+1</f>
        <v>2</v>
      </c>
      <c r="B9" s="855" t="s">
        <v>1119</v>
      </c>
      <c r="C9" s="853" t="s">
        <v>98</v>
      </c>
      <c r="D9" s="1005">
        <v>2022</v>
      </c>
      <c r="E9" s="134">
        <f t="shared" ref="E9:E11" si="0">SUM(F9:H9)</f>
        <v>0</v>
      </c>
      <c r="F9" s="134">
        <f>'4d- ADIT EOY'!E54-'4d- ADIT EOY'!E51</f>
        <v>0</v>
      </c>
      <c r="G9" s="134">
        <f>'4d- ADIT EOY'!F54-'4d- ADIT EOY'!F51</f>
        <v>0</v>
      </c>
      <c r="H9" s="134">
        <f>'4d- ADIT EOY'!G54-'4d- ADIT EOY'!G51</f>
        <v>0</v>
      </c>
      <c r="I9" s="767"/>
      <c r="J9" s="856"/>
    </row>
    <row r="10" spans="1:18" ht="20.100000000000001" customHeight="1">
      <c r="A10" s="854">
        <f>+A9+1</f>
        <v>3</v>
      </c>
      <c r="B10" s="855" t="s">
        <v>1095</v>
      </c>
      <c r="C10" s="853" t="s">
        <v>98</v>
      </c>
      <c r="D10" s="1005">
        <v>2022</v>
      </c>
      <c r="E10" s="134">
        <f t="shared" si="0"/>
        <v>730658.84179835883</v>
      </c>
      <c r="F10" s="859">
        <f>'4f-ADIT True-up Proration'!N21</f>
        <v>730658.84179835883</v>
      </c>
      <c r="G10" s="859">
        <f>'4f-ADIT True-up Proration'!W21</f>
        <v>0</v>
      </c>
      <c r="H10" s="859">
        <f>'4f-ADIT True-up Proration'!AF21</f>
        <v>0</v>
      </c>
      <c r="I10" s="859"/>
      <c r="J10" s="860"/>
    </row>
    <row r="11" spans="1:18" ht="20.100000000000001" customHeight="1">
      <c r="A11" s="854">
        <f>+A10+1</f>
        <v>4</v>
      </c>
      <c r="B11" s="855" t="s">
        <v>1077</v>
      </c>
      <c r="C11" s="853"/>
      <c r="D11" s="853"/>
      <c r="E11" s="134">
        <f t="shared" si="0"/>
        <v>730658.84179835883</v>
      </c>
      <c r="F11" s="859">
        <f t="shared" ref="F11:H11" si="1">F9+F10</f>
        <v>730658.84179835883</v>
      </c>
      <c r="G11" s="859">
        <f t="shared" si="1"/>
        <v>0</v>
      </c>
      <c r="H11" s="859">
        <f t="shared" si="1"/>
        <v>0</v>
      </c>
      <c r="I11" s="859"/>
      <c r="J11" s="860"/>
    </row>
    <row r="12" spans="1:18" ht="20.100000000000001" customHeight="1">
      <c r="A12" s="854">
        <f t="shared" ref="A12:A15" si="2">+A11+1</f>
        <v>5</v>
      </c>
      <c r="B12" s="855" t="s">
        <v>1001</v>
      </c>
      <c r="C12" s="853"/>
      <c r="D12" s="853"/>
      <c r="E12" s="857"/>
      <c r="F12" s="857">
        <v>1</v>
      </c>
      <c r="G12" s="857"/>
      <c r="H12" s="857"/>
      <c r="I12" s="857"/>
      <c r="J12" s="858">
        <v>1</v>
      </c>
    </row>
    <row r="13" spans="1:18" ht="20.100000000000001" customHeight="1">
      <c r="A13" s="854">
        <f t="shared" si="2"/>
        <v>6</v>
      </c>
      <c r="B13" s="855" t="s">
        <v>1002</v>
      </c>
      <c r="C13" s="853"/>
      <c r="D13" s="853"/>
      <c r="E13" s="857"/>
      <c r="F13" s="857"/>
      <c r="G13" s="857">
        <f>'Attachment H'!G$84</f>
        <v>1</v>
      </c>
      <c r="H13" s="857"/>
      <c r="I13" s="857"/>
      <c r="J13" s="853" t="s">
        <v>1003</v>
      </c>
    </row>
    <row r="14" spans="1:18" ht="20.100000000000001" customHeight="1">
      <c r="A14" s="854">
        <f t="shared" si="2"/>
        <v>7</v>
      </c>
      <c r="B14" s="855" t="s">
        <v>1004</v>
      </c>
      <c r="C14" s="853"/>
      <c r="D14" s="853"/>
      <c r="E14" s="857"/>
      <c r="F14" s="857"/>
      <c r="G14" s="857"/>
      <c r="H14" s="857">
        <f>'Attachment H'!I$199</f>
        <v>1</v>
      </c>
      <c r="I14" s="857"/>
      <c r="J14" s="853" t="s">
        <v>1005</v>
      </c>
    </row>
    <row r="15" spans="1:18" ht="20.100000000000001" customHeight="1">
      <c r="A15" s="854">
        <f t="shared" si="2"/>
        <v>8</v>
      </c>
      <c r="B15" s="855" t="s">
        <v>1006</v>
      </c>
      <c r="C15" s="853"/>
      <c r="D15" s="853"/>
      <c r="E15" s="857">
        <f>+E11</f>
        <v>730658.84179835883</v>
      </c>
      <c r="F15" s="857">
        <f>F11*F12</f>
        <v>730658.84179835883</v>
      </c>
      <c r="G15" s="857">
        <f>+G11*G13</f>
        <v>0</v>
      </c>
      <c r="H15" s="857">
        <f>+H11*H14</f>
        <v>0</v>
      </c>
      <c r="I15" s="857">
        <f>+F15+G15+H15</f>
        <v>730658.84179835883</v>
      </c>
      <c r="J15" s="857" t="s">
        <v>1070</v>
      </c>
    </row>
    <row r="16" spans="1:18">
      <c r="A16" s="854"/>
      <c r="B16" s="855"/>
      <c r="C16" s="853"/>
      <c r="D16" s="853"/>
      <c r="E16" s="853"/>
      <c r="F16" s="853"/>
    </row>
    <row r="17" spans="1:10">
      <c r="A17" s="845" t="s">
        <v>1007</v>
      </c>
      <c r="B17" s="855"/>
      <c r="C17" s="853"/>
      <c r="D17" s="853"/>
      <c r="E17" s="853"/>
      <c r="F17" s="853"/>
    </row>
    <row r="18" spans="1:10" ht="20.100000000000001" customHeight="1">
      <c r="A18" s="854">
        <f>A15+1</f>
        <v>9</v>
      </c>
      <c r="B18" s="855" t="s">
        <v>1008</v>
      </c>
      <c r="C18" s="853" t="s">
        <v>98</v>
      </c>
      <c r="D18" s="1005">
        <v>2021</v>
      </c>
      <c r="E18" s="134">
        <f t="shared" ref="E18:E21" si="3">SUM(F18:H18)</f>
        <v>0</v>
      </c>
      <c r="F18" s="767">
        <f>'4c- ADIT BOY'!E78</f>
        <v>0</v>
      </c>
      <c r="G18" s="767">
        <f>'4c- ADIT BOY'!F78</f>
        <v>0</v>
      </c>
      <c r="H18" s="767">
        <f>'4c- ADIT BOY'!G78</f>
        <v>0</v>
      </c>
      <c r="I18" s="767"/>
      <c r="J18" s="856"/>
    </row>
    <row r="19" spans="1:10" ht="20.100000000000001" customHeight="1">
      <c r="A19" s="854">
        <f>A18+1</f>
        <v>10</v>
      </c>
      <c r="B19" s="855" t="s">
        <v>1120</v>
      </c>
      <c r="C19" s="853" t="s">
        <v>98</v>
      </c>
      <c r="D19" s="1005">
        <v>2022</v>
      </c>
      <c r="E19" s="134">
        <f t="shared" si="3"/>
        <v>0</v>
      </c>
      <c r="F19" s="767">
        <f>'4d- ADIT EOY'!E78-'4d- ADIT EOY'!E75</f>
        <v>0</v>
      </c>
      <c r="G19" s="767">
        <f>'4d- ADIT EOY'!F78-'4d- ADIT EOY'!F75</f>
        <v>0</v>
      </c>
      <c r="H19" s="767">
        <f>'4d- ADIT EOY'!G78-'4d- ADIT EOY'!G75</f>
        <v>0</v>
      </c>
      <c r="I19" s="767"/>
      <c r="J19" s="856"/>
    </row>
    <row r="20" spans="1:10" ht="20.100000000000001" customHeight="1">
      <c r="A20" s="854">
        <f>A19+1</f>
        <v>11</v>
      </c>
      <c r="B20" s="855" t="s">
        <v>1096</v>
      </c>
      <c r="C20" s="853" t="s">
        <v>98</v>
      </c>
      <c r="D20" s="1005">
        <v>2022</v>
      </c>
      <c r="E20" s="134">
        <f t="shared" si="3"/>
        <v>0</v>
      </c>
      <c r="F20" s="859">
        <f>'4f-ADIT True-up Proration'!N37</f>
        <v>0</v>
      </c>
      <c r="G20" s="859">
        <f>'4f-ADIT True-up Proration'!W37</f>
        <v>0</v>
      </c>
      <c r="H20" s="859">
        <f>'4f-ADIT True-up Proration'!AF37</f>
        <v>0</v>
      </c>
      <c r="I20" s="859"/>
      <c r="J20" s="860"/>
    </row>
    <row r="21" spans="1:10" ht="20.100000000000001" customHeight="1">
      <c r="A21" s="854">
        <f t="shared" ref="A21:A25" si="4">A20+1</f>
        <v>12</v>
      </c>
      <c r="B21" s="855" t="s">
        <v>1077</v>
      </c>
      <c r="C21" s="853"/>
      <c r="D21" s="853"/>
      <c r="E21" s="134">
        <f t="shared" si="3"/>
        <v>0</v>
      </c>
      <c r="F21" s="859">
        <f t="shared" ref="F21:H21" si="5">F19+F20</f>
        <v>0</v>
      </c>
      <c r="G21" s="859">
        <f t="shared" si="5"/>
        <v>0</v>
      </c>
      <c r="H21" s="859">
        <f t="shared" si="5"/>
        <v>0</v>
      </c>
      <c r="I21" s="859"/>
      <c r="J21" s="860"/>
    </row>
    <row r="22" spans="1:10" ht="20.100000000000001" customHeight="1">
      <c r="A22" s="854">
        <f t="shared" si="4"/>
        <v>13</v>
      </c>
      <c r="B22" s="855" t="s">
        <v>1001</v>
      </c>
      <c r="C22" s="853"/>
      <c r="D22" s="853"/>
      <c r="E22" s="857"/>
      <c r="F22" s="857">
        <v>1</v>
      </c>
      <c r="G22" s="857"/>
      <c r="H22" s="857"/>
      <c r="I22" s="857"/>
      <c r="J22" s="858">
        <v>1</v>
      </c>
    </row>
    <row r="23" spans="1:10" ht="20.100000000000001" customHeight="1">
      <c r="A23" s="854">
        <f t="shared" si="4"/>
        <v>14</v>
      </c>
      <c r="B23" s="855" t="s">
        <v>1002</v>
      </c>
      <c r="C23" s="853"/>
      <c r="D23" s="853"/>
      <c r="E23" s="857"/>
      <c r="F23" s="857"/>
      <c r="G23" s="857">
        <f>'Attachment H'!G$84</f>
        <v>1</v>
      </c>
      <c r="H23" s="857"/>
      <c r="I23" s="857"/>
      <c r="J23" s="853" t="s">
        <v>1003</v>
      </c>
    </row>
    <row r="24" spans="1:10" ht="20.100000000000001" customHeight="1">
      <c r="A24" s="854">
        <f t="shared" si="4"/>
        <v>15</v>
      </c>
      <c r="B24" s="855" t="s">
        <v>1004</v>
      </c>
      <c r="C24" s="853"/>
      <c r="D24" s="853"/>
      <c r="E24" s="857"/>
      <c r="F24" s="857"/>
      <c r="G24" s="857"/>
      <c r="H24" s="857">
        <f>'Attachment H'!I$199</f>
        <v>1</v>
      </c>
      <c r="I24" s="857"/>
      <c r="J24" s="853" t="s">
        <v>1005</v>
      </c>
    </row>
    <row r="25" spans="1:10" ht="20.100000000000001" customHeight="1">
      <c r="A25" s="854">
        <f t="shared" si="4"/>
        <v>16</v>
      </c>
      <c r="B25" s="855" t="s">
        <v>1006</v>
      </c>
      <c r="C25" s="853"/>
      <c r="D25" s="853"/>
      <c r="E25" s="857">
        <f>+E21</f>
        <v>0</v>
      </c>
      <c r="F25" s="857">
        <f>+F21*F22</f>
        <v>0</v>
      </c>
      <c r="G25" s="857">
        <f>+G21*G23</f>
        <v>0</v>
      </c>
      <c r="H25" s="857">
        <f>+H21*H24</f>
        <v>0</v>
      </c>
      <c r="I25" s="857">
        <f>+F25+G25+H25</f>
        <v>0</v>
      </c>
      <c r="J25" s="857" t="s">
        <v>1070</v>
      </c>
    </row>
    <row r="26" spans="1:10">
      <c r="A26" s="854"/>
      <c r="B26" s="855"/>
      <c r="C26" s="853"/>
      <c r="D26" s="853"/>
      <c r="E26" s="853"/>
      <c r="F26" s="853"/>
    </row>
    <row r="27" spans="1:10">
      <c r="A27" s="845" t="s">
        <v>1009</v>
      </c>
      <c r="B27" s="855"/>
      <c r="C27" s="853"/>
      <c r="D27" s="853"/>
      <c r="E27" s="853"/>
      <c r="F27" s="853"/>
    </row>
    <row r="28" spans="1:10" ht="20.100000000000001" customHeight="1">
      <c r="A28" s="854">
        <f>A25+1</f>
        <v>17</v>
      </c>
      <c r="B28" s="855" t="s">
        <v>1010</v>
      </c>
      <c r="C28" s="853" t="s">
        <v>98</v>
      </c>
      <c r="D28" s="1005">
        <v>2021</v>
      </c>
      <c r="E28" s="134">
        <f t="shared" ref="E28:E31" si="6">SUM(F28:H28)</f>
        <v>0</v>
      </c>
      <c r="F28" s="767">
        <f>'4c- ADIT BOY'!E32</f>
        <v>0</v>
      </c>
      <c r="G28" s="767">
        <f>'4c- ADIT BOY'!F32</f>
        <v>0</v>
      </c>
      <c r="H28" s="767">
        <f>'4c- ADIT BOY'!G32</f>
        <v>0</v>
      </c>
      <c r="I28" s="767"/>
      <c r="J28" s="856"/>
    </row>
    <row r="29" spans="1:10" ht="20.100000000000001" customHeight="1">
      <c r="A29" s="854">
        <f>A28+1</f>
        <v>18</v>
      </c>
      <c r="B29" s="855" t="s">
        <v>1121</v>
      </c>
      <c r="C29" s="853" t="s">
        <v>98</v>
      </c>
      <c r="D29" s="1005">
        <v>2022</v>
      </c>
      <c r="E29" s="134">
        <f t="shared" si="6"/>
        <v>0</v>
      </c>
      <c r="F29" s="767">
        <f>'4d- ADIT EOY'!E32-'4d- ADIT EOY'!E29</f>
        <v>0</v>
      </c>
      <c r="G29" s="767">
        <f>'4d- ADIT EOY'!F32-'4d- ADIT EOY'!F29</f>
        <v>0</v>
      </c>
      <c r="H29" s="767">
        <f>'4d- ADIT EOY'!G32-'4d- ADIT EOY'!G29</f>
        <v>0</v>
      </c>
      <c r="I29" s="767"/>
      <c r="J29" s="856"/>
    </row>
    <row r="30" spans="1:10" ht="20.100000000000001" customHeight="1">
      <c r="A30" s="854">
        <f t="shared" ref="A30:A35" si="7">A29+1</f>
        <v>19</v>
      </c>
      <c r="B30" s="855" t="s">
        <v>1097</v>
      </c>
      <c r="C30" s="853" t="s">
        <v>98</v>
      </c>
      <c r="D30" s="1005">
        <v>2022</v>
      </c>
      <c r="E30" s="134">
        <f t="shared" si="6"/>
        <v>0</v>
      </c>
      <c r="F30" s="859">
        <f>'4f-ADIT True-up Proration'!N53</f>
        <v>0</v>
      </c>
      <c r="G30" s="859">
        <f>'4f-ADIT True-up Proration'!W53</f>
        <v>0</v>
      </c>
      <c r="H30" s="859">
        <f>'4f-ADIT True-up Proration'!AF53</f>
        <v>0</v>
      </c>
      <c r="I30" s="859"/>
      <c r="J30" s="860"/>
    </row>
    <row r="31" spans="1:10" ht="20.100000000000001" customHeight="1">
      <c r="A31" s="854">
        <f t="shared" si="7"/>
        <v>20</v>
      </c>
      <c r="B31" s="855" t="s">
        <v>1077</v>
      </c>
      <c r="C31" s="853"/>
      <c r="D31" s="853"/>
      <c r="E31" s="134">
        <f t="shared" si="6"/>
        <v>0</v>
      </c>
      <c r="F31" s="859">
        <f t="shared" ref="F31:H31" si="8">F29+F30</f>
        <v>0</v>
      </c>
      <c r="G31" s="859">
        <f t="shared" si="8"/>
        <v>0</v>
      </c>
      <c r="H31" s="859">
        <f t="shared" si="8"/>
        <v>0</v>
      </c>
      <c r="I31" s="859"/>
      <c r="J31" s="860"/>
    </row>
    <row r="32" spans="1:10" ht="20.100000000000001" customHeight="1">
      <c r="A32" s="854">
        <f t="shared" si="7"/>
        <v>21</v>
      </c>
      <c r="B32" s="855" t="s">
        <v>1001</v>
      </c>
      <c r="C32" s="853"/>
      <c r="D32" s="853"/>
      <c r="E32" s="857"/>
      <c r="F32" s="857">
        <v>1</v>
      </c>
      <c r="G32" s="857"/>
      <c r="H32" s="857"/>
      <c r="I32" s="857"/>
      <c r="J32" s="858">
        <v>1</v>
      </c>
    </row>
    <row r="33" spans="1:10" ht="20.100000000000001" customHeight="1">
      <c r="A33" s="854">
        <f t="shared" si="7"/>
        <v>22</v>
      </c>
      <c r="B33" s="855" t="s">
        <v>1002</v>
      </c>
      <c r="C33" s="853"/>
      <c r="D33" s="853"/>
      <c r="E33" s="857"/>
      <c r="F33" s="857"/>
      <c r="G33" s="857">
        <f>'Attachment H'!G$84</f>
        <v>1</v>
      </c>
      <c r="H33" s="857"/>
      <c r="I33" s="857"/>
      <c r="J33" s="853" t="s">
        <v>1003</v>
      </c>
    </row>
    <row r="34" spans="1:10" ht="20.100000000000001" customHeight="1">
      <c r="A34" s="854">
        <f t="shared" si="7"/>
        <v>23</v>
      </c>
      <c r="B34" s="855" t="s">
        <v>1004</v>
      </c>
      <c r="C34" s="853"/>
      <c r="D34" s="853"/>
      <c r="E34" s="857"/>
      <c r="F34" s="857"/>
      <c r="G34" s="857"/>
      <c r="H34" s="857">
        <f>'Attachment H'!I$199</f>
        <v>1</v>
      </c>
      <c r="I34" s="857"/>
      <c r="J34" s="853" t="s">
        <v>1005</v>
      </c>
    </row>
    <row r="35" spans="1:10" ht="20.100000000000001" customHeight="1">
      <c r="A35" s="854">
        <f t="shared" si="7"/>
        <v>24</v>
      </c>
      <c r="B35" s="855" t="s">
        <v>1006</v>
      </c>
      <c r="C35" s="853"/>
      <c r="D35" s="853"/>
      <c r="E35" s="857">
        <f>+E31</f>
        <v>0</v>
      </c>
      <c r="F35" s="857">
        <f>+F31*F32</f>
        <v>0</v>
      </c>
      <c r="G35" s="857">
        <f>+G31*G33</f>
        <v>0</v>
      </c>
      <c r="H35" s="857">
        <f>+H31*H34</f>
        <v>0</v>
      </c>
      <c r="I35" s="857">
        <f>+F35+G35+H35</f>
        <v>0</v>
      </c>
      <c r="J35" s="857" t="s">
        <v>1070</v>
      </c>
    </row>
    <row r="36" spans="1:10">
      <c r="B36" s="865"/>
      <c r="C36" s="861"/>
      <c r="D36" s="866"/>
      <c r="E36" s="861"/>
      <c r="F36" s="861"/>
      <c r="G36" s="861"/>
      <c r="H36" s="862"/>
      <c r="I36" s="862"/>
    </row>
    <row r="37" spans="1:10">
      <c r="B37" s="865"/>
      <c r="C37" s="861"/>
      <c r="D37" s="546"/>
      <c r="E37" s="861"/>
      <c r="F37" s="861"/>
      <c r="G37" s="861"/>
      <c r="H37" s="862"/>
      <c r="I37" s="862"/>
    </row>
    <row r="38" spans="1:10">
      <c r="B38" s="865"/>
      <c r="C38" s="861"/>
      <c r="D38" s="546"/>
      <c r="E38" s="861"/>
      <c r="F38" s="861"/>
      <c r="G38" s="861"/>
      <c r="H38" s="862"/>
      <c r="I38" s="862"/>
    </row>
    <row r="39" spans="1:10">
      <c r="B39" s="865"/>
      <c r="C39" s="861"/>
      <c r="D39" s="546"/>
      <c r="E39" s="861"/>
      <c r="F39" s="861"/>
      <c r="G39" s="861"/>
      <c r="H39" s="862"/>
      <c r="I39" s="862"/>
    </row>
    <row r="40" spans="1:10">
      <c r="B40" s="865"/>
      <c r="C40" s="861"/>
      <c r="D40" s="546"/>
      <c r="E40" s="861"/>
      <c r="F40" s="861"/>
      <c r="G40" s="861"/>
      <c r="H40" s="862"/>
      <c r="I40" s="862"/>
    </row>
    <row r="41" spans="1:10">
      <c r="B41" s="865"/>
      <c r="C41" s="861"/>
      <c r="D41" s="546"/>
      <c r="E41" s="861"/>
      <c r="F41" s="861"/>
      <c r="G41" s="861"/>
      <c r="H41" s="862"/>
      <c r="I41" s="862"/>
    </row>
    <row r="42" spans="1:10">
      <c r="B42" s="865"/>
      <c r="C42" s="861"/>
      <c r="D42" s="546"/>
      <c r="E42" s="861"/>
      <c r="F42" s="861"/>
      <c r="G42" s="861"/>
      <c r="H42" s="862"/>
      <c r="I42" s="862"/>
    </row>
    <row r="43" spans="1:10">
      <c r="B43" s="865"/>
      <c r="C43" s="861"/>
      <c r="D43" s="546"/>
      <c r="E43" s="861"/>
      <c r="F43" s="861"/>
      <c r="G43" s="861"/>
      <c r="H43" s="862"/>
      <c r="I43" s="862"/>
    </row>
    <row r="44" spans="1:10">
      <c r="B44" s="865"/>
      <c r="C44" s="861"/>
      <c r="D44" s="546"/>
      <c r="E44" s="861"/>
      <c r="F44" s="861"/>
      <c r="G44" s="861"/>
      <c r="H44" s="862"/>
      <c r="I44" s="862"/>
    </row>
    <row r="45" spans="1:10">
      <c r="B45" s="865"/>
      <c r="C45" s="861"/>
      <c r="D45" s="546"/>
      <c r="E45" s="861"/>
      <c r="F45" s="861"/>
      <c r="G45" s="861"/>
      <c r="H45" s="862"/>
      <c r="I45" s="862"/>
    </row>
    <row r="46" spans="1:10">
      <c r="B46" s="865"/>
      <c r="C46" s="861"/>
      <c r="D46" s="546"/>
      <c r="E46" s="861"/>
      <c r="F46" s="861"/>
      <c r="G46" s="861"/>
      <c r="H46" s="862"/>
      <c r="I46" s="862"/>
    </row>
    <row r="47" spans="1:10">
      <c r="B47" s="861"/>
      <c r="C47" s="861"/>
      <c r="D47" s="546"/>
      <c r="E47" s="861"/>
      <c r="F47" s="861"/>
      <c r="G47" s="861"/>
      <c r="H47" s="862"/>
      <c r="I47" s="862"/>
    </row>
    <row r="48" spans="1:10">
      <c r="B48" s="865"/>
      <c r="C48" s="861"/>
      <c r="D48" s="546"/>
      <c r="E48" s="861"/>
      <c r="F48" s="861"/>
      <c r="G48" s="861"/>
      <c r="H48" s="862"/>
      <c r="I48" s="862"/>
    </row>
    <row r="49" spans="2:9">
      <c r="B49" s="861"/>
      <c r="C49" s="861"/>
      <c r="D49" s="546"/>
      <c r="E49" s="861"/>
      <c r="F49" s="861"/>
      <c r="G49" s="861"/>
      <c r="H49" s="862"/>
      <c r="I49" s="862"/>
    </row>
    <row r="50" spans="2:9">
      <c r="B50" s="865"/>
      <c r="C50" s="861"/>
      <c r="D50" s="861"/>
      <c r="E50" s="861"/>
      <c r="F50" s="861"/>
      <c r="G50" s="861"/>
      <c r="H50" s="862"/>
      <c r="I50" s="862"/>
    </row>
    <row r="51" spans="2:9">
      <c r="B51" s="865"/>
      <c r="C51" s="861"/>
      <c r="D51" s="861"/>
      <c r="E51" s="861"/>
      <c r="F51" s="861"/>
      <c r="G51" s="861"/>
    </row>
    <row r="52" spans="2:9">
      <c r="B52" s="865"/>
      <c r="C52" s="861"/>
      <c r="D52" s="861"/>
      <c r="E52" s="861"/>
      <c r="F52" s="861"/>
      <c r="G52" s="861"/>
    </row>
    <row r="53" spans="2:9">
      <c r="B53" s="865"/>
      <c r="C53" s="861"/>
      <c r="D53" s="861"/>
      <c r="E53" s="861"/>
      <c r="F53" s="861"/>
      <c r="G53" s="861"/>
    </row>
    <row r="54" spans="2:9">
      <c r="B54" s="865"/>
      <c r="C54" s="861"/>
      <c r="D54" s="861"/>
      <c r="E54" s="861"/>
      <c r="F54" s="861"/>
      <c r="G54" s="861"/>
    </row>
    <row r="55" spans="2:9">
      <c r="B55" s="865"/>
      <c r="C55" s="861"/>
      <c r="D55" s="861"/>
      <c r="E55" s="861"/>
      <c r="F55" s="861"/>
      <c r="G55" s="861"/>
    </row>
    <row r="56" spans="2:9">
      <c r="B56" s="865"/>
      <c r="C56" s="861"/>
      <c r="D56" s="861"/>
      <c r="E56" s="861"/>
      <c r="F56" s="861"/>
      <c r="G56" s="861"/>
    </row>
    <row r="57" spans="2:9">
      <c r="B57" s="865"/>
      <c r="C57" s="861"/>
      <c r="D57" s="861"/>
      <c r="E57" s="861"/>
      <c r="F57" s="861"/>
      <c r="G57" s="861"/>
    </row>
    <row r="58" spans="2:9">
      <c r="B58" s="865"/>
      <c r="C58" s="861"/>
      <c r="D58" s="861"/>
      <c r="E58" s="861"/>
      <c r="F58" s="861"/>
      <c r="G58" s="861"/>
    </row>
    <row r="59" spans="2:9">
      <c r="B59" s="865"/>
      <c r="C59" s="861"/>
      <c r="D59" s="861"/>
      <c r="E59" s="861"/>
      <c r="F59" s="861"/>
      <c r="G59" s="861"/>
    </row>
    <row r="60" spans="2:9">
      <c r="B60" s="865"/>
      <c r="C60" s="861"/>
      <c r="D60" s="861"/>
      <c r="E60" s="861"/>
      <c r="F60" s="861"/>
      <c r="G60" s="861"/>
    </row>
    <row r="61" spans="2:9">
      <c r="B61" s="865"/>
      <c r="C61" s="861"/>
      <c r="D61" s="861"/>
      <c r="E61" s="861"/>
      <c r="F61" s="861"/>
      <c r="G61" s="861"/>
    </row>
    <row r="62" spans="2:9">
      <c r="B62" s="865"/>
      <c r="C62" s="861"/>
      <c r="D62" s="861"/>
      <c r="E62" s="861"/>
      <c r="F62" s="861"/>
      <c r="G62" s="861"/>
    </row>
    <row r="63" spans="2:9">
      <c r="B63" s="865"/>
      <c r="C63" s="861"/>
      <c r="D63" s="861"/>
      <c r="E63" s="861"/>
      <c r="F63" s="861"/>
      <c r="G63" s="861"/>
    </row>
    <row r="64" spans="2:9">
      <c r="B64" s="865"/>
      <c r="C64" s="861"/>
      <c r="D64" s="861"/>
      <c r="E64" s="861"/>
      <c r="F64" s="861"/>
      <c r="G64" s="861"/>
    </row>
    <row r="65" spans="2:11">
      <c r="B65" s="865"/>
      <c r="C65" s="861"/>
      <c r="D65" s="861"/>
      <c r="E65" s="861"/>
      <c r="F65" s="861"/>
      <c r="G65" s="861"/>
    </row>
    <row r="66" spans="2:11">
      <c r="B66" s="865"/>
      <c r="C66" s="861"/>
      <c r="D66" s="861"/>
      <c r="E66" s="861"/>
      <c r="F66" s="861"/>
      <c r="G66" s="861"/>
    </row>
    <row r="67" spans="2:11">
      <c r="B67" s="865"/>
      <c r="C67" s="861"/>
      <c r="D67" s="861"/>
      <c r="E67" s="861"/>
      <c r="F67" s="861"/>
      <c r="G67" s="861"/>
      <c r="K67" s="861"/>
    </row>
    <row r="68" spans="2:11">
      <c r="B68" s="865"/>
      <c r="C68" s="861"/>
      <c r="D68" s="861"/>
      <c r="E68" s="861"/>
      <c r="F68" s="861"/>
      <c r="G68" s="861"/>
    </row>
    <row r="69" spans="2:11">
      <c r="B69" s="865"/>
      <c r="C69" s="861"/>
      <c r="D69" s="861"/>
      <c r="E69" s="861"/>
      <c r="F69" s="861"/>
      <c r="G69" s="861"/>
    </row>
    <row r="70" spans="2:11">
      <c r="B70" s="865"/>
      <c r="C70" s="861"/>
      <c r="D70" s="861"/>
      <c r="E70" s="861"/>
      <c r="F70" s="861"/>
      <c r="G70" s="861"/>
    </row>
    <row r="71" spans="2:11">
      <c r="B71" s="865"/>
      <c r="C71" s="861"/>
      <c r="D71" s="861"/>
      <c r="E71" s="861"/>
      <c r="F71" s="861"/>
      <c r="G71" s="861"/>
    </row>
    <row r="72" spans="2:11">
      <c r="B72" s="865"/>
      <c r="C72" s="861"/>
      <c r="D72" s="861"/>
      <c r="E72" s="861"/>
      <c r="F72" s="861"/>
      <c r="G72" s="861"/>
    </row>
    <row r="73" spans="2:11">
      <c r="B73" s="865"/>
      <c r="C73" s="861"/>
      <c r="D73" s="861"/>
      <c r="E73" s="861"/>
      <c r="F73" s="861"/>
      <c r="G73" s="861"/>
    </row>
    <row r="74" spans="2:11">
      <c r="B74" s="865"/>
      <c r="C74" s="861"/>
      <c r="D74" s="861"/>
      <c r="E74" s="861"/>
      <c r="F74" s="861"/>
      <c r="G74" s="861"/>
    </row>
    <row r="75" spans="2:11">
      <c r="B75" s="865"/>
      <c r="C75" s="861"/>
      <c r="D75" s="861"/>
      <c r="E75" s="861"/>
      <c r="F75" s="861"/>
      <c r="G75" s="861"/>
    </row>
    <row r="76" spans="2:11">
      <c r="B76" s="865"/>
      <c r="C76" s="861"/>
      <c r="D76" s="861"/>
      <c r="E76" s="861"/>
      <c r="F76" s="861"/>
      <c r="G76" s="861"/>
    </row>
    <row r="77" spans="2:11">
      <c r="B77" s="865"/>
      <c r="C77" s="861"/>
      <c r="D77" s="861"/>
      <c r="E77" s="861"/>
      <c r="F77" s="861"/>
      <c r="G77" s="861"/>
    </row>
    <row r="78" spans="2:11">
      <c r="B78" s="865"/>
      <c r="C78" s="861"/>
      <c r="D78" s="861"/>
      <c r="E78" s="861"/>
      <c r="F78" s="861"/>
      <c r="G78" s="861"/>
    </row>
    <row r="79" spans="2:11">
      <c r="B79" s="865"/>
      <c r="C79" s="861"/>
      <c r="D79" s="861"/>
      <c r="E79" s="861"/>
      <c r="F79" s="861"/>
      <c r="G79" s="861"/>
    </row>
    <row r="80" spans="2:11">
      <c r="B80" s="865"/>
      <c r="C80" s="861"/>
      <c r="D80" s="861"/>
      <c r="E80" s="861"/>
      <c r="F80" s="861"/>
      <c r="G80" s="861"/>
    </row>
    <row r="81" spans="2:7">
      <c r="B81" s="865"/>
      <c r="C81" s="861"/>
      <c r="D81" s="861"/>
      <c r="E81" s="861"/>
      <c r="F81" s="861"/>
      <c r="G81" s="861"/>
    </row>
    <row r="82" spans="2:7">
      <c r="B82" s="865"/>
      <c r="C82" s="861"/>
      <c r="D82" s="861"/>
      <c r="E82" s="861"/>
      <c r="F82" s="861"/>
      <c r="G82" s="861"/>
    </row>
    <row r="83" spans="2:7">
      <c r="B83" s="865"/>
      <c r="C83" s="861"/>
      <c r="D83" s="861"/>
      <c r="E83" s="861"/>
      <c r="F83" s="861"/>
      <c r="G83" s="861"/>
    </row>
    <row r="84" spans="2:7">
      <c r="B84" s="865"/>
      <c r="C84" s="861"/>
      <c r="D84" s="861"/>
      <c r="E84" s="861"/>
      <c r="F84" s="861"/>
      <c r="G84" s="861"/>
    </row>
    <row r="85" spans="2:7">
      <c r="B85" s="865"/>
      <c r="C85" s="861"/>
      <c r="D85" s="861"/>
      <c r="E85" s="861"/>
      <c r="F85" s="861"/>
      <c r="G85" s="861"/>
    </row>
    <row r="86" spans="2:7">
      <c r="B86" s="865"/>
      <c r="C86" s="861"/>
      <c r="D86" s="861"/>
      <c r="E86" s="861"/>
      <c r="F86" s="861"/>
      <c r="G86" s="861"/>
    </row>
    <row r="87" spans="2:7">
      <c r="B87" s="865"/>
      <c r="C87" s="861"/>
      <c r="D87" s="861"/>
      <c r="E87" s="861"/>
      <c r="F87" s="861"/>
      <c r="G87" s="861"/>
    </row>
    <row r="88" spans="2:7">
      <c r="B88" s="865"/>
      <c r="C88" s="861"/>
      <c r="D88" s="861"/>
      <c r="E88" s="861"/>
      <c r="F88" s="861"/>
      <c r="G88" s="861"/>
    </row>
    <row r="89" spans="2:7">
      <c r="B89" s="865"/>
      <c r="C89" s="861"/>
      <c r="D89" s="861"/>
      <c r="E89" s="861"/>
      <c r="F89" s="861"/>
      <c r="G89" s="861"/>
    </row>
    <row r="90" spans="2:7">
      <c r="B90" s="865"/>
      <c r="C90" s="861"/>
      <c r="D90" s="861"/>
      <c r="E90" s="861"/>
      <c r="F90" s="861"/>
      <c r="G90" s="861"/>
    </row>
    <row r="91" spans="2:7">
      <c r="B91" s="865"/>
      <c r="C91" s="861"/>
      <c r="D91" s="861"/>
      <c r="E91" s="861"/>
      <c r="F91" s="861"/>
      <c r="G91" s="861"/>
    </row>
    <row r="92" spans="2:7">
      <c r="B92" s="865"/>
      <c r="C92" s="861"/>
      <c r="D92" s="861"/>
      <c r="E92" s="861"/>
      <c r="F92" s="861"/>
      <c r="G92" s="861"/>
    </row>
    <row r="93" spans="2:7">
      <c r="B93" s="865"/>
      <c r="C93" s="861"/>
      <c r="D93" s="861"/>
      <c r="E93" s="861"/>
      <c r="F93" s="861"/>
      <c r="G93" s="861"/>
    </row>
    <row r="94" spans="2:7">
      <c r="B94" s="865"/>
      <c r="C94" s="861"/>
      <c r="D94" s="861"/>
      <c r="E94" s="861"/>
      <c r="F94" s="861"/>
      <c r="G94" s="861"/>
    </row>
    <row r="95" spans="2:7">
      <c r="B95" s="865"/>
      <c r="C95" s="861"/>
      <c r="D95" s="861"/>
      <c r="E95" s="861"/>
      <c r="F95" s="861"/>
      <c r="G95" s="861"/>
    </row>
    <row r="96" spans="2:7">
      <c r="B96" s="865"/>
      <c r="C96" s="861"/>
      <c r="D96" s="861"/>
      <c r="E96" s="861"/>
      <c r="F96" s="861"/>
      <c r="G96" s="861"/>
    </row>
    <row r="97" spans="2:7">
      <c r="B97" s="865"/>
      <c r="C97" s="861"/>
      <c r="D97" s="861"/>
      <c r="E97" s="861"/>
      <c r="F97" s="861"/>
      <c r="G97" s="861"/>
    </row>
    <row r="98" spans="2:7">
      <c r="B98" s="865"/>
      <c r="C98" s="861"/>
      <c r="D98" s="861"/>
      <c r="E98" s="861"/>
      <c r="F98" s="861"/>
      <c r="G98" s="861"/>
    </row>
    <row r="99" spans="2:7">
      <c r="B99" s="865"/>
      <c r="C99" s="861"/>
      <c r="D99" s="861"/>
      <c r="E99" s="861"/>
      <c r="F99" s="861"/>
      <c r="G99" s="861"/>
    </row>
    <row r="100" spans="2:7">
      <c r="B100" s="865"/>
      <c r="C100" s="861"/>
      <c r="D100" s="861"/>
      <c r="E100" s="861"/>
      <c r="F100" s="861"/>
      <c r="G100" s="861"/>
    </row>
    <row r="101" spans="2:7">
      <c r="B101" s="865"/>
      <c r="C101" s="861"/>
      <c r="D101" s="861"/>
      <c r="E101" s="861"/>
      <c r="F101" s="861"/>
      <c r="G101" s="861"/>
    </row>
    <row r="102" spans="2:7">
      <c r="B102" s="865"/>
      <c r="C102" s="861"/>
      <c r="D102" s="861"/>
      <c r="E102" s="861"/>
      <c r="F102" s="861"/>
      <c r="G102" s="861"/>
    </row>
    <row r="103" spans="2:7">
      <c r="B103" s="865"/>
      <c r="C103" s="861"/>
      <c r="D103" s="861"/>
      <c r="E103" s="861"/>
      <c r="F103" s="861"/>
      <c r="G103" s="861"/>
    </row>
    <row r="104" spans="2:7">
      <c r="B104" s="865"/>
      <c r="C104" s="861"/>
      <c r="D104" s="861"/>
      <c r="E104" s="861"/>
      <c r="F104" s="861"/>
      <c r="G104" s="861"/>
    </row>
    <row r="105" spans="2:7">
      <c r="B105" s="865"/>
      <c r="C105" s="861"/>
      <c r="D105" s="861"/>
      <c r="E105" s="861"/>
      <c r="F105" s="861"/>
      <c r="G105" s="861"/>
    </row>
    <row r="106" spans="2:7">
      <c r="B106" s="865"/>
      <c r="C106" s="861"/>
      <c r="D106" s="861"/>
      <c r="E106" s="861"/>
      <c r="F106" s="861"/>
      <c r="G106" s="861"/>
    </row>
    <row r="107" spans="2:7">
      <c r="B107" s="865"/>
      <c r="C107" s="861"/>
      <c r="D107" s="861"/>
      <c r="E107" s="861"/>
      <c r="F107" s="861"/>
      <c r="G107" s="861"/>
    </row>
    <row r="108" spans="2:7">
      <c r="B108" s="865"/>
      <c r="C108" s="861"/>
      <c r="D108" s="861"/>
      <c r="E108" s="861"/>
      <c r="F108" s="861"/>
      <c r="G108" s="861"/>
    </row>
    <row r="109" spans="2:7">
      <c r="B109" s="865"/>
      <c r="C109" s="861"/>
      <c r="D109" s="861"/>
      <c r="E109" s="861"/>
      <c r="F109" s="861"/>
      <c r="G109" s="861"/>
    </row>
    <row r="110" spans="2:7">
      <c r="B110" s="865"/>
      <c r="C110" s="861"/>
      <c r="D110" s="861"/>
      <c r="E110" s="861"/>
      <c r="F110" s="861"/>
      <c r="G110" s="861"/>
    </row>
    <row r="111" spans="2:7">
      <c r="B111" s="865"/>
      <c r="C111" s="861"/>
      <c r="D111" s="861"/>
      <c r="E111" s="861"/>
      <c r="F111" s="861"/>
      <c r="G111" s="861"/>
    </row>
    <row r="112" spans="2:7">
      <c r="B112" s="865"/>
      <c r="C112" s="861"/>
      <c r="D112" s="861"/>
      <c r="E112" s="861"/>
      <c r="F112" s="861"/>
      <c r="G112" s="861"/>
    </row>
    <row r="113" spans="2:7">
      <c r="B113" s="865"/>
      <c r="C113" s="861"/>
      <c r="D113" s="861"/>
      <c r="E113" s="861"/>
      <c r="F113" s="861"/>
      <c r="G113" s="861"/>
    </row>
    <row r="114" spans="2:7">
      <c r="B114" s="865"/>
      <c r="C114" s="861"/>
      <c r="D114" s="861"/>
      <c r="E114" s="861"/>
      <c r="F114" s="861"/>
      <c r="G114" s="861"/>
    </row>
    <row r="115" spans="2:7">
      <c r="B115" s="865"/>
      <c r="C115" s="861"/>
      <c r="D115" s="861"/>
      <c r="E115" s="861"/>
      <c r="F115" s="861"/>
      <c r="G115" s="861"/>
    </row>
    <row r="116" spans="2:7">
      <c r="B116" s="865"/>
      <c r="C116" s="861"/>
      <c r="D116" s="861"/>
      <c r="E116" s="861"/>
      <c r="F116" s="861"/>
      <c r="G116" s="861"/>
    </row>
    <row r="117" spans="2:7">
      <c r="B117" s="865"/>
      <c r="C117" s="861"/>
      <c r="D117" s="861"/>
      <c r="E117" s="861"/>
      <c r="F117" s="861"/>
      <c r="G117" s="861"/>
    </row>
    <row r="118" spans="2:7">
      <c r="B118" s="865"/>
      <c r="C118" s="861"/>
      <c r="D118" s="861"/>
      <c r="E118" s="861"/>
      <c r="F118" s="861"/>
      <c r="G118" s="861"/>
    </row>
    <row r="119" spans="2:7">
      <c r="B119" s="865"/>
      <c r="C119" s="861"/>
      <c r="D119" s="861"/>
      <c r="E119" s="861"/>
      <c r="F119" s="861"/>
      <c r="G119" s="861"/>
    </row>
    <row r="120" spans="2:7">
      <c r="B120" s="865"/>
      <c r="C120" s="861"/>
      <c r="D120" s="861"/>
      <c r="E120" s="861"/>
      <c r="F120" s="861"/>
      <c r="G120" s="861"/>
    </row>
    <row r="121" spans="2:7">
      <c r="B121" s="865"/>
      <c r="C121" s="861"/>
      <c r="D121" s="861"/>
      <c r="E121" s="861"/>
      <c r="F121" s="861"/>
      <c r="G121" s="861"/>
    </row>
    <row r="122" spans="2:7">
      <c r="B122" s="865"/>
      <c r="C122" s="861"/>
      <c r="D122" s="861"/>
      <c r="E122" s="861"/>
      <c r="F122" s="861"/>
      <c r="G122" s="861"/>
    </row>
    <row r="123" spans="2:7">
      <c r="B123" s="865"/>
      <c r="C123" s="861"/>
      <c r="D123" s="861"/>
      <c r="E123" s="861"/>
      <c r="F123" s="861"/>
      <c r="G123" s="861"/>
    </row>
    <row r="124" spans="2:7">
      <c r="B124" s="865"/>
      <c r="C124" s="861"/>
      <c r="D124" s="861"/>
      <c r="E124" s="861"/>
      <c r="F124" s="861"/>
      <c r="G124" s="861"/>
    </row>
    <row r="125" spans="2:7">
      <c r="B125" s="865"/>
      <c r="C125" s="861"/>
      <c r="D125" s="861"/>
      <c r="E125" s="861"/>
      <c r="F125" s="861"/>
      <c r="G125" s="861"/>
    </row>
    <row r="126" spans="2:7">
      <c r="B126" s="865"/>
      <c r="C126" s="861"/>
      <c r="D126" s="861"/>
      <c r="E126" s="861"/>
      <c r="F126" s="861"/>
      <c r="G126" s="861"/>
    </row>
    <row r="127" spans="2:7">
      <c r="B127" s="865"/>
      <c r="C127" s="861"/>
      <c r="D127" s="861"/>
      <c r="E127" s="861"/>
      <c r="F127" s="861"/>
      <c r="G127" s="861"/>
    </row>
    <row r="128" spans="2:7">
      <c r="B128" s="865"/>
      <c r="C128" s="861"/>
      <c r="D128" s="861"/>
      <c r="E128" s="861"/>
      <c r="F128" s="861"/>
      <c r="G128" s="861"/>
    </row>
    <row r="129" spans="2:7">
      <c r="B129" s="865"/>
      <c r="C129" s="861"/>
      <c r="D129" s="861"/>
      <c r="E129" s="861"/>
      <c r="F129" s="861"/>
      <c r="G129" s="861"/>
    </row>
    <row r="130" spans="2:7">
      <c r="B130" s="865"/>
      <c r="C130" s="861"/>
      <c r="D130" s="861"/>
      <c r="E130" s="861"/>
      <c r="F130" s="861"/>
      <c r="G130" s="861"/>
    </row>
    <row r="131" spans="2:7">
      <c r="B131" s="865"/>
      <c r="C131" s="861"/>
      <c r="D131" s="861"/>
      <c r="E131" s="861"/>
      <c r="F131" s="861"/>
      <c r="G131" s="861"/>
    </row>
    <row r="132" spans="2:7">
      <c r="B132" s="865"/>
      <c r="C132" s="861"/>
      <c r="D132" s="861"/>
      <c r="E132" s="861"/>
      <c r="F132" s="861"/>
      <c r="G132" s="861"/>
    </row>
    <row r="133" spans="2:7">
      <c r="B133" s="865"/>
      <c r="C133" s="861"/>
      <c r="D133" s="861"/>
      <c r="E133" s="861"/>
      <c r="F133" s="861"/>
      <c r="G133" s="861"/>
    </row>
    <row r="134" spans="2:7">
      <c r="B134" s="865"/>
      <c r="C134" s="861"/>
      <c r="D134" s="861"/>
      <c r="E134" s="861"/>
      <c r="F134" s="861"/>
      <c r="G134" s="861"/>
    </row>
    <row r="135" spans="2:7">
      <c r="B135" s="865"/>
      <c r="C135" s="861"/>
      <c r="D135" s="861"/>
      <c r="E135" s="861"/>
      <c r="F135" s="861"/>
      <c r="G135" s="861"/>
    </row>
    <row r="136" spans="2:7">
      <c r="B136" s="865"/>
      <c r="C136" s="861"/>
      <c r="D136" s="861"/>
      <c r="E136" s="861"/>
      <c r="F136" s="861"/>
      <c r="G136" s="861"/>
    </row>
    <row r="137" spans="2:7">
      <c r="B137" s="865"/>
      <c r="C137" s="861"/>
      <c r="D137" s="861"/>
      <c r="E137" s="861"/>
      <c r="F137" s="861"/>
      <c r="G137" s="861"/>
    </row>
    <row r="138" spans="2:7">
      <c r="B138" s="865"/>
      <c r="C138" s="861"/>
      <c r="D138" s="861"/>
      <c r="E138" s="861"/>
      <c r="F138" s="861"/>
      <c r="G138" s="861"/>
    </row>
    <row r="139" spans="2:7">
      <c r="B139" s="865"/>
      <c r="C139" s="861"/>
      <c r="D139" s="861"/>
      <c r="E139" s="861"/>
      <c r="F139" s="861"/>
      <c r="G139" s="861"/>
    </row>
    <row r="140" spans="2:7">
      <c r="B140" s="865"/>
      <c r="C140" s="861"/>
      <c r="D140" s="861"/>
      <c r="E140" s="861"/>
      <c r="F140" s="861"/>
      <c r="G140" s="861"/>
    </row>
    <row r="141" spans="2:7">
      <c r="B141" s="865"/>
      <c r="C141" s="861"/>
      <c r="D141" s="861"/>
      <c r="E141" s="861"/>
      <c r="F141" s="861"/>
      <c r="G141" s="861"/>
    </row>
    <row r="142" spans="2:7">
      <c r="B142" s="865"/>
      <c r="C142" s="861"/>
      <c r="D142" s="861"/>
      <c r="E142" s="861"/>
      <c r="F142" s="861"/>
      <c r="G142" s="861"/>
    </row>
    <row r="143" spans="2:7">
      <c r="B143" s="865"/>
      <c r="C143" s="861"/>
      <c r="D143" s="861"/>
      <c r="E143" s="861"/>
      <c r="F143" s="861"/>
      <c r="G143" s="861"/>
    </row>
    <row r="144" spans="2:7">
      <c r="B144" s="865"/>
      <c r="C144" s="861"/>
      <c r="D144" s="861"/>
      <c r="E144" s="861"/>
      <c r="F144" s="861"/>
      <c r="G144" s="861"/>
    </row>
    <row r="145" spans="2:9">
      <c r="B145" s="865"/>
      <c r="C145" s="861"/>
      <c r="D145" s="861"/>
      <c r="E145" s="861"/>
      <c r="F145" s="861"/>
      <c r="G145" s="861"/>
    </row>
    <row r="146" spans="2:9">
      <c r="B146" s="865"/>
      <c r="C146" s="861"/>
      <c r="D146" s="861"/>
      <c r="E146" s="861"/>
      <c r="F146" s="861"/>
      <c r="G146" s="861"/>
    </row>
    <row r="147" spans="2:9">
      <c r="B147" s="865"/>
      <c r="C147" s="861"/>
      <c r="D147" s="861"/>
      <c r="E147" s="861"/>
      <c r="F147" s="861"/>
      <c r="G147" s="861"/>
    </row>
    <row r="148" spans="2:9">
      <c r="B148" s="865"/>
      <c r="C148" s="861"/>
      <c r="D148" s="861"/>
      <c r="E148" s="861"/>
      <c r="F148" s="861"/>
      <c r="G148" s="861"/>
    </row>
    <row r="149" spans="2:9">
      <c r="B149" s="865"/>
      <c r="C149" s="861"/>
      <c r="D149" s="861"/>
      <c r="E149" s="861"/>
      <c r="F149" s="861"/>
      <c r="G149" s="861"/>
    </row>
    <row r="150" spans="2:9">
      <c r="B150" s="865"/>
      <c r="C150" s="861"/>
      <c r="D150" s="861"/>
      <c r="E150" s="861"/>
      <c r="F150" s="861"/>
      <c r="G150" s="861"/>
    </row>
    <row r="151" spans="2:9">
      <c r="B151" s="865"/>
      <c r="C151" s="861"/>
      <c r="D151" s="861"/>
      <c r="E151" s="861"/>
      <c r="F151" s="861"/>
      <c r="G151" s="861"/>
    </row>
    <row r="152" spans="2:9">
      <c r="B152" s="865"/>
      <c r="C152" s="861"/>
      <c r="D152" s="861"/>
      <c r="E152" s="861"/>
      <c r="F152" s="861"/>
      <c r="G152" s="861"/>
    </row>
    <row r="153" spans="2:9">
      <c r="B153" s="865"/>
      <c r="C153" s="861"/>
      <c r="D153" s="861"/>
      <c r="E153" s="861"/>
      <c r="F153" s="861"/>
      <c r="G153" s="861"/>
      <c r="H153" s="867"/>
      <c r="I153" s="867"/>
    </row>
    <row r="154" spans="2:9">
      <c r="B154" s="865"/>
      <c r="C154" s="861"/>
      <c r="D154" s="861"/>
      <c r="E154" s="861"/>
      <c r="F154" s="861"/>
      <c r="G154" s="861"/>
    </row>
    <row r="155" spans="2:9">
      <c r="B155" s="865"/>
      <c r="C155" s="861"/>
      <c r="D155" s="861"/>
      <c r="E155" s="861"/>
      <c r="F155" s="861"/>
      <c r="G155" s="861"/>
    </row>
    <row r="156" spans="2:9">
      <c r="B156" s="865"/>
      <c r="C156" s="861"/>
      <c r="D156" s="861"/>
      <c r="E156" s="861"/>
      <c r="F156" s="861"/>
      <c r="G156" s="861"/>
    </row>
    <row r="157" spans="2:9">
      <c r="B157" s="865"/>
      <c r="C157" s="861"/>
      <c r="D157" s="861"/>
      <c r="E157" s="861"/>
      <c r="F157" s="861"/>
      <c r="G157" s="861"/>
    </row>
    <row r="158" spans="2:9">
      <c r="B158" s="865"/>
      <c r="C158" s="861"/>
      <c r="D158" s="861"/>
      <c r="E158" s="861"/>
      <c r="F158" s="861"/>
      <c r="G158" s="861"/>
    </row>
    <row r="159" spans="2:9">
      <c r="B159" s="865"/>
      <c r="C159" s="861"/>
      <c r="D159" s="861"/>
      <c r="E159" s="861"/>
      <c r="F159" s="861"/>
      <c r="G159" s="861"/>
    </row>
    <row r="160" spans="2:9">
      <c r="B160" s="865"/>
      <c r="C160" s="861"/>
      <c r="D160" s="861"/>
      <c r="E160" s="861"/>
      <c r="F160" s="861"/>
      <c r="G160" s="861"/>
    </row>
    <row r="161" spans="2:7">
      <c r="B161" s="865"/>
      <c r="C161" s="861"/>
      <c r="D161" s="861"/>
      <c r="E161" s="861"/>
      <c r="F161" s="861"/>
      <c r="G161" s="861"/>
    </row>
    <row r="162" spans="2:7">
      <c r="B162" s="865"/>
      <c r="C162" s="861"/>
      <c r="D162" s="861"/>
      <c r="E162" s="861"/>
      <c r="F162" s="861"/>
      <c r="G162" s="861"/>
    </row>
    <row r="163" spans="2:7">
      <c r="B163" s="865"/>
      <c r="C163" s="861"/>
      <c r="D163" s="861"/>
      <c r="E163" s="861"/>
      <c r="F163" s="861"/>
      <c r="G163" s="861"/>
    </row>
    <row r="164" spans="2:7">
      <c r="B164" s="865"/>
      <c r="C164" s="861"/>
      <c r="D164" s="861"/>
      <c r="E164" s="861"/>
      <c r="F164" s="861"/>
      <c r="G164" s="861"/>
    </row>
    <row r="165" spans="2:7">
      <c r="B165" s="865"/>
      <c r="C165" s="861"/>
      <c r="D165" s="861"/>
      <c r="E165" s="861"/>
      <c r="F165" s="861"/>
      <c r="G165" s="861"/>
    </row>
    <row r="166" spans="2:7">
      <c r="B166" s="865"/>
      <c r="C166" s="861"/>
      <c r="D166" s="861"/>
      <c r="E166" s="861"/>
      <c r="F166" s="861"/>
      <c r="G166" s="861"/>
    </row>
    <row r="167" spans="2:7">
      <c r="B167" s="865"/>
      <c r="C167" s="861"/>
      <c r="D167" s="861"/>
      <c r="E167" s="861"/>
      <c r="F167" s="861"/>
      <c r="G167" s="861"/>
    </row>
    <row r="168" spans="2:7">
      <c r="B168" s="865"/>
      <c r="C168" s="861"/>
      <c r="D168" s="861"/>
      <c r="E168" s="861"/>
      <c r="F168" s="861"/>
      <c r="G168" s="861"/>
    </row>
    <row r="169" spans="2:7">
      <c r="B169" s="865"/>
      <c r="C169" s="861"/>
      <c r="D169" s="861"/>
      <c r="E169" s="861"/>
      <c r="F169" s="861"/>
      <c r="G169" s="861"/>
    </row>
    <row r="170" spans="2:7">
      <c r="B170" s="865"/>
      <c r="C170" s="861"/>
      <c r="D170" s="861"/>
      <c r="E170" s="861"/>
      <c r="F170" s="861"/>
      <c r="G170" s="861"/>
    </row>
    <row r="171" spans="2:7">
      <c r="B171" s="865"/>
      <c r="C171" s="861"/>
      <c r="D171" s="861"/>
      <c r="E171" s="861"/>
      <c r="F171" s="861"/>
      <c r="G171" s="861"/>
    </row>
    <row r="172" spans="2:7">
      <c r="B172" s="865"/>
      <c r="C172" s="861"/>
      <c r="D172" s="861"/>
      <c r="E172" s="861"/>
      <c r="F172" s="861"/>
      <c r="G172" s="861"/>
    </row>
    <row r="173" spans="2:7">
      <c r="B173" s="865"/>
      <c r="C173" s="861"/>
      <c r="D173" s="861"/>
      <c r="E173" s="861"/>
      <c r="F173" s="861"/>
      <c r="G173" s="861"/>
    </row>
    <row r="174" spans="2:7">
      <c r="B174" s="865"/>
      <c r="C174" s="861"/>
      <c r="D174" s="861"/>
      <c r="E174" s="861"/>
      <c r="F174" s="861"/>
      <c r="G174" s="861"/>
    </row>
    <row r="175" spans="2:7">
      <c r="B175" s="865"/>
      <c r="C175" s="861"/>
      <c r="D175" s="861"/>
      <c r="E175" s="861"/>
      <c r="F175" s="861"/>
      <c r="G175" s="861"/>
    </row>
    <row r="176" spans="2:7">
      <c r="B176" s="865"/>
      <c r="C176" s="861"/>
      <c r="D176" s="861"/>
      <c r="E176" s="861"/>
      <c r="F176" s="861"/>
      <c r="G176" s="861"/>
    </row>
    <row r="177" spans="2:7">
      <c r="B177" s="865"/>
      <c r="C177" s="861"/>
      <c r="D177" s="861"/>
      <c r="E177" s="861"/>
      <c r="F177" s="861"/>
      <c r="G177" s="861"/>
    </row>
    <row r="178" spans="2:7">
      <c r="B178" s="865"/>
      <c r="C178" s="861"/>
      <c r="D178" s="861"/>
      <c r="E178" s="861"/>
      <c r="F178" s="861"/>
      <c r="G178" s="861"/>
    </row>
    <row r="179" spans="2:7">
      <c r="B179" s="865"/>
      <c r="C179" s="861"/>
      <c r="D179" s="861"/>
      <c r="E179" s="861"/>
      <c r="F179" s="861"/>
      <c r="G179" s="861"/>
    </row>
    <row r="180" spans="2:7">
      <c r="B180" s="865"/>
      <c r="C180" s="861"/>
      <c r="D180" s="861"/>
      <c r="E180" s="861"/>
      <c r="F180" s="861"/>
      <c r="G180" s="861"/>
    </row>
    <row r="181" spans="2:7">
      <c r="B181" s="865"/>
      <c r="C181" s="861"/>
      <c r="D181" s="861"/>
      <c r="E181" s="861"/>
      <c r="F181" s="861"/>
      <c r="G181" s="861"/>
    </row>
    <row r="182" spans="2:7">
      <c r="B182" s="865"/>
      <c r="C182" s="861"/>
      <c r="D182" s="861"/>
      <c r="E182" s="861"/>
      <c r="F182" s="861"/>
      <c r="G182" s="861"/>
    </row>
    <row r="183" spans="2:7">
      <c r="B183" s="865"/>
      <c r="C183" s="861"/>
      <c r="D183" s="861"/>
      <c r="E183" s="861"/>
      <c r="F183" s="861"/>
      <c r="G183" s="861"/>
    </row>
    <row r="184" spans="2:7">
      <c r="B184" s="865"/>
      <c r="C184" s="861"/>
      <c r="D184" s="861"/>
      <c r="E184" s="861"/>
      <c r="F184" s="861"/>
      <c r="G184" s="861"/>
    </row>
    <row r="185" spans="2:7">
      <c r="B185" s="865"/>
      <c r="C185" s="861"/>
      <c r="D185" s="861"/>
      <c r="E185" s="861"/>
      <c r="F185" s="861"/>
      <c r="G185" s="861"/>
    </row>
    <row r="186" spans="2:7">
      <c r="B186" s="865"/>
      <c r="C186" s="861"/>
      <c r="D186" s="861"/>
      <c r="E186" s="861"/>
      <c r="F186" s="861"/>
      <c r="G186" s="861"/>
    </row>
    <row r="187" spans="2:7">
      <c r="B187" s="865"/>
      <c r="C187" s="861"/>
      <c r="D187" s="861"/>
      <c r="E187" s="861"/>
      <c r="F187" s="861"/>
      <c r="G187" s="861"/>
    </row>
    <row r="188" spans="2:7">
      <c r="B188" s="865"/>
      <c r="C188" s="861"/>
      <c r="D188" s="861"/>
      <c r="E188" s="861"/>
      <c r="F188" s="861"/>
      <c r="G188" s="861"/>
    </row>
    <row r="189" spans="2:7">
      <c r="B189" s="865"/>
      <c r="C189" s="861"/>
      <c r="D189" s="861"/>
      <c r="E189" s="861"/>
      <c r="F189" s="861"/>
      <c r="G189" s="861"/>
    </row>
    <row r="190" spans="2:7">
      <c r="B190" s="865"/>
      <c r="C190" s="861"/>
      <c r="D190" s="861"/>
      <c r="E190" s="861"/>
      <c r="F190" s="861"/>
      <c r="G190" s="861"/>
    </row>
    <row r="191" spans="2:7">
      <c r="B191" s="865"/>
      <c r="C191" s="861"/>
      <c r="D191" s="861"/>
      <c r="E191" s="861"/>
      <c r="F191" s="861"/>
      <c r="G191" s="861"/>
    </row>
    <row r="192" spans="2:7">
      <c r="B192" s="865"/>
      <c r="C192" s="861"/>
      <c r="D192" s="861"/>
      <c r="E192" s="861"/>
      <c r="F192" s="861"/>
      <c r="G192" s="861"/>
    </row>
    <row r="193" spans="2:7">
      <c r="B193" s="865"/>
      <c r="C193" s="861"/>
      <c r="D193" s="861"/>
      <c r="E193" s="861"/>
      <c r="F193" s="861"/>
      <c r="G193" s="861"/>
    </row>
    <row r="194" spans="2:7">
      <c r="B194" s="865"/>
      <c r="C194" s="861"/>
      <c r="D194" s="861"/>
      <c r="E194" s="861"/>
      <c r="F194" s="861"/>
      <c r="G194" s="861"/>
    </row>
    <row r="195" spans="2:7">
      <c r="B195" s="865"/>
      <c r="C195" s="861"/>
      <c r="D195" s="861"/>
      <c r="E195" s="861"/>
      <c r="F195" s="861"/>
      <c r="G195" s="861"/>
    </row>
    <row r="196" spans="2:7">
      <c r="B196" s="865"/>
      <c r="C196" s="861"/>
      <c r="D196" s="861"/>
      <c r="E196" s="861"/>
      <c r="F196" s="861"/>
      <c r="G196" s="861"/>
    </row>
    <row r="197" spans="2:7">
      <c r="B197" s="865"/>
      <c r="C197" s="861"/>
      <c r="D197" s="861"/>
      <c r="E197" s="861"/>
      <c r="F197" s="861"/>
      <c r="G197" s="861"/>
    </row>
    <row r="198" spans="2:7">
      <c r="B198" s="865"/>
      <c r="C198" s="861"/>
      <c r="D198" s="861"/>
      <c r="E198" s="861"/>
      <c r="F198" s="861"/>
      <c r="G198" s="861"/>
    </row>
    <row r="199" spans="2:7">
      <c r="B199" s="865"/>
      <c r="C199" s="861"/>
      <c r="D199" s="861"/>
      <c r="E199" s="861"/>
      <c r="F199" s="861"/>
      <c r="G199" s="861"/>
    </row>
    <row r="200" spans="2:7">
      <c r="B200" s="865"/>
      <c r="C200" s="861"/>
      <c r="D200" s="861"/>
      <c r="E200" s="861"/>
      <c r="F200" s="861"/>
      <c r="G200" s="861"/>
    </row>
    <row r="201" spans="2:7">
      <c r="B201" s="865"/>
      <c r="C201" s="861"/>
      <c r="D201" s="861"/>
      <c r="E201" s="861"/>
      <c r="F201" s="861"/>
      <c r="G201" s="861"/>
    </row>
    <row r="202" spans="2:7">
      <c r="B202" s="865"/>
      <c r="C202" s="861"/>
      <c r="D202" s="861"/>
      <c r="E202" s="861"/>
      <c r="F202" s="861"/>
      <c r="G202" s="861"/>
    </row>
    <row r="203" spans="2:7">
      <c r="B203" s="865"/>
      <c r="C203" s="861"/>
      <c r="D203" s="861"/>
      <c r="E203" s="861"/>
      <c r="F203" s="861"/>
      <c r="G203" s="861"/>
    </row>
    <row r="204" spans="2:7">
      <c r="B204" s="865"/>
      <c r="C204" s="861"/>
      <c r="D204" s="861"/>
      <c r="E204" s="861"/>
      <c r="F204" s="861"/>
      <c r="G204" s="861"/>
    </row>
    <row r="205" spans="2:7">
      <c r="B205" s="865"/>
      <c r="C205" s="861"/>
      <c r="D205" s="861"/>
      <c r="E205" s="861"/>
      <c r="F205" s="861"/>
      <c r="G205" s="861"/>
    </row>
    <row r="206" spans="2:7">
      <c r="B206" s="865"/>
      <c r="C206" s="861"/>
      <c r="D206" s="861"/>
      <c r="E206" s="861"/>
      <c r="F206" s="861"/>
      <c r="G206" s="861"/>
    </row>
    <row r="207" spans="2:7">
      <c r="B207" s="865"/>
      <c r="C207" s="861"/>
      <c r="D207" s="861"/>
      <c r="E207" s="861"/>
      <c r="F207" s="861"/>
      <c r="G207" s="861"/>
    </row>
    <row r="208" spans="2:7">
      <c r="B208" s="865"/>
      <c r="C208" s="861"/>
      <c r="D208" s="861"/>
      <c r="E208" s="861"/>
      <c r="F208" s="861"/>
      <c r="G208" s="861"/>
    </row>
    <row r="209" spans="2:7">
      <c r="B209" s="865"/>
      <c r="C209" s="861"/>
      <c r="D209" s="861"/>
      <c r="E209" s="861"/>
      <c r="F209" s="861"/>
      <c r="G209" s="861"/>
    </row>
    <row r="210" spans="2:7">
      <c r="B210" s="865"/>
      <c r="C210" s="861"/>
      <c r="D210" s="861"/>
      <c r="E210" s="861"/>
      <c r="F210" s="861"/>
      <c r="G210" s="861"/>
    </row>
    <row r="211" spans="2:7">
      <c r="B211" s="865"/>
      <c r="C211" s="861"/>
      <c r="D211" s="861"/>
      <c r="E211" s="861"/>
      <c r="F211" s="861"/>
      <c r="G211" s="861"/>
    </row>
    <row r="212" spans="2:7">
      <c r="B212" s="865"/>
      <c r="C212" s="861"/>
      <c r="D212" s="861"/>
      <c r="E212" s="861"/>
      <c r="F212" s="861"/>
      <c r="G212" s="861"/>
    </row>
    <row r="213" spans="2:7">
      <c r="B213" s="865"/>
      <c r="C213" s="861"/>
      <c r="D213" s="861"/>
      <c r="E213" s="861"/>
      <c r="F213" s="861"/>
      <c r="G213" s="861"/>
    </row>
    <row r="214" spans="2:7">
      <c r="B214" s="865"/>
      <c r="C214" s="861"/>
      <c r="D214" s="861"/>
      <c r="E214" s="861"/>
      <c r="F214" s="861"/>
      <c r="G214" s="861"/>
    </row>
    <row r="215" spans="2:7">
      <c r="B215" s="865"/>
      <c r="C215" s="861"/>
      <c r="D215" s="861"/>
      <c r="E215" s="861"/>
      <c r="F215" s="861"/>
      <c r="G215" s="861"/>
    </row>
    <row r="216" spans="2:7">
      <c r="B216" s="865"/>
      <c r="C216" s="861"/>
      <c r="D216" s="861"/>
      <c r="E216" s="861"/>
      <c r="F216" s="861"/>
      <c r="G216" s="861"/>
    </row>
    <row r="217" spans="2:7">
      <c r="B217" s="865"/>
      <c r="C217" s="861"/>
      <c r="D217" s="861"/>
      <c r="E217" s="861"/>
      <c r="F217" s="861"/>
      <c r="G217" s="861"/>
    </row>
    <row r="218" spans="2:7">
      <c r="B218" s="865"/>
      <c r="C218" s="861"/>
      <c r="D218" s="861"/>
      <c r="E218" s="861"/>
      <c r="F218" s="861"/>
      <c r="G218" s="861"/>
    </row>
    <row r="219" spans="2:7">
      <c r="B219" s="865"/>
      <c r="C219" s="861"/>
      <c r="D219" s="861"/>
      <c r="E219" s="861"/>
      <c r="F219" s="861"/>
      <c r="G219" s="861"/>
    </row>
    <row r="220" spans="2:7">
      <c r="B220" s="865"/>
      <c r="C220" s="861"/>
      <c r="D220" s="861"/>
      <c r="E220" s="861"/>
      <c r="F220" s="861"/>
      <c r="G220" s="861"/>
    </row>
    <row r="221" spans="2:7">
      <c r="B221" s="865"/>
      <c r="C221" s="861"/>
      <c r="D221" s="861"/>
      <c r="E221" s="861"/>
      <c r="F221" s="861"/>
      <c r="G221" s="861"/>
    </row>
    <row r="222" spans="2:7">
      <c r="B222" s="865"/>
      <c r="C222" s="861"/>
      <c r="D222" s="861"/>
      <c r="E222" s="861"/>
      <c r="F222" s="861"/>
      <c r="G222" s="861"/>
    </row>
    <row r="223" spans="2:7">
      <c r="B223" s="865"/>
      <c r="C223" s="861"/>
      <c r="D223" s="861"/>
      <c r="E223" s="861"/>
      <c r="F223" s="861"/>
      <c r="G223" s="861"/>
    </row>
    <row r="224" spans="2:7">
      <c r="B224" s="865"/>
      <c r="C224" s="861"/>
      <c r="D224" s="861"/>
      <c r="E224" s="861"/>
      <c r="F224" s="861"/>
      <c r="G224" s="861"/>
    </row>
    <row r="225" spans="2:7">
      <c r="B225" s="865"/>
      <c r="C225" s="861"/>
      <c r="D225" s="861"/>
      <c r="E225" s="861"/>
      <c r="F225" s="861"/>
      <c r="G225" s="861"/>
    </row>
    <row r="226" spans="2:7">
      <c r="B226" s="865"/>
      <c r="C226" s="861"/>
      <c r="D226" s="861"/>
      <c r="E226" s="861"/>
      <c r="F226" s="861"/>
      <c r="G226" s="861"/>
    </row>
    <row r="227" spans="2:7">
      <c r="B227" s="865"/>
      <c r="C227" s="861"/>
      <c r="D227" s="861"/>
      <c r="E227" s="861"/>
      <c r="F227" s="861"/>
      <c r="G227" s="861"/>
    </row>
    <row r="228" spans="2:7">
      <c r="B228" s="865"/>
      <c r="C228" s="861"/>
      <c r="D228" s="861"/>
      <c r="E228" s="861"/>
      <c r="F228" s="861"/>
      <c r="G228" s="861"/>
    </row>
    <row r="229" spans="2:7">
      <c r="B229" s="865"/>
      <c r="C229" s="861"/>
      <c r="D229" s="861"/>
      <c r="E229" s="861"/>
      <c r="F229" s="861"/>
      <c r="G229" s="861"/>
    </row>
    <row r="230" spans="2:7">
      <c r="B230" s="865"/>
      <c r="C230" s="861"/>
      <c r="D230" s="861"/>
      <c r="E230" s="861"/>
      <c r="F230" s="861"/>
      <c r="G230" s="861"/>
    </row>
    <row r="231" spans="2:7">
      <c r="B231" s="865"/>
      <c r="C231" s="861"/>
      <c r="D231" s="861"/>
      <c r="E231" s="861"/>
      <c r="F231" s="861"/>
      <c r="G231" s="861"/>
    </row>
    <row r="232" spans="2:7">
      <c r="B232" s="865"/>
      <c r="C232" s="861"/>
      <c r="D232" s="861"/>
      <c r="E232" s="861"/>
      <c r="F232" s="861"/>
      <c r="G232" s="861"/>
    </row>
    <row r="233" spans="2:7">
      <c r="B233" s="865"/>
      <c r="C233" s="861"/>
      <c r="D233" s="861"/>
      <c r="E233" s="861"/>
      <c r="F233" s="861"/>
      <c r="G233" s="861"/>
    </row>
    <row r="234" spans="2:7">
      <c r="B234" s="865"/>
      <c r="C234" s="861"/>
      <c r="D234" s="861"/>
      <c r="E234" s="861"/>
      <c r="F234" s="861"/>
      <c r="G234" s="861"/>
    </row>
    <row r="235" spans="2:7">
      <c r="B235" s="865"/>
      <c r="C235" s="861"/>
      <c r="D235" s="861"/>
      <c r="E235" s="861"/>
      <c r="F235" s="861"/>
      <c r="G235" s="861"/>
    </row>
    <row r="236" spans="2:7">
      <c r="B236" s="865"/>
      <c r="C236" s="861"/>
      <c r="D236" s="861"/>
      <c r="E236" s="861"/>
      <c r="F236" s="861"/>
      <c r="G236" s="861"/>
    </row>
    <row r="237" spans="2:7">
      <c r="B237" s="865"/>
      <c r="C237" s="861"/>
      <c r="D237" s="861"/>
      <c r="E237" s="861"/>
      <c r="F237" s="861"/>
      <c r="G237" s="861"/>
    </row>
    <row r="238" spans="2:7">
      <c r="B238" s="865"/>
      <c r="C238" s="861"/>
      <c r="D238" s="861"/>
      <c r="E238" s="861"/>
      <c r="F238" s="861"/>
      <c r="G238" s="861"/>
    </row>
    <row r="239" spans="2:7">
      <c r="B239" s="865"/>
      <c r="C239" s="861"/>
      <c r="D239" s="861"/>
      <c r="E239" s="861"/>
      <c r="F239" s="861"/>
      <c r="G239" s="861"/>
    </row>
    <row r="240" spans="2:7">
      <c r="B240" s="865"/>
      <c r="C240" s="861"/>
      <c r="D240" s="861"/>
      <c r="E240" s="861"/>
      <c r="F240" s="861"/>
      <c r="G240" s="861"/>
    </row>
    <row r="241" spans="2:7">
      <c r="B241" s="865"/>
      <c r="C241" s="861"/>
      <c r="D241" s="861"/>
      <c r="E241" s="861"/>
      <c r="F241" s="861"/>
      <c r="G241" s="861"/>
    </row>
    <row r="242" spans="2:7">
      <c r="B242" s="865"/>
      <c r="C242" s="861"/>
      <c r="D242" s="861"/>
      <c r="E242" s="861"/>
      <c r="F242" s="861"/>
      <c r="G242" s="861"/>
    </row>
    <row r="243" spans="2:7">
      <c r="B243" s="865"/>
      <c r="C243" s="861"/>
      <c r="D243" s="861"/>
      <c r="E243" s="861"/>
      <c r="F243" s="861"/>
      <c r="G243" s="861"/>
    </row>
    <row r="244" spans="2:7">
      <c r="B244" s="865"/>
      <c r="C244" s="861"/>
      <c r="D244" s="861"/>
      <c r="E244" s="861"/>
      <c r="F244" s="861"/>
      <c r="G244" s="861"/>
    </row>
    <row r="245" spans="2:7">
      <c r="B245" s="865"/>
      <c r="C245" s="861"/>
      <c r="D245" s="861"/>
      <c r="E245" s="861"/>
      <c r="F245" s="861"/>
      <c r="G245" s="861"/>
    </row>
    <row r="246" spans="2:7">
      <c r="B246" s="865"/>
      <c r="C246" s="861"/>
      <c r="D246" s="861"/>
      <c r="E246" s="861"/>
      <c r="F246" s="861"/>
      <c r="G246" s="861"/>
    </row>
    <row r="247" spans="2:7">
      <c r="B247" s="865"/>
      <c r="C247" s="861"/>
      <c r="D247" s="861"/>
      <c r="E247" s="861"/>
      <c r="F247" s="861"/>
      <c r="G247" s="861"/>
    </row>
    <row r="248" spans="2:7">
      <c r="B248" s="865"/>
      <c r="C248" s="861"/>
      <c r="D248" s="861"/>
      <c r="E248" s="861"/>
      <c r="F248" s="861"/>
      <c r="G248" s="861"/>
    </row>
    <row r="249" spans="2:7">
      <c r="B249" s="865"/>
      <c r="C249" s="861"/>
      <c r="D249" s="861"/>
      <c r="E249" s="861"/>
      <c r="F249" s="861"/>
      <c r="G249" s="861"/>
    </row>
    <row r="250" spans="2:7">
      <c r="B250" s="865"/>
      <c r="C250" s="861"/>
      <c r="D250" s="861"/>
      <c r="E250" s="861"/>
      <c r="F250" s="861"/>
      <c r="G250" s="861"/>
    </row>
    <row r="251" spans="2:7">
      <c r="B251" s="865"/>
      <c r="C251" s="861"/>
      <c r="D251" s="861"/>
      <c r="E251" s="861"/>
      <c r="F251" s="861"/>
      <c r="G251" s="861"/>
    </row>
    <row r="252" spans="2:7">
      <c r="B252" s="865"/>
      <c r="C252" s="861"/>
      <c r="D252" s="861"/>
      <c r="E252" s="861"/>
      <c r="F252" s="861"/>
      <c r="G252" s="861"/>
    </row>
    <row r="253" spans="2:7">
      <c r="B253" s="865"/>
      <c r="C253" s="861"/>
      <c r="D253" s="861"/>
      <c r="E253" s="861"/>
      <c r="F253" s="861"/>
      <c r="G253" s="861"/>
    </row>
    <row r="254" spans="2:7">
      <c r="B254" s="865"/>
      <c r="C254" s="861"/>
      <c r="D254" s="861"/>
      <c r="E254" s="861"/>
      <c r="F254" s="861"/>
      <c r="G254" s="861"/>
    </row>
    <row r="255" spans="2:7">
      <c r="B255" s="865"/>
      <c r="C255" s="861"/>
      <c r="D255" s="861"/>
      <c r="E255" s="861"/>
      <c r="F255" s="861"/>
      <c r="G255" s="861"/>
    </row>
    <row r="256" spans="2:7">
      <c r="B256" s="865"/>
      <c r="C256" s="861"/>
      <c r="D256" s="861"/>
      <c r="E256" s="861"/>
      <c r="F256" s="861"/>
      <c r="G256" s="861"/>
    </row>
    <row r="257" spans="2:7">
      <c r="B257" s="865"/>
      <c r="C257" s="861"/>
      <c r="D257" s="861"/>
      <c r="E257" s="861"/>
      <c r="F257" s="861"/>
      <c r="G257" s="861"/>
    </row>
    <row r="258" spans="2:7">
      <c r="B258" s="865"/>
      <c r="C258" s="861"/>
      <c r="D258" s="861"/>
      <c r="E258" s="861"/>
      <c r="F258" s="861"/>
      <c r="G258" s="861"/>
    </row>
    <row r="259" spans="2:7">
      <c r="B259" s="865"/>
      <c r="C259" s="861"/>
      <c r="D259" s="861"/>
      <c r="E259" s="861"/>
      <c r="F259" s="861"/>
      <c r="G259" s="861"/>
    </row>
    <row r="260" spans="2:7">
      <c r="B260" s="865"/>
      <c r="C260" s="861"/>
      <c r="D260" s="861"/>
      <c r="E260" s="861"/>
      <c r="F260" s="861"/>
      <c r="G260" s="861"/>
    </row>
    <row r="261" spans="2:7">
      <c r="B261" s="865"/>
      <c r="C261" s="861"/>
      <c r="D261" s="861"/>
      <c r="E261" s="861"/>
      <c r="F261" s="861"/>
      <c r="G261" s="861"/>
    </row>
    <row r="262" spans="2:7">
      <c r="B262" s="865"/>
      <c r="C262" s="861"/>
      <c r="D262" s="861"/>
      <c r="E262" s="861"/>
      <c r="F262" s="861"/>
      <c r="G262" s="861"/>
    </row>
    <row r="263" spans="2:7">
      <c r="B263" s="865"/>
      <c r="C263" s="861"/>
      <c r="D263" s="861"/>
      <c r="E263" s="861"/>
      <c r="F263" s="861"/>
      <c r="G263" s="861"/>
    </row>
    <row r="264" spans="2:7">
      <c r="B264" s="865"/>
      <c r="C264" s="861"/>
      <c r="D264" s="861"/>
      <c r="E264" s="861"/>
      <c r="F264" s="861"/>
      <c r="G264" s="861"/>
    </row>
    <row r="265" spans="2:7">
      <c r="B265" s="865"/>
      <c r="C265" s="861"/>
      <c r="D265" s="861"/>
      <c r="E265" s="861"/>
      <c r="F265" s="861"/>
      <c r="G265" s="861"/>
    </row>
    <row r="266" spans="2:7">
      <c r="B266" s="865"/>
      <c r="C266" s="861"/>
      <c r="D266" s="861"/>
      <c r="E266" s="861"/>
      <c r="F266" s="861"/>
      <c r="G266" s="861"/>
    </row>
    <row r="267" spans="2:7">
      <c r="B267" s="865"/>
      <c r="C267" s="861"/>
      <c r="D267" s="861"/>
      <c r="E267" s="861"/>
      <c r="F267" s="861"/>
      <c r="G267" s="861"/>
    </row>
    <row r="268" spans="2:7">
      <c r="B268" s="865"/>
      <c r="C268" s="861"/>
      <c r="D268" s="861"/>
      <c r="E268" s="861"/>
      <c r="F268" s="861"/>
      <c r="G268" s="861"/>
    </row>
    <row r="269" spans="2:7">
      <c r="B269" s="865"/>
      <c r="C269" s="861"/>
      <c r="D269" s="861"/>
      <c r="E269" s="861"/>
      <c r="F269" s="861"/>
      <c r="G269" s="861"/>
    </row>
    <row r="270" spans="2:7">
      <c r="B270" s="865"/>
      <c r="C270" s="861"/>
      <c r="D270" s="861"/>
      <c r="E270" s="861"/>
      <c r="F270" s="861"/>
      <c r="G270" s="861"/>
    </row>
    <row r="271" spans="2:7">
      <c r="B271" s="865"/>
      <c r="C271" s="861"/>
      <c r="D271" s="861"/>
      <c r="E271" s="861"/>
      <c r="F271" s="861"/>
      <c r="G271" s="861"/>
    </row>
    <row r="272" spans="2:7">
      <c r="B272" s="865"/>
      <c r="C272" s="861"/>
      <c r="D272" s="861"/>
      <c r="E272" s="861"/>
      <c r="F272" s="861"/>
      <c r="G272" s="861"/>
    </row>
    <row r="273" spans="2:7">
      <c r="B273" s="865"/>
      <c r="C273" s="861"/>
      <c r="D273" s="861"/>
      <c r="E273" s="861"/>
      <c r="F273" s="861"/>
      <c r="G273" s="861"/>
    </row>
    <row r="274" spans="2:7">
      <c r="B274" s="865"/>
      <c r="C274" s="861"/>
      <c r="D274" s="861"/>
      <c r="E274" s="861"/>
      <c r="F274" s="861"/>
      <c r="G274" s="861"/>
    </row>
    <row r="275" spans="2:7">
      <c r="B275" s="865"/>
      <c r="C275" s="861"/>
      <c r="D275" s="861"/>
      <c r="E275" s="861"/>
      <c r="F275" s="861"/>
      <c r="G275" s="861"/>
    </row>
    <row r="276" spans="2:7">
      <c r="B276" s="865"/>
      <c r="C276" s="861"/>
      <c r="D276" s="861"/>
      <c r="E276" s="861"/>
      <c r="F276" s="861"/>
      <c r="G276" s="861"/>
    </row>
    <row r="277" spans="2:7">
      <c r="B277" s="865"/>
      <c r="C277" s="861"/>
      <c r="D277" s="861"/>
      <c r="E277" s="861"/>
      <c r="F277" s="861"/>
      <c r="G277" s="861"/>
    </row>
    <row r="278" spans="2:7">
      <c r="B278" s="865"/>
      <c r="C278" s="861"/>
      <c r="D278" s="861"/>
      <c r="E278" s="861"/>
      <c r="F278" s="861"/>
      <c r="G278" s="861"/>
    </row>
    <row r="279" spans="2:7">
      <c r="B279" s="865"/>
      <c r="C279" s="861"/>
      <c r="D279" s="861"/>
      <c r="E279" s="861"/>
      <c r="F279" s="861"/>
      <c r="G279" s="861"/>
    </row>
    <row r="280" spans="2:7">
      <c r="B280" s="865"/>
      <c r="C280" s="861"/>
      <c r="D280" s="861"/>
      <c r="E280" s="861"/>
      <c r="F280" s="861"/>
      <c r="G280" s="861"/>
    </row>
    <row r="281" spans="2:7">
      <c r="B281" s="865"/>
      <c r="C281" s="861"/>
      <c r="D281" s="861"/>
      <c r="E281" s="861"/>
      <c r="F281" s="861"/>
      <c r="G281" s="861"/>
    </row>
    <row r="282" spans="2:7">
      <c r="B282" s="865"/>
      <c r="C282" s="861"/>
      <c r="D282" s="861"/>
      <c r="E282" s="861"/>
      <c r="F282" s="861"/>
      <c r="G282" s="861"/>
    </row>
    <row r="283" spans="2:7">
      <c r="B283" s="865"/>
      <c r="C283" s="861"/>
      <c r="D283" s="861"/>
      <c r="E283" s="861"/>
      <c r="F283" s="861"/>
      <c r="G283" s="861"/>
    </row>
    <row r="284" spans="2:7">
      <c r="B284" s="865"/>
      <c r="C284" s="861"/>
      <c r="D284" s="861"/>
      <c r="E284" s="861"/>
      <c r="F284" s="861"/>
      <c r="G284" s="861"/>
    </row>
    <row r="285" spans="2:7">
      <c r="B285" s="865"/>
      <c r="C285" s="861"/>
      <c r="D285" s="861"/>
      <c r="E285" s="861"/>
      <c r="F285" s="861"/>
      <c r="G285" s="861"/>
    </row>
    <row r="286" spans="2:7">
      <c r="B286" s="865"/>
      <c r="C286" s="861"/>
      <c r="D286" s="861"/>
      <c r="E286" s="861"/>
      <c r="F286" s="861"/>
      <c r="G286" s="861"/>
    </row>
    <row r="287" spans="2:7">
      <c r="B287" s="865"/>
      <c r="C287" s="861"/>
      <c r="D287" s="861"/>
      <c r="E287" s="861"/>
      <c r="F287" s="861"/>
      <c r="G287" s="861"/>
    </row>
    <row r="288" spans="2:7">
      <c r="B288" s="865"/>
      <c r="C288" s="861"/>
      <c r="D288" s="861"/>
      <c r="E288" s="861"/>
      <c r="F288" s="861"/>
      <c r="G288" s="861"/>
    </row>
    <row r="289" spans="2:7">
      <c r="B289" s="865"/>
      <c r="C289" s="861"/>
      <c r="D289" s="861"/>
      <c r="E289" s="861"/>
      <c r="F289" s="861"/>
      <c r="G289" s="861"/>
    </row>
    <row r="290" spans="2:7">
      <c r="B290" s="865"/>
      <c r="C290" s="861"/>
      <c r="D290" s="861"/>
      <c r="E290" s="861"/>
      <c r="F290" s="861"/>
      <c r="G290" s="861"/>
    </row>
    <row r="291" spans="2:7">
      <c r="B291" s="865"/>
      <c r="C291" s="861"/>
      <c r="D291" s="861"/>
      <c r="E291" s="861"/>
      <c r="F291" s="861"/>
      <c r="G291" s="861"/>
    </row>
    <row r="292" spans="2:7">
      <c r="B292" s="865"/>
      <c r="C292" s="861"/>
      <c r="D292" s="861"/>
      <c r="E292" s="861"/>
      <c r="F292" s="861"/>
      <c r="G292" s="861"/>
    </row>
    <row r="293" spans="2:7">
      <c r="B293" s="865"/>
      <c r="C293" s="861"/>
      <c r="D293" s="861"/>
      <c r="E293" s="861"/>
      <c r="F293" s="861"/>
      <c r="G293" s="861"/>
    </row>
    <row r="294" spans="2:7">
      <c r="B294" s="865"/>
      <c r="C294" s="861"/>
      <c r="D294" s="861"/>
      <c r="E294" s="861"/>
      <c r="F294" s="861"/>
      <c r="G294" s="861"/>
    </row>
    <row r="295" spans="2:7">
      <c r="B295" s="865"/>
      <c r="C295" s="861"/>
      <c r="D295" s="861"/>
      <c r="E295" s="861"/>
      <c r="F295" s="861"/>
      <c r="G295" s="861"/>
    </row>
    <row r="296" spans="2:7">
      <c r="B296" s="865"/>
      <c r="C296" s="861"/>
      <c r="D296" s="861"/>
      <c r="E296" s="861"/>
      <c r="F296" s="861"/>
      <c r="G296" s="861"/>
    </row>
    <row r="297" spans="2:7">
      <c r="B297" s="865"/>
      <c r="C297" s="861"/>
      <c r="D297" s="861"/>
      <c r="E297" s="861"/>
      <c r="F297" s="861"/>
      <c r="G297" s="861"/>
    </row>
    <row r="298" spans="2:7">
      <c r="B298" s="865"/>
      <c r="C298" s="861"/>
      <c r="D298" s="861"/>
      <c r="E298" s="861"/>
      <c r="F298" s="861"/>
      <c r="G298" s="861"/>
    </row>
    <row r="299" spans="2:7">
      <c r="B299" s="865"/>
      <c r="C299" s="861"/>
      <c r="D299" s="861"/>
      <c r="E299" s="861"/>
      <c r="F299" s="861"/>
      <c r="G299" s="861"/>
    </row>
    <row r="300" spans="2:7">
      <c r="B300" s="865"/>
      <c r="C300" s="861"/>
      <c r="D300" s="861"/>
      <c r="E300" s="861"/>
      <c r="F300" s="861"/>
      <c r="G300" s="861"/>
    </row>
    <row r="301" spans="2:7">
      <c r="B301" s="865"/>
      <c r="C301" s="861"/>
      <c r="D301" s="861"/>
      <c r="E301" s="861"/>
      <c r="F301" s="861"/>
      <c r="G301" s="861"/>
    </row>
    <row r="302" spans="2:7">
      <c r="B302" s="865"/>
      <c r="C302" s="861"/>
      <c r="D302" s="861"/>
      <c r="E302" s="861"/>
      <c r="F302" s="861"/>
      <c r="G302" s="861"/>
    </row>
    <row r="303" spans="2:7">
      <c r="B303" s="865"/>
      <c r="C303" s="861"/>
      <c r="D303" s="861"/>
      <c r="E303" s="861"/>
      <c r="F303" s="861"/>
      <c r="G303" s="861"/>
    </row>
    <row r="304" spans="2:7">
      <c r="B304" s="865"/>
      <c r="C304" s="861"/>
      <c r="D304" s="861"/>
      <c r="E304" s="861"/>
      <c r="F304" s="861"/>
      <c r="G304" s="861"/>
    </row>
    <row r="305" spans="2:7">
      <c r="B305" s="865"/>
      <c r="C305" s="861"/>
      <c r="D305" s="861"/>
      <c r="E305" s="861"/>
      <c r="F305" s="861"/>
      <c r="G305" s="861"/>
    </row>
    <row r="306" spans="2:7">
      <c r="B306" s="865"/>
      <c r="C306" s="861"/>
      <c r="D306" s="861"/>
      <c r="E306" s="861"/>
      <c r="F306" s="861"/>
      <c r="G306" s="861"/>
    </row>
    <row r="307" spans="2:7">
      <c r="B307" s="865"/>
      <c r="C307" s="861"/>
      <c r="D307" s="861"/>
      <c r="E307" s="861"/>
      <c r="F307" s="861"/>
      <c r="G307" s="861"/>
    </row>
    <row r="308" spans="2:7">
      <c r="B308" s="865"/>
      <c r="C308" s="861"/>
      <c r="D308" s="861"/>
      <c r="E308" s="861"/>
      <c r="F308" s="861"/>
      <c r="G308" s="861"/>
    </row>
    <row r="309" spans="2:7">
      <c r="B309" s="865"/>
      <c r="C309" s="861"/>
      <c r="D309" s="861"/>
      <c r="E309" s="861"/>
      <c r="F309" s="861"/>
      <c r="G309" s="861"/>
    </row>
    <row r="310" spans="2:7">
      <c r="B310" s="865"/>
      <c r="C310" s="861"/>
      <c r="D310" s="861"/>
      <c r="E310" s="861"/>
      <c r="F310" s="861"/>
      <c r="G310" s="861"/>
    </row>
    <row r="311" spans="2:7">
      <c r="B311" s="865"/>
      <c r="C311" s="861"/>
      <c r="D311" s="861"/>
      <c r="E311" s="861"/>
      <c r="F311" s="861"/>
      <c r="G311" s="861"/>
    </row>
    <row r="312" spans="2:7">
      <c r="B312" s="865"/>
      <c r="C312" s="861"/>
      <c r="D312" s="861"/>
      <c r="E312" s="861"/>
      <c r="F312" s="861"/>
      <c r="G312" s="861"/>
    </row>
    <row r="313" spans="2:7">
      <c r="B313" s="865"/>
      <c r="C313" s="861"/>
      <c r="D313" s="861"/>
      <c r="E313" s="861"/>
      <c r="F313" s="861"/>
      <c r="G313" s="861"/>
    </row>
    <row r="314" spans="2:7">
      <c r="B314" s="865"/>
      <c r="C314" s="861"/>
      <c r="D314" s="861"/>
      <c r="E314" s="861"/>
      <c r="F314" s="861"/>
      <c r="G314" s="861"/>
    </row>
    <row r="315" spans="2:7">
      <c r="B315" s="865"/>
      <c r="C315" s="861"/>
      <c r="D315" s="861"/>
      <c r="E315" s="861"/>
      <c r="F315" s="861"/>
      <c r="G315" s="861"/>
    </row>
    <row r="316" spans="2:7">
      <c r="B316" s="865"/>
      <c r="C316" s="861"/>
      <c r="D316" s="861"/>
      <c r="E316" s="861"/>
      <c r="F316" s="861"/>
      <c r="G316" s="861"/>
    </row>
    <row r="317" spans="2:7">
      <c r="B317" s="865"/>
      <c r="C317" s="861"/>
      <c r="D317" s="861"/>
      <c r="E317" s="861"/>
      <c r="F317" s="861"/>
      <c r="G317" s="861"/>
    </row>
    <row r="318" spans="2:7">
      <c r="B318" s="865"/>
      <c r="C318" s="861"/>
      <c r="D318" s="861"/>
      <c r="E318" s="861"/>
      <c r="F318" s="861"/>
      <c r="G318" s="861"/>
    </row>
    <row r="319" spans="2:7">
      <c r="B319" s="865"/>
      <c r="C319" s="861"/>
      <c r="D319" s="861"/>
      <c r="E319" s="861"/>
      <c r="F319" s="861"/>
      <c r="G319" s="861"/>
    </row>
    <row r="320" spans="2:7">
      <c r="B320" s="865"/>
      <c r="C320" s="861"/>
      <c r="D320" s="861"/>
      <c r="E320" s="861"/>
      <c r="F320" s="861"/>
      <c r="G320" s="861"/>
    </row>
    <row r="321" spans="2:7">
      <c r="B321" s="865"/>
      <c r="C321" s="861"/>
      <c r="D321" s="861"/>
      <c r="E321" s="861"/>
      <c r="F321" s="861"/>
      <c r="G321" s="861"/>
    </row>
    <row r="322" spans="2:7">
      <c r="B322" s="865"/>
      <c r="C322" s="861"/>
      <c r="D322" s="861"/>
      <c r="E322" s="861"/>
      <c r="F322" s="861"/>
      <c r="G322" s="861"/>
    </row>
    <row r="323" spans="2:7">
      <c r="B323" s="865"/>
      <c r="C323" s="861"/>
      <c r="D323" s="861"/>
      <c r="E323" s="861"/>
      <c r="F323" s="861"/>
      <c r="G323" s="861"/>
    </row>
    <row r="324" spans="2:7">
      <c r="B324" s="865"/>
      <c r="C324" s="861"/>
      <c r="D324" s="861"/>
      <c r="E324" s="861"/>
      <c r="F324" s="861"/>
      <c r="G324" s="861"/>
    </row>
    <row r="325" spans="2:7">
      <c r="B325" s="865"/>
      <c r="C325" s="861"/>
      <c r="D325" s="861"/>
      <c r="E325" s="861"/>
      <c r="F325" s="861"/>
      <c r="G325" s="861"/>
    </row>
    <row r="326" spans="2:7">
      <c r="B326" s="865"/>
      <c r="C326" s="861"/>
      <c r="D326" s="861"/>
      <c r="E326" s="861"/>
      <c r="F326" s="861"/>
      <c r="G326" s="861"/>
    </row>
    <row r="327" spans="2:7">
      <c r="B327" s="865"/>
      <c r="C327" s="861"/>
      <c r="D327" s="861"/>
      <c r="E327" s="861"/>
      <c r="F327" s="861"/>
      <c r="G327" s="861"/>
    </row>
    <row r="328" spans="2:7">
      <c r="B328" s="865"/>
      <c r="C328" s="861"/>
      <c r="D328" s="861"/>
      <c r="E328" s="861"/>
      <c r="F328" s="861"/>
      <c r="G328" s="861"/>
    </row>
    <row r="329" spans="2:7">
      <c r="B329" s="865"/>
      <c r="C329" s="861"/>
      <c r="D329" s="861"/>
      <c r="E329" s="861"/>
      <c r="F329" s="861"/>
      <c r="G329" s="861"/>
    </row>
    <row r="330" spans="2:7">
      <c r="B330" s="865"/>
      <c r="C330" s="861"/>
      <c r="D330" s="861"/>
      <c r="E330" s="861"/>
      <c r="F330" s="861"/>
      <c r="G330" s="861"/>
    </row>
    <row r="331" spans="2:7">
      <c r="B331" s="865"/>
      <c r="C331" s="861"/>
      <c r="D331" s="861"/>
      <c r="E331" s="861"/>
      <c r="F331" s="861"/>
      <c r="G331" s="861"/>
    </row>
    <row r="332" spans="2:7">
      <c r="B332" s="865"/>
      <c r="C332" s="861"/>
      <c r="D332" s="861"/>
      <c r="E332" s="861"/>
      <c r="F332" s="861"/>
      <c r="G332" s="861"/>
    </row>
    <row r="333" spans="2:7">
      <c r="B333" s="865"/>
      <c r="C333" s="861"/>
      <c r="D333" s="861"/>
      <c r="E333" s="861"/>
      <c r="F333" s="861"/>
      <c r="G333" s="861"/>
    </row>
    <row r="334" spans="2:7">
      <c r="B334" s="865"/>
      <c r="C334" s="861"/>
      <c r="D334" s="861"/>
      <c r="E334" s="861"/>
      <c r="F334" s="861"/>
      <c r="G334" s="861"/>
    </row>
    <row r="335" spans="2:7">
      <c r="B335" s="865"/>
      <c r="C335" s="861"/>
      <c r="D335" s="861"/>
      <c r="E335" s="861"/>
      <c r="F335" s="861"/>
      <c r="G335" s="861"/>
    </row>
    <row r="336" spans="2:7">
      <c r="B336" s="865"/>
      <c r="C336" s="861"/>
      <c r="D336" s="861"/>
      <c r="E336" s="861"/>
      <c r="F336" s="861"/>
      <c r="G336" s="861"/>
    </row>
    <row r="337" spans="2:7">
      <c r="B337" s="865"/>
      <c r="C337" s="861"/>
      <c r="D337" s="861"/>
      <c r="E337" s="861"/>
      <c r="F337" s="861"/>
      <c r="G337" s="861"/>
    </row>
    <row r="338" spans="2:7">
      <c r="B338" s="865"/>
      <c r="C338" s="861"/>
      <c r="D338" s="861"/>
      <c r="E338" s="861"/>
      <c r="F338" s="861"/>
      <c r="G338" s="861"/>
    </row>
    <row r="339" spans="2:7">
      <c r="B339" s="865"/>
      <c r="C339" s="861"/>
      <c r="D339" s="861"/>
      <c r="E339" s="861"/>
      <c r="F339" s="861"/>
      <c r="G339" s="861"/>
    </row>
    <row r="340" spans="2:7">
      <c r="B340" s="865"/>
      <c r="C340" s="861"/>
      <c r="D340" s="861"/>
      <c r="E340" s="861"/>
      <c r="F340" s="861"/>
      <c r="G340" s="861"/>
    </row>
    <row r="341" spans="2:7">
      <c r="B341" s="865"/>
      <c r="C341" s="861"/>
      <c r="D341" s="861"/>
      <c r="E341" s="861"/>
      <c r="F341" s="861"/>
      <c r="G341" s="861"/>
    </row>
    <row r="342" spans="2:7">
      <c r="B342" s="865"/>
      <c r="C342" s="861"/>
      <c r="D342" s="861"/>
      <c r="E342" s="861"/>
      <c r="F342" s="861"/>
      <c r="G342" s="861"/>
    </row>
    <row r="343" spans="2:7">
      <c r="B343" s="865"/>
      <c r="C343" s="861"/>
      <c r="D343" s="861"/>
      <c r="E343" s="861"/>
      <c r="F343" s="861"/>
      <c r="G343" s="861"/>
    </row>
    <row r="344" spans="2:7">
      <c r="B344" s="865"/>
      <c r="C344" s="861"/>
      <c r="D344" s="861"/>
      <c r="E344" s="861"/>
      <c r="F344" s="861"/>
      <c r="G344" s="861"/>
    </row>
    <row r="345" spans="2:7">
      <c r="B345" s="865"/>
      <c r="C345" s="861"/>
      <c r="D345" s="861"/>
      <c r="E345" s="861"/>
      <c r="F345" s="861"/>
      <c r="G345" s="861"/>
    </row>
    <row r="346" spans="2:7">
      <c r="B346" s="865"/>
      <c r="C346" s="861"/>
      <c r="D346" s="861"/>
      <c r="E346" s="861"/>
      <c r="F346" s="861"/>
      <c r="G346" s="861"/>
    </row>
    <row r="347" spans="2:7">
      <c r="B347" s="865"/>
      <c r="C347" s="861"/>
      <c r="D347" s="861"/>
      <c r="E347" s="861"/>
      <c r="F347" s="861"/>
      <c r="G347" s="861"/>
    </row>
    <row r="348" spans="2:7">
      <c r="B348" s="865"/>
      <c r="C348" s="861"/>
      <c r="D348" s="861"/>
      <c r="E348" s="861"/>
      <c r="F348" s="861"/>
      <c r="G348" s="861"/>
    </row>
    <row r="349" spans="2:7">
      <c r="B349" s="865"/>
      <c r="C349" s="861"/>
      <c r="D349" s="861"/>
      <c r="E349" s="861"/>
      <c r="F349" s="861"/>
      <c r="G349" s="861"/>
    </row>
    <row r="350" spans="2:7">
      <c r="B350" s="865"/>
      <c r="C350" s="861"/>
      <c r="D350" s="861"/>
      <c r="E350" s="861"/>
      <c r="F350" s="861"/>
      <c r="G350" s="861"/>
    </row>
    <row r="351" spans="2:7">
      <c r="B351" s="865"/>
      <c r="C351" s="861"/>
      <c r="D351" s="861"/>
      <c r="E351" s="861"/>
      <c r="F351" s="861"/>
      <c r="G351" s="861"/>
    </row>
    <row r="352" spans="2:7">
      <c r="B352" s="865"/>
      <c r="C352" s="861"/>
      <c r="D352" s="861"/>
      <c r="E352" s="861"/>
      <c r="F352" s="861"/>
      <c r="G352" s="861"/>
    </row>
    <row r="353" spans="2:7">
      <c r="B353" s="865"/>
      <c r="C353" s="861"/>
      <c r="D353" s="861"/>
      <c r="E353" s="861"/>
      <c r="F353" s="861"/>
      <c r="G353" s="861"/>
    </row>
    <row r="354" spans="2:7">
      <c r="B354" s="865"/>
      <c r="C354" s="861"/>
      <c r="D354" s="861"/>
      <c r="E354" s="861"/>
      <c r="F354" s="861"/>
      <c r="G354" s="861"/>
    </row>
    <row r="355" spans="2:7">
      <c r="B355" s="865"/>
      <c r="C355" s="861"/>
      <c r="D355" s="861"/>
      <c r="E355" s="861"/>
      <c r="F355" s="861"/>
      <c r="G355" s="861"/>
    </row>
    <row r="356" spans="2:7">
      <c r="B356" s="865"/>
      <c r="C356" s="861"/>
      <c r="D356" s="861"/>
      <c r="E356" s="861"/>
      <c r="F356" s="861"/>
      <c r="G356" s="861"/>
    </row>
    <row r="357" spans="2:7">
      <c r="B357" s="865"/>
      <c r="C357" s="861"/>
      <c r="D357" s="861"/>
      <c r="E357" s="861"/>
      <c r="F357" s="861"/>
      <c r="G357" s="861"/>
    </row>
    <row r="358" spans="2:7">
      <c r="B358" s="865"/>
      <c r="C358" s="861"/>
      <c r="D358" s="861"/>
      <c r="E358" s="861"/>
      <c r="F358" s="861"/>
      <c r="G358" s="861"/>
    </row>
    <row r="359" spans="2:7">
      <c r="B359" s="865"/>
      <c r="C359" s="861"/>
      <c r="D359" s="861"/>
      <c r="E359" s="861"/>
      <c r="F359" s="861"/>
      <c r="G359" s="861"/>
    </row>
    <row r="360" spans="2:7">
      <c r="B360" s="865"/>
      <c r="C360" s="861"/>
      <c r="D360" s="861"/>
      <c r="E360" s="861"/>
      <c r="F360" s="861"/>
      <c r="G360" s="861"/>
    </row>
    <row r="361" spans="2:7">
      <c r="B361" s="865"/>
      <c r="C361" s="861"/>
      <c r="D361" s="861"/>
      <c r="E361" s="861"/>
      <c r="F361" s="861"/>
      <c r="G361" s="861"/>
    </row>
    <row r="362" spans="2:7">
      <c r="B362" s="865"/>
      <c r="C362" s="861"/>
      <c r="D362" s="861"/>
      <c r="E362" s="861"/>
      <c r="F362" s="861"/>
      <c r="G362" s="861"/>
    </row>
    <row r="363" spans="2:7">
      <c r="B363" s="865"/>
      <c r="C363" s="861"/>
      <c r="D363" s="861"/>
      <c r="E363" s="861"/>
      <c r="F363" s="861"/>
      <c r="G363" s="861"/>
    </row>
    <row r="364" spans="2:7">
      <c r="B364" s="865"/>
      <c r="C364" s="861"/>
      <c r="D364" s="861"/>
      <c r="E364" s="861"/>
      <c r="F364" s="861"/>
      <c r="G364" s="861"/>
    </row>
    <row r="365" spans="2:7">
      <c r="B365" s="865"/>
      <c r="C365" s="861"/>
      <c r="D365" s="861"/>
      <c r="E365" s="861"/>
      <c r="F365" s="861"/>
      <c r="G365" s="861"/>
    </row>
    <row r="366" spans="2:7">
      <c r="B366" s="865"/>
      <c r="C366" s="861"/>
      <c r="D366" s="861"/>
      <c r="E366" s="861"/>
      <c r="F366" s="861"/>
      <c r="G366" s="861"/>
    </row>
    <row r="367" spans="2:7">
      <c r="B367" s="865"/>
      <c r="C367" s="861"/>
      <c r="D367" s="861"/>
      <c r="E367" s="861"/>
      <c r="F367" s="861"/>
      <c r="G367" s="861"/>
    </row>
    <row r="368" spans="2:7">
      <c r="B368" s="865"/>
      <c r="C368" s="861"/>
      <c r="D368" s="861"/>
      <c r="E368" s="861"/>
      <c r="F368" s="861"/>
      <c r="G368" s="861"/>
    </row>
    <row r="369" spans="2:7">
      <c r="B369" s="865"/>
      <c r="C369" s="861"/>
      <c r="D369" s="861"/>
      <c r="E369" s="861"/>
      <c r="F369" s="861"/>
      <c r="G369" s="861"/>
    </row>
    <row r="370" spans="2:7">
      <c r="B370" s="865"/>
      <c r="C370" s="861"/>
      <c r="D370" s="861"/>
      <c r="E370" s="861"/>
      <c r="F370" s="861"/>
      <c r="G370" s="861"/>
    </row>
    <row r="371" spans="2:7">
      <c r="B371" s="865"/>
      <c r="C371" s="861"/>
      <c r="D371" s="861"/>
      <c r="E371" s="861"/>
      <c r="F371" s="861"/>
      <c r="G371" s="861"/>
    </row>
    <row r="372" spans="2:7">
      <c r="B372" s="865"/>
      <c r="C372" s="861"/>
      <c r="D372" s="861"/>
      <c r="E372" s="861"/>
      <c r="F372" s="861"/>
      <c r="G372" s="861"/>
    </row>
    <row r="373" spans="2:7">
      <c r="B373" s="865"/>
      <c r="C373" s="861"/>
      <c r="D373" s="861"/>
      <c r="E373" s="861"/>
      <c r="F373" s="861"/>
      <c r="G373" s="861"/>
    </row>
    <row r="374" spans="2:7">
      <c r="B374" s="865"/>
      <c r="C374" s="861"/>
      <c r="D374" s="861"/>
      <c r="E374" s="861"/>
      <c r="F374" s="861"/>
      <c r="G374" s="861"/>
    </row>
    <row r="375" spans="2:7">
      <c r="B375" s="865"/>
      <c r="C375" s="861"/>
      <c r="D375" s="861"/>
      <c r="E375" s="861"/>
      <c r="F375" s="861"/>
      <c r="G375" s="861"/>
    </row>
    <row r="376" spans="2:7">
      <c r="B376" s="865"/>
      <c r="C376" s="861"/>
      <c r="D376" s="861"/>
      <c r="E376" s="861"/>
      <c r="F376" s="861"/>
      <c r="G376" s="861"/>
    </row>
    <row r="377" spans="2:7">
      <c r="B377" s="865"/>
      <c r="C377" s="861"/>
      <c r="D377" s="861"/>
      <c r="E377" s="861"/>
      <c r="F377" s="861"/>
      <c r="G377" s="861"/>
    </row>
    <row r="378" spans="2:7">
      <c r="B378" s="865"/>
      <c r="C378" s="861"/>
      <c r="D378" s="861"/>
      <c r="E378" s="861"/>
      <c r="F378" s="861"/>
      <c r="G378" s="861"/>
    </row>
    <row r="379" spans="2:7">
      <c r="B379" s="865"/>
      <c r="C379" s="861"/>
      <c r="D379" s="861"/>
      <c r="E379" s="861"/>
      <c r="F379" s="861"/>
      <c r="G379" s="861"/>
    </row>
    <row r="380" spans="2:7">
      <c r="B380" s="865"/>
      <c r="C380" s="861"/>
      <c r="D380" s="861"/>
      <c r="E380" s="861"/>
      <c r="F380" s="861"/>
      <c r="G380" s="861"/>
    </row>
    <row r="381" spans="2:7">
      <c r="B381" s="865"/>
      <c r="C381" s="861"/>
      <c r="D381" s="861"/>
      <c r="E381" s="861"/>
      <c r="F381" s="861"/>
      <c r="G381" s="861"/>
    </row>
    <row r="382" spans="2:7">
      <c r="B382" s="865"/>
      <c r="C382" s="861"/>
      <c r="D382" s="861"/>
      <c r="E382" s="861"/>
      <c r="F382" s="861"/>
      <c r="G382" s="861"/>
    </row>
    <row r="383" spans="2:7">
      <c r="B383" s="865"/>
      <c r="C383" s="861"/>
      <c r="D383" s="861"/>
      <c r="E383" s="861"/>
      <c r="F383" s="861"/>
      <c r="G383" s="861"/>
    </row>
    <row r="384" spans="2:7">
      <c r="B384" s="865"/>
      <c r="C384" s="861"/>
      <c r="D384" s="861"/>
      <c r="E384" s="861"/>
      <c r="F384" s="861"/>
      <c r="G384" s="861"/>
    </row>
    <row r="385" spans="2:7">
      <c r="B385" s="865"/>
      <c r="C385" s="861"/>
      <c r="D385" s="861"/>
      <c r="E385" s="861"/>
      <c r="F385" s="861"/>
      <c r="G385" s="861"/>
    </row>
    <row r="386" spans="2:7">
      <c r="B386" s="865"/>
      <c r="C386" s="861"/>
      <c r="D386" s="861"/>
      <c r="E386" s="861"/>
      <c r="F386" s="861"/>
      <c r="G386" s="861"/>
    </row>
    <row r="387" spans="2:7">
      <c r="B387" s="865"/>
      <c r="C387" s="861"/>
      <c r="D387" s="861"/>
      <c r="E387" s="861"/>
      <c r="F387" s="861"/>
      <c r="G387" s="861"/>
    </row>
    <row r="388" spans="2:7">
      <c r="B388" s="865"/>
      <c r="C388" s="861"/>
      <c r="D388" s="861"/>
      <c r="E388" s="861"/>
      <c r="F388" s="861"/>
      <c r="G388" s="861"/>
    </row>
    <row r="389" spans="2:7">
      <c r="B389" s="865"/>
      <c r="C389" s="861"/>
      <c r="D389" s="861"/>
      <c r="E389" s="861"/>
      <c r="F389" s="861"/>
      <c r="G389" s="861"/>
    </row>
    <row r="390" spans="2:7">
      <c r="B390" s="865"/>
      <c r="C390" s="861"/>
      <c r="D390" s="861"/>
      <c r="E390" s="861"/>
      <c r="F390" s="861"/>
      <c r="G390" s="861"/>
    </row>
    <row r="391" spans="2:7">
      <c r="B391" s="865"/>
      <c r="C391" s="861"/>
      <c r="D391" s="861"/>
      <c r="E391" s="861"/>
      <c r="F391" s="861"/>
      <c r="G391" s="861"/>
    </row>
    <row r="392" spans="2:7">
      <c r="B392" s="865"/>
      <c r="C392" s="861"/>
      <c r="D392" s="861"/>
      <c r="E392" s="861"/>
      <c r="F392" s="861"/>
      <c r="G392" s="861"/>
    </row>
    <row r="393" spans="2:7">
      <c r="B393" s="865"/>
      <c r="C393" s="861"/>
      <c r="D393" s="861"/>
      <c r="E393" s="861"/>
      <c r="F393" s="861"/>
      <c r="G393" s="861"/>
    </row>
    <row r="394" spans="2:7">
      <c r="B394" s="865"/>
      <c r="C394" s="861"/>
      <c r="D394" s="861"/>
      <c r="E394" s="861"/>
      <c r="F394" s="861"/>
      <c r="G394" s="861"/>
    </row>
    <row r="395" spans="2:7">
      <c r="B395" s="865"/>
      <c r="C395" s="861"/>
      <c r="D395" s="861"/>
      <c r="E395" s="861"/>
      <c r="F395" s="861"/>
      <c r="G395" s="861"/>
    </row>
    <row r="396" spans="2:7">
      <c r="B396" s="865"/>
      <c r="C396" s="861"/>
      <c r="D396" s="861"/>
      <c r="E396" s="861"/>
      <c r="F396" s="861"/>
      <c r="G396" s="861"/>
    </row>
    <row r="397" spans="2:7">
      <c r="B397" s="865"/>
      <c r="C397" s="861"/>
      <c r="D397" s="861"/>
      <c r="E397" s="861"/>
      <c r="F397" s="861"/>
      <c r="G397" s="861"/>
    </row>
    <row r="398" spans="2:7">
      <c r="B398" s="865"/>
      <c r="C398" s="861"/>
      <c r="D398" s="861"/>
      <c r="E398" s="861"/>
      <c r="F398" s="861"/>
      <c r="G398" s="861"/>
    </row>
    <row r="399" spans="2:7">
      <c r="B399" s="865"/>
      <c r="C399" s="861"/>
      <c r="D399" s="861"/>
      <c r="E399" s="861"/>
      <c r="F399" s="861"/>
      <c r="G399" s="861"/>
    </row>
    <row r="400" spans="2:7">
      <c r="B400" s="865"/>
      <c r="C400" s="861"/>
      <c r="D400" s="861"/>
      <c r="E400" s="861"/>
      <c r="F400" s="861"/>
      <c r="G400" s="861"/>
    </row>
    <row r="401" spans="2:7">
      <c r="B401" s="865"/>
      <c r="C401" s="861"/>
      <c r="D401" s="861"/>
      <c r="E401" s="861"/>
      <c r="F401" s="861"/>
      <c r="G401" s="861"/>
    </row>
    <row r="402" spans="2:7">
      <c r="B402" s="865"/>
      <c r="C402" s="861"/>
      <c r="D402" s="861"/>
      <c r="E402" s="861"/>
      <c r="F402" s="861"/>
      <c r="G402" s="861"/>
    </row>
    <row r="403" spans="2:7">
      <c r="B403" s="865"/>
      <c r="C403" s="861"/>
      <c r="D403" s="861"/>
      <c r="E403" s="861"/>
      <c r="F403" s="861"/>
      <c r="G403" s="861"/>
    </row>
    <row r="404" spans="2:7">
      <c r="B404" s="865"/>
      <c r="C404" s="861"/>
      <c r="D404" s="861"/>
      <c r="E404" s="861"/>
      <c r="F404" s="861"/>
      <c r="G404" s="861"/>
    </row>
    <row r="405" spans="2:7">
      <c r="B405" s="865"/>
      <c r="C405" s="861"/>
      <c r="D405" s="861"/>
      <c r="E405" s="861"/>
      <c r="F405" s="861"/>
      <c r="G405" s="861"/>
    </row>
    <row r="406" spans="2:7">
      <c r="B406" s="865"/>
      <c r="C406" s="861"/>
      <c r="D406" s="861"/>
      <c r="E406" s="861"/>
      <c r="F406" s="861"/>
      <c r="G406" s="861"/>
    </row>
    <row r="407" spans="2:7">
      <c r="B407" s="865"/>
      <c r="C407" s="861"/>
      <c r="D407" s="861"/>
      <c r="E407" s="861"/>
      <c r="F407" s="861"/>
      <c r="G407" s="861"/>
    </row>
    <row r="408" spans="2:7">
      <c r="B408" s="865"/>
      <c r="C408" s="861"/>
      <c r="D408" s="861"/>
      <c r="E408" s="861"/>
      <c r="F408" s="861"/>
      <c r="G408" s="861"/>
    </row>
    <row r="409" spans="2:7">
      <c r="B409" s="865"/>
      <c r="C409" s="861"/>
      <c r="D409" s="861"/>
      <c r="E409" s="861"/>
      <c r="F409" s="861"/>
      <c r="G409" s="861"/>
    </row>
    <row r="410" spans="2:7">
      <c r="B410" s="865"/>
      <c r="C410" s="861"/>
      <c r="D410" s="861"/>
      <c r="E410" s="861"/>
      <c r="F410" s="861"/>
      <c r="G410" s="861"/>
    </row>
    <row r="411" spans="2:7">
      <c r="B411" s="865"/>
      <c r="C411" s="861"/>
      <c r="D411" s="861"/>
      <c r="E411" s="861"/>
      <c r="F411" s="861"/>
      <c r="G411" s="861"/>
    </row>
    <row r="412" spans="2:7">
      <c r="B412" s="865"/>
      <c r="C412" s="861"/>
      <c r="D412" s="861"/>
      <c r="E412" s="861"/>
      <c r="F412" s="861"/>
      <c r="G412" s="861"/>
    </row>
    <row r="413" spans="2:7">
      <c r="B413" s="865"/>
      <c r="C413" s="861"/>
      <c r="D413" s="861"/>
      <c r="E413" s="861"/>
      <c r="F413" s="861"/>
      <c r="G413" s="861"/>
    </row>
    <row r="414" spans="2:7">
      <c r="B414" s="865"/>
      <c r="C414" s="861"/>
      <c r="D414" s="861"/>
      <c r="E414" s="861"/>
      <c r="F414" s="861"/>
      <c r="G414" s="861"/>
    </row>
    <row r="415" spans="2:7">
      <c r="B415" s="865"/>
      <c r="C415" s="861"/>
      <c r="D415" s="861"/>
      <c r="E415" s="861"/>
      <c r="F415" s="861"/>
      <c r="G415" s="861"/>
    </row>
    <row r="416" spans="2:7">
      <c r="B416" s="865"/>
      <c r="C416" s="861"/>
      <c r="D416" s="861"/>
      <c r="E416" s="861"/>
      <c r="F416" s="861"/>
      <c r="G416" s="861"/>
    </row>
    <row r="417" spans="2:7">
      <c r="B417" s="865"/>
      <c r="C417" s="861"/>
      <c r="D417" s="861"/>
      <c r="E417" s="861"/>
      <c r="F417" s="861"/>
      <c r="G417" s="861"/>
    </row>
    <row r="418" spans="2:7">
      <c r="B418" s="865"/>
      <c r="C418" s="861"/>
      <c r="D418" s="861"/>
      <c r="E418" s="861"/>
      <c r="F418" s="861"/>
      <c r="G418" s="861"/>
    </row>
    <row r="419" spans="2:7">
      <c r="B419" s="865"/>
      <c r="C419" s="861"/>
      <c r="D419" s="861"/>
      <c r="E419" s="861"/>
      <c r="F419" s="861"/>
      <c r="G419" s="861"/>
    </row>
    <row r="420" spans="2:7">
      <c r="B420" s="865"/>
      <c r="C420" s="861"/>
      <c r="D420" s="861"/>
      <c r="E420" s="861"/>
      <c r="F420" s="861"/>
      <c r="G420" s="861"/>
    </row>
    <row r="421" spans="2:7">
      <c r="B421" s="865"/>
      <c r="C421" s="861"/>
      <c r="D421" s="861"/>
      <c r="E421" s="861"/>
      <c r="F421" s="861"/>
      <c r="G421" s="861"/>
    </row>
    <row r="422" spans="2:7">
      <c r="B422" s="865"/>
      <c r="C422" s="861"/>
      <c r="D422" s="861"/>
      <c r="E422" s="861"/>
      <c r="F422" s="861"/>
      <c r="G422" s="861"/>
    </row>
    <row r="423" spans="2:7">
      <c r="B423" s="865"/>
      <c r="C423" s="861"/>
      <c r="D423" s="861"/>
      <c r="E423" s="861"/>
      <c r="F423" s="861"/>
      <c r="G423" s="861"/>
    </row>
    <row r="424" spans="2:7">
      <c r="B424" s="865"/>
      <c r="C424" s="861"/>
      <c r="D424" s="861"/>
      <c r="E424" s="861"/>
      <c r="F424" s="861"/>
      <c r="G424" s="861"/>
    </row>
    <row r="425" spans="2:7">
      <c r="B425" s="865"/>
      <c r="C425" s="861"/>
      <c r="D425" s="861"/>
      <c r="E425" s="861"/>
      <c r="F425" s="861"/>
      <c r="G425" s="861"/>
    </row>
    <row r="426" spans="2:7">
      <c r="B426" s="865"/>
      <c r="C426" s="861"/>
      <c r="D426" s="861"/>
      <c r="E426" s="861"/>
      <c r="F426" s="861"/>
      <c r="G426" s="861"/>
    </row>
    <row r="427" spans="2:7">
      <c r="B427" s="865"/>
      <c r="C427" s="861"/>
      <c r="D427" s="861"/>
      <c r="E427" s="861"/>
      <c r="F427" s="861"/>
      <c r="G427" s="861"/>
    </row>
    <row r="428" spans="2:7">
      <c r="B428" s="865"/>
      <c r="C428" s="861"/>
      <c r="D428" s="861"/>
      <c r="E428" s="861"/>
      <c r="F428" s="861"/>
      <c r="G428" s="861"/>
    </row>
    <row r="429" spans="2:7">
      <c r="B429" s="865"/>
      <c r="C429" s="861"/>
      <c r="D429" s="861"/>
      <c r="E429" s="861"/>
      <c r="F429" s="861"/>
      <c r="G429" s="861"/>
    </row>
    <row r="430" spans="2:7">
      <c r="B430" s="865"/>
      <c r="C430" s="861"/>
      <c r="D430" s="861"/>
      <c r="E430" s="861"/>
      <c r="F430" s="861"/>
      <c r="G430" s="861"/>
    </row>
    <row r="431" spans="2:7">
      <c r="B431" s="865"/>
      <c r="C431" s="861"/>
      <c r="D431" s="861"/>
      <c r="E431" s="861"/>
      <c r="F431" s="861"/>
      <c r="G431" s="861"/>
    </row>
    <row r="432" spans="2:7">
      <c r="B432" s="865"/>
      <c r="C432" s="861"/>
      <c r="D432" s="861"/>
      <c r="E432" s="861"/>
      <c r="F432" s="861"/>
      <c r="G432" s="861"/>
    </row>
    <row r="433" spans="2:7">
      <c r="B433" s="865"/>
      <c r="C433" s="861"/>
      <c r="D433" s="861"/>
      <c r="E433" s="861"/>
      <c r="F433" s="861"/>
      <c r="G433" s="861"/>
    </row>
    <row r="434" spans="2:7">
      <c r="B434" s="865"/>
      <c r="C434" s="861"/>
      <c r="D434" s="861"/>
      <c r="E434" s="861"/>
      <c r="F434" s="861"/>
      <c r="G434" s="861"/>
    </row>
    <row r="435" spans="2:7">
      <c r="B435" s="865"/>
      <c r="C435" s="861"/>
      <c r="D435" s="861"/>
      <c r="E435" s="861"/>
      <c r="F435" s="861"/>
      <c r="G435" s="861"/>
    </row>
    <row r="436" spans="2:7">
      <c r="B436" s="865"/>
      <c r="C436" s="861"/>
      <c r="D436" s="861"/>
      <c r="E436" s="861"/>
      <c r="F436" s="861"/>
      <c r="G436" s="861"/>
    </row>
    <row r="437" spans="2:7">
      <c r="B437" s="865"/>
      <c r="C437" s="861"/>
      <c r="D437" s="861"/>
      <c r="E437" s="861"/>
      <c r="F437" s="861"/>
      <c r="G437" s="861"/>
    </row>
    <row r="438" spans="2:7">
      <c r="B438" s="865"/>
      <c r="C438" s="861"/>
      <c r="D438" s="861"/>
      <c r="E438" s="861"/>
      <c r="F438" s="861"/>
      <c r="G438" s="861"/>
    </row>
    <row r="439" spans="2:7">
      <c r="B439" s="865"/>
      <c r="C439" s="861"/>
      <c r="D439" s="861"/>
      <c r="E439" s="861"/>
      <c r="F439" s="861"/>
      <c r="G439" s="861"/>
    </row>
    <row r="440" spans="2:7">
      <c r="B440" s="865"/>
      <c r="C440" s="861"/>
      <c r="D440" s="861"/>
      <c r="E440" s="861"/>
      <c r="F440" s="861"/>
      <c r="G440" s="861"/>
    </row>
    <row r="441" spans="2:7">
      <c r="B441" s="865"/>
      <c r="C441" s="861"/>
      <c r="D441" s="861"/>
      <c r="E441" s="861"/>
      <c r="F441" s="861"/>
      <c r="G441" s="861"/>
    </row>
    <row r="442" spans="2:7">
      <c r="B442" s="865"/>
      <c r="C442" s="861"/>
      <c r="D442" s="861"/>
      <c r="E442" s="861"/>
      <c r="F442" s="861"/>
      <c r="G442" s="861"/>
    </row>
    <row r="443" spans="2:7">
      <c r="B443" s="865"/>
      <c r="C443" s="861"/>
      <c r="D443" s="861"/>
      <c r="E443" s="861"/>
      <c r="F443" s="861"/>
      <c r="G443" s="861"/>
    </row>
    <row r="444" spans="2:7">
      <c r="B444" s="865"/>
      <c r="C444" s="861"/>
      <c r="D444" s="861"/>
      <c r="E444" s="861"/>
      <c r="F444" s="861"/>
      <c r="G444" s="861"/>
    </row>
    <row r="445" spans="2:7">
      <c r="B445" s="865"/>
      <c r="C445" s="861"/>
      <c r="D445" s="861"/>
      <c r="E445" s="861"/>
      <c r="F445" s="861"/>
      <c r="G445" s="861"/>
    </row>
    <row r="446" spans="2:7">
      <c r="B446" s="865"/>
      <c r="C446" s="861"/>
      <c r="D446" s="861"/>
      <c r="E446" s="861"/>
      <c r="F446" s="861"/>
      <c r="G446" s="861"/>
    </row>
  </sheetData>
  <mergeCells count="3">
    <mergeCell ref="A1:J1"/>
    <mergeCell ref="A2:J2"/>
    <mergeCell ref="A3:J3"/>
  </mergeCells>
  <printOptions horizontalCentered="1"/>
  <pageMargins left="0.25" right="0.25" top="0.75" bottom="0.75" header="0.3" footer="0.3"/>
  <pageSetup scale="6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C72A-6D0D-4159-ADB6-681E92214985}">
  <dimension ref="A1:AG471"/>
  <sheetViews>
    <sheetView view="pageBreakPreview" zoomScale="60" zoomScaleNormal="85" workbookViewId="0">
      <selection activeCell="Q60" sqref="Q60"/>
    </sheetView>
  </sheetViews>
  <sheetFormatPr defaultColWidth="8.90625" defaultRowHeight="13.2"/>
  <cols>
    <col min="1" max="1" width="5.6328125" style="845" customWidth="1"/>
    <col min="2" max="2" width="25.90625" style="852" customWidth="1"/>
    <col min="3" max="3" width="10.6328125" style="845" customWidth="1"/>
    <col min="4" max="4" width="9.90625" style="845" customWidth="1"/>
    <col min="5" max="5" width="10" style="845" customWidth="1"/>
    <col min="6" max="7" width="10.6328125" style="845" customWidth="1"/>
    <col min="8" max="8" width="10.6328125" style="853" customWidth="1"/>
    <col min="9" max="14" width="10.6328125" style="845" customWidth="1"/>
    <col min="15" max="15" width="10.6328125" style="1010" customWidth="1"/>
    <col min="16" max="16" width="10.6328125" style="1011" customWidth="1"/>
    <col min="17" max="17" width="10.6328125" style="1010" customWidth="1"/>
    <col min="18" max="23" width="10.6328125" style="1011" customWidth="1"/>
    <col min="24" max="24" width="10.6328125" style="1010" customWidth="1"/>
    <col min="25" max="25" width="10.6328125" style="1011" customWidth="1"/>
    <col min="26" max="26" width="10.6328125" style="1010" customWidth="1"/>
    <col min="27" max="32" width="10.6328125" style="1011" customWidth="1"/>
    <col min="33" max="16384" width="8.90625" style="845"/>
  </cols>
  <sheetData>
    <row r="1" spans="1:33">
      <c r="A1" s="1129" t="s">
        <v>1082</v>
      </c>
      <c r="B1" s="1129"/>
      <c r="C1" s="1129"/>
      <c r="D1" s="1129"/>
      <c r="E1" s="1129"/>
      <c r="F1" s="1129"/>
      <c r="G1" s="1129"/>
      <c r="H1" s="1129"/>
      <c r="I1" s="1129"/>
      <c r="J1" s="1129"/>
      <c r="K1" s="1129"/>
      <c r="L1" s="1129"/>
      <c r="M1" s="1129"/>
      <c r="N1" s="1129"/>
      <c r="O1" s="1009"/>
      <c r="P1" s="1009"/>
      <c r="Q1" s="1009"/>
      <c r="R1" s="1009"/>
      <c r="S1" s="1009"/>
      <c r="T1" s="1009"/>
      <c r="U1" s="1009"/>
      <c r="V1" s="1009"/>
      <c r="W1" s="1009"/>
      <c r="X1" s="1009"/>
      <c r="Y1" s="1009"/>
    </row>
    <row r="2" spans="1:33">
      <c r="A2" s="1129" t="str">
        <f>+'Attachment H'!D5</f>
        <v>Gridliance High Plains LLC</v>
      </c>
      <c r="B2" s="1129"/>
      <c r="C2" s="1129"/>
      <c r="D2" s="1129"/>
      <c r="E2" s="1129"/>
      <c r="F2" s="1129"/>
      <c r="G2" s="1129"/>
      <c r="H2" s="1129"/>
      <c r="I2" s="1129"/>
      <c r="J2" s="1129"/>
      <c r="K2" s="1129"/>
      <c r="L2" s="1129"/>
      <c r="M2" s="1129"/>
      <c r="N2" s="1129"/>
      <c r="O2" s="1009"/>
      <c r="P2" s="1009"/>
      <c r="Q2" s="1009"/>
      <c r="R2" s="1009"/>
      <c r="S2" s="1009"/>
      <c r="T2" s="1009"/>
      <c r="U2" s="1009"/>
      <c r="V2" s="1009"/>
      <c r="W2" s="1009"/>
      <c r="X2" s="1009"/>
      <c r="Y2" s="1009"/>
    </row>
    <row r="3" spans="1:33">
      <c r="A3" s="1129" t="s">
        <v>1141</v>
      </c>
      <c r="B3" s="1129"/>
      <c r="C3" s="1129"/>
      <c r="D3" s="1129"/>
      <c r="E3" s="1129"/>
      <c r="F3" s="1129"/>
      <c r="G3" s="1129"/>
      <c r="H3" s="1129"/>
      <c r="I3" s="1129"/>
      <c r="J3" s="1129"/>
      <c r="K3" s="1129"/>
      <c r="L3" s="1129"/>
      <c r="M3" s="1129"/>
      <c r="N3" s="1129"/>
      <c r="O3" s="982"/>
      <c r="P3" s="982"/>
      <c r="Q3" s="982"/>
      <c r="R3" s="982"/>
      <c r="S3" s="982"/>
      <c r="T3" s="982"/>
      <c r="U3" s="982"/>
      <c r="V3" s="982"/>
      <c r="W3" s="982"/>
      <c r="X3" s="982"/>
      <c r="Y3" s="982"/>
      <c r="Z3" s="853"/>
      <c r="AA3" s="845"/>
      <c r="AB3" s="845"/>
      <c r="AC3" s="845"/>
      <c r="AD3" s="845"/>
      <c r="AE3" s="845"/>
      <c r="AF3" s="845"/>
    </row>
    <row r="4" spans="1:33" ht="13.8" thickBot="1">
      <c r="O4" s="853"/>
      <c r="P4" s="845"/>
      <c r="Q4" s="853"/>
      <c r="R4" s="845"/>
      <c r="S4" s="845"/>
      <c r="T4" s="845"/>
      <c r="U4" s="845"/>
      <c r="V4" s="845"/>
      <c r="W4" s="845"/>
      <c r="X4" s="853"/>
      <c r="Y4" s="845"/>
      <c r="Z4" s="853"/>
      <c r="AA4" s="845"/>
      <c r="AB4" s="845"/>
      <c r="AC4" s="845"/>
      <c r="AD4" s="845"/>
      <c r="AE4" s="845"/>
      <c r="AF4" s="845"/>
    </row>
    <row r="5" spans="1:33" s="853" customFormat="1">
      <c r="B5" s="855"/>
      <c r="F5" s="1138" t="s">
        <v>25</v>
      </c>
      <c r="G5" s="1139"/>
      <c r="H5" s="1139"/>
      <c r="I5" s="1139"/>
      <c r="J5" s="1139"/>
      <c r="K5" s="1139"/>
      <c r="L5" s="1139"/>
      <c r="M5" s="1139"/>
      <c r="N5" s="1140"/>
      <c r="O5" s="1138" t="s">
        <v>996</v>
      </c>
      <c r="P5" s="1139"/>
      <c r="Q5" s="1139"/>
      <c r="R5" s="1139"/>
      <c r="S5" s="1139"/>
      <c r="T5" s="1139"/>
      <c r="U5" s="1139"/>
      <c r="V5" s="1139"/>
      <c r="W5" s="1140"/>
      <c r="X5" s="1138" t="s">
        <v>997</v>
      </c>
      <c r="Y5" s="1139"/>
      <c r="Z5" s="1139"/>
      <c r="AA5" s="1139"/>
      <c r="AB5" s="1139"/>
      <c r="AC5" s="1139"/>
      <c r="AD5" s="1139"/>
      <c r="AE5" s="1139"/>
      <c r="AF5" s="1140"/>
      <c r="AG5" s="958"/>
    </row>
    <row r="6" spans="1:33">
      <c r="B6" s="958" t="s">
        <v>292</v>
      </c>
      <c r="C6" s="958" t="s">
        <v>293</v>
      </c>
      <c r="D6" s="958" t="s">
        <v>294</v>
      </c>
      <c r="E6" s="958" t="s">
        <v>295</v>
      </c>
      <c r="F6" s="962" t="s">
        <v>297</v>
      </c>
      <c r="G6" s="959" t="s">
        <v>296</v>
      </c>
      <c r="H6" s="959" t="s">
        <v>298</v>
      </c>
      <c r="I6" s="959" t="s">
        <v>296</v>
      </c>
      <c r="J6" s="959" t="s">
        <v>298</v>
      </c>
      <c r="K6" s="959" t="s">
        <v>299</v>
      </c>
      <c r="L6" s="959" t="s">
        <v>300</v>
      </c>
      <c r="M6" s="959" t="s">
        <v>393</v>
      </c>
      <c r="N6" s="963" t="s">
        <v>397</v>
      </c>
      <c r="O6" s="962" t="s">
        <v>297</v>
      </c>
      <c r="P6" s="981" t="s">
        <v>296</v>
      </c>
      <c r="Q6" s="981" t="s">
        <v>298</v>
      </c>
      <c r="R6" s="981" t="s">
        <v>296</v>
      </c>
      <c r="S6" s="981" t="s">
        <v>298</v>
      </c>
      <c r="T6" s="981" t="s">
        <v>299</v>
      </c>
      <c r="U6" s="981" t="s">
        <v>300</v>
      </c>
      <c r="V6" s="981" t="s">
        <v>393</v>
      </c>
      <c r="W6" s="963" t="s">
        <v>397</v>
      </c>
      <c r="X6" s="962" t="s">
        <v>297</v>
      </c>
      <c r="Y6" s="981" t="s">
        <v>296</v>
      </c>
      <c r="Z6" s="981" t="s">
        <v>298</v>
      </c>
      <c r="AA6" s="981" t="s">
        <v>296</v>
      </c>
      <c r="AB6" s="981" t="s">
        <v>298</v>
      </c>
      <c r="AC6" s="981" t="s">
        <v>299</v>
      </c>
      <c r="AD6" s="981" t="s">
        <v>300</v>
      </c>
      <c r="AE6" s="981" t="s">
        <v>393</v>
      </c>
      <c r="AF6" s="963" t="s">
        <v>397</v>
      </c>
    </row>
    <row r="7" spans="1:33" ht="92.4">
      <c r="A7" s="964"/>
      <c r="B7" s="851" t="s">
        <v>993</v>
      </c>
      <c r="C7" s="851" t="s">
        <v>252</v>
      </c>
      <c r="D7" s="851" t="s">
        <v>96</v>
      </c>
      <c r="E7" s="851" t="s">
        <v>1012</v>
      </c>
      <c r="F7" s="965" t="s">
        <v>1083</v>
      </c>
      <c r="G7" s="851" t="s">
        <v>1084</v>
      </c>
      <c r="H7" s="851" t="s">
        <v>1085</v>
      </c>
      <c r="I7" s="851" t="s">
        <v>1086</v>
      </c>
      <c r="J7" s="851" t="s">
        <v>1087</v>
      </c>
      <c r="K7" s="851" t="s">
        <v>1088</v>
      </c>
      <c r="L7" s="851" t="s">
        <v>1089</v>
      </c>
      <c r="M7" s="851" t="s">
        <v>1090</v>
      </c>
      <c r="N7" s="966" t="s">
        <v>1091</v>
      </c>
      <c r="O7" s="965" t="s">
        <v>1083</v>
      </c>
      <c r="P7" s="851" t="s">
        <v>1084</v>
      </c>
      <c r="Q7" s="851" t="s">
        <v>1085</v>
      </c>
      <c r="R7" s="851" t="s">
        <v>1086</v>
      </c>
      <c r="S7" s="851" t="s">
        <v>1087</v>
      </c>
      <c r="T7" s="851" t="s">
        <v>1088</v>
      </c>
      <c r="U7" s="851" t="s">
        <v>1089</v>
      </c>
      <c r="V7" s="851" t="s">
        <v>1090</v>
      </c>
      <c r="W7" s="966" t="s">
        <v>1091</v>
      </c>
      <c r="X7" s="965" t="s">
        <v>1083</v>
      </c>
      <c r="Y7" s="851" t="s">
        <v>1084</v>
      </c>
      <c r="Z7" s="851" t="s">
        <v>1085</v>
      </c>
      <c r="AA7" s="851" t="s">
        <v>1086</v>
      </c>
      <c r="AB7" s="851" t="s">
        <v>1087</v>
      </c>
      <c r="AC7" s="851" t="s">
        <v>1088</v>
      </c>
      <c r="AD7" s="851" t="s">
        <v>1089</v>
      </c>
      <c r="AE7" s="851" t="s">
        <v>1090</v>
      </c>
      <c r="AF7" s="966" t="s">
        <v>1091</v>
      </c>
      <c r="AG7" s="958"/>
    </row>
    <row r="8" spans="1:33">
      <c r="A8" s="845" t="s">
        <v>1092</v>
      </c>
      <c r="C8" s="853"/>
      <c r="D8" s="958"/>
      <c r="E8" s="958"/>
      <c r="F8" s="967"/>
      <c r="G8" s="861"/>
      <c r="H8" s="861"/>
      <c r="I8" s="861"/>
      <c r="J8" s="861"/>
      <c r="K8" s="861"/>
      <c r="L8" s="861"/>
      <c r="M8" s="861"/>
      <c r="N8" s="968"/>
      <c r="O8" s="967"/>
      <c r="P8" s="861"/>
      <c r="Q8" s="861"/>
      <c r="R8" s="861"/>
      <c r="S8" s="861"/>
      <c r="T8" s="861"/>
      <c r="U8" s="861"/>
      <c r="V8" s="861"/>
      <c r="W8" s="968"/>
      <c r="X8" s="967"/>
      <c r="Y8" s="861"/>
      <c r="Z8" s="861"/>
      <c r="AA8" s="861"/>
      <c r="AB8" s="861"/>
      <c r="AC8" s="861"/>
      <c r="AD8" s="861"/>
      <c r="AE8" s="861"/>
      <c r="AF8" s="968"/>
      <c r="AG8" s="958"/>
    </row>
    <row r="9" spans="1:33">
      <c r="A9" s="854">
        <v>1</v>
      </c>
      <c r="B9" s="852" t="s">
        <v>1018</v>
      </c>
      <c r="C9" s="853" t="s">
        <v>98</v>
      </c>
      <c r="D9" s="1005">
        <v>2021</v>
      </c>
      <c r="E9" s="969">
        <f>365/365</f>
        <v>1</v>
      </c>
      <c r="F9" s="970"/>
      <c r="G9" s="546"/>
      <c r="H9" s="546">
        <f>'4c- ADIT BOY'!E54</f>
        <v>-604380.61580149084</v>
      </c>
      <c r="I9" s="546"/>
      <c r="J9" s="546"/>
      <c r="K9" s="546"/>
      <c r="L9" s="546"/>
      <c r="M9" s="546"/>
      <c r="N9" s="971">
        <v>0</v>
      </c>
      <c r="O9" s="970"/>
      <c r="P9" s="546"/>
      <c r="Q9" s="546">
        <f>'4c- ADIT BOY'!F54</f>
        <v>0</v>
      </c>
      <c r="R9" s="546"/>
      <c r="S9" s="546"/>
      <c r="T9" s="546"/>
      <c r="U9" s="546"/>
      <c r="V9" s="546"/>
      <c r="W9" s="971">
        <v>0</v>
      </c>
      <c r="X9" s="970"/>
      <c r="Y9" s="546"/>
      <c r="Z9" s="546">
        <f>'4c- ADIT BOY'!G54</f>
        <v>0</v>
      </c>
      <c r="AA9" s="546"/>
      <c r="AB9" s="546"/>
      <c r="AC9" s="546"/>
      <c r="AD9" s="546"/>
      <c r="AE9" s="546"/>
      <c r="AF9" s="971">
        <v>0</v>
      </c>
    </row>
    <row r="10" spans="1:33">
      <c r="A10" s="854">
        <f t="shared" ref="A10:A22" si="0">+A9+1</f>
        <v>2</v>
      </c>
      <c r="B10" s="852" t="s">
        <v>1019</v>
      </c>
      <c r="C10" s="853" t="s">
        <v>105</v>
      </c>
      <c r="D10" s="1005">
        <v>2022</v>
      </c>
      <c r="E10" s="969">
        <f>335/365</f>
        <v>0.9178082191780822</v>
      </c>
      <c r="F10" s="970">
        <f>'4b-ADIT Projection Proration'!G10</f>
        <v>-114347.93889561185</v>
      </c>
      <c r="G10" s="546">
        <f>$E10*F10</f>
        <v>-104949.47816446568</v>
      </c>
      <c r="H10" s="546">
        <f>+G10+H9</f>
        <v>-709330.09396595648</v>
      </c>
      <c r="I10" s="540">
        <v>0</v>
      </c>
      <c r="J10" s="546">
        <f t="shared" ref="J10:J21" si="1">I10-F10</f>
        <v>114347.93889561185</v>
      </c>
      <c r="K10" s="546">
        <f>IF(J10&gt;=0,+J10,0)</f>
        <v>114347.93889561185</v>
      </c>
      <c r="L10" s="546">
        <f>IF(K10&gt;0,0,IF(I10&lt;0,0,(-(J10)*($E10))))</f>
        <v>0</v>
      </c>
      <c r="M10" s="546">
        <f>IF(K10&gt;0,0,IF(I10&gt;0,0,(-(J10)*($E10))))</f>
        <v>0</v>
      </c>
      <c r="N10" s="971">
        <f>IF(I10&lt;0,N9+M10,N9+$G10+K10-L10)</f>
        <v>9398.4607311461732</v>
      </c>
      <c r="O10" s="970">
        <f>'4b-ADIT Projection Proration'!I10</f>
        <v>0</v>
      </c>
      <c r="P10" s="546">
        <f t="shared" ref="P10:P21" si="2">$E10*O10</f>
        <v>0</v>
      </c>
      <c r="Q10" s="546">
        <f>+P10+Q9</f>
        <v>0</v>
      </c>
      <c r="R10" s="540">
        <v>0</v>
      </c>
      <c r="S10" s="546">
        <f t="shared" ref="S10:S21" si="3">R10-O10</f>
        <v>0</v>
      </c>
      <c r="T10" s="546">
        <f>IF(S10&gt;=0,+S10,0)</f>
        <v>0</v>
      </c>
      <c r="U10" s="546">
        <f t="shared" ref="U10:U21" si="4">IF(T10&gt;0,0,IF(R10&lt;0,0,(-(S10)*($E10))))</f>
        <v>0</v>
      </c>
      <c r="V10" s="546">
        <f t="shared" ref="V10:V21" si="5">IF(T10&gt;0,0,IF(R10&gt;0,0,(-(S10)*($E10))))</f>
        <v>0</v>
      </c>
      <c r="W10" s="971">
        <f>IF(R10&lt;0,W9+V10,W9+P10+T10-U10)</f>
        <v>0</v>
      </c>
      <c r="X10" s="970">
        <f>'4b-ADIT Projection Proration'!K10</f>
        <v>0</v>
      </c>
      <c r="Y10" s="546">
        <f t="shared" ref="Y10:Y21" si="6">$E10*X10</f>
        <v>0</v>
      </c>
      <c r="Z10" s="546">
        <f>+Y10+Z9</f>
        <v>0</v>
      </c>
      <c r="AA10" s="540">
        <v>0</v>
      </c>
      <c r="AB10" s="546">
        <f t="shared" ref="AB10:AB21" si="7">AA10-X10</f>
        <v>0</v>
      </c>
      <c r="AC10" s="546">
        <f>IF(AB10&gt;=0,+AB10,0)</f>
        <v>0</v>
      </c>
      <c r="AD10" s="546">
        <f t="shared" ref="AD10:AD21" si="8">IF(AC10&gt;0,0,IF(AA10&lt;0,0,(-(AB10)*($E10))))</f>
        <v>0</v>
      </c>
      <c r="AE10" s="546">
        <f t="shared" ref="AE10:AE21" si="9">IF(AC10&gt;0,0,IF(AA10&gt;0,0,(-(AB10)*($E10))))</f>
        <v>0</v>
      </c>
      <c r="AF10" s="971">
        <f>IF(AA10&lt;0,AF9+AE10,AF9+Y10+AC10-AD10)</f>
        <v>0</v>
      </c>
    </row>
    <row r="11" spans="1:33">
      <c r="A11" s="854">
        <f t="shared" si="0"/>
        <v>3</v>
      </c>
      <c r="B11" s="852" t="s">
        <v>1019</v>
      </c>
      <c r="C11" s="853" t="s">
        <v>104</v>
      </c>
      <c r="D11" s="1005">
        <v>2022</v>
      </c>
      <c r="E11" s="969">
        <f>307/365</f>
        <v>0.84109589041095889</v>
      </c>
      <c r="F11" s="970">
        <f>'4b-ADIT Projection Proration'!G11</f>
        <v>-114347.93889561185</v>
      </c>
      <c r="G11" s="546">
        <f t="shared" ref="G11:G21" si="10">$E11*F11</f>
        <v>-96177.581482062567</v>
      </c>
      <c r="H11" s="546">
        <f t="shared" ref="H11:H21" si="11">+G11+H10</f>
        <v>-805507.67544801906</v>
      </c>
      <c r="I11" s="540">
        <v>0</v>
      </c>
      <c r="J11" s="546">
        <f t="shared" si="1"/>
        <v>114347.93889561185</v>
      </c>
      <c r="K11" s="546">
        <f t="shared" ref="K11:K21" si="12">IF(J11&gt;=0,+J11,0)</f>
        <v>114347.93889561185</v>
      </c>
      <c r="L11" s="546">
        <f t="shared" ref="L11:L21" si="13">IF(K11&gt;0,0,IF(I11&lt;0,0,(-(J11)*($E11))))</f>
        <v>0</v>
      </c>
      <c r="M11" s="546">
        <f t="shared" ref="M11:M21" si="14">IF(K11&gt;0,0,IF(I11&gt;0,0,(-(J11)*($E11))))</f>
        <v>0</v>
      </c>
      <c r="N11" s="971">
        <f t="shared" ref="N11:N21" si="15">IF(I11&lt;0,N10+M11,N10+$G11+K11-L11)</f>
        <v>27568.818144695455</v>
      </c>
      <c r="O11" s="970">
        <f>'4b-ADIT Projection Proration'!I11</f>
        <v>0</v>
      </c>
      <c r="P11" s="546">
        <f t="shared" si="2"/>
        <v>0</v>
      </c>
      <c r="Q11" s="546">
        <f t="shared" ref="Q11:Q21" si="16">+P11+Q10</f>
        <v>0</v>
      </c>
      <c r="R11" s="540">
        <v>0</v>
      </c>
      <c r="S11" s="546">
        <f t="shared" si="3"/>
        <v>0</v>
      </c>
      <c r="T11" s="546">
        <f t="shared" ref="T11:T21" si="17">IF(S11&gt;=0,+S11,0)</f>
        <v>0</v>
      </c>
      <c r="U11" s="546">
        <f t="shared" si="4"/>
        <v>0</v>
      </c>
      <c r="V11" s="546">
        <f t="shared" si="5"/>
        <v>0</v>
      </c>
      <c r="W11" s="971">
        <f t="shared" ref="W11:W21" si="18">IF(R11&lt;0,W10+V11,W10+P11+T11-U11)</f>
        <v>0</v>
      </c>
      <c r="X11" s="970">
        <f>'4b-ADIT Projection Proration'!K11</f>
        <v>0</v>
      </c>
      <c r="Y11" s="546">
        <f t="shared" si="6"/>
        <v>0</v>
      </c>
      <c r="Z11" s="546">
        <f t="shared" ref="Z11:Z21" si="19">+Y11+Z10</f>
        <v>0</v>
      </c>
      <c r="AA11" s="540">
        <v>0</v>
      </c>
      <c r="AB11" s="546">
        <f t="shared" si="7"/>
        <v>0</v>
      </c>
      <c r="AC11" s="546">
        <f t="shared" ref="AC11:AC21" si="20">IF(AB11&gt;=0,+AB11,0)</f>
        <v>0</v>
      </c>
      <c r="AD11" s="546">
        <f t="shared" si="8"/>
        <v>0</v>
      </c>
      <c r="AE11" s="546">
        <f t="shared" si="9"/>
        <v>0</v>
      </c>
      <c r="AF11" s="971">
        <f t="shared" ref="AF11:AF21" si="21">IF(AA11&lt;0,AF10+AE11,AF10+Y11+AC11-AD11)</f>
        <v>0</v>
      </c>
    </row>
    <row r="12" spans="1:33">
      <c r="A12" s="854">
        <f t="shared" si="0"/>
        <v>4</v>
      </c>
      <c r="B12" s="852" t="s">
        <v>1019</v>
      </c>
      <c r="C12" s="853" t="s">
        <v>103</v>
      </c>
      <c r="D12" s="1005">
        <v>2022</v>
      </c>
      <c r="E12" s="969">
        <f>276/365</f>
        <v>0.75616438356164384</v>
      </c>
      <c r="F12" s="970">
        <f>'4b-ADIT Projection Proration'!G12</f>
        <v>-114347.93889561185</v>
      </c>
      <c r="G12" s="546">
        <f t="shared" si="10"/>
        <v>-86465.838726544855</v>
      </c>
      <c r="H12" s="546">
        <f t="shared" si="11"/>
        <v>-891973.51417456393</v>
      </c>
      <c r="I12" s="540">
        <v>0</v>
      </c>
      <c r="J12" s="546">
        <f t="shared" si="1"/>
        <v>114347.93889561185</v>
      </c>
      <c r="K12" s="546">
        <f t="shared" si="12"/>
        <v>114347.93889561185</v>
      </c>
      <c r="L12" s="546">
        <f t="shared" si="13"/>
        <v>0</v>
      </c>
      <c r="M12" s="546">
        <f t="shared" si="14"/>
        <v>0</v>
      </c>
      <c r="N12" s="971">
        <f t="shared" si="15"/>
        <v>55450.91831376245</v>
      </c>
      <c r="O12" s="970">
        <f>'4b-ADIT Projection Proration'!I12</f>
        <v>0</v>
      </c>
      <c r="P12" s="546">
        <f t="shared" si="2"/>
        <v>0</v>
      </c>
      <c r="Q12" s="546">
        <f t="shared" si="16"/>
        <v>0</v>
      </c>
      <c r="R12" s="540">
        <v>0</v>
      </c>
      <c r="S12" s="546">
        <f t="shared" si="3"/>
        <v>0</v>
      </c>
      <c r="T12" s="546">
        <f t="shared" si="17"/>
        <v>0</v>
      </c>
      <c r="U12" s="546">
        <f t="shared" si="4"/>
        <v>0</v>
      </c>
      <c r="V12" s="546">
        <f t="shared" si="5"/>
        <v>0</v>
      </c>
      <c r="W12" s="971">
        <f t="shared" si="18"/>
        <v>0</v>
      </c>
      <c r="X12" s="970">
        <f>'4b-ADIT Projection Proration'!K12</f>
        <v>0</v>
      </c>
      <c r="Y12" s="546">
        <f t="shared" si="6"/>
        <v>0</v>
      </c>
      <c r="Z12" s="546">
        <f t="shared" si="19"/>
        <v>0</v>
      </c>
      <c r="AA12" s="540">
        <v>0</v>
      </c>
      <c r="AB12" s="546">
        <f t="shared" si="7"/>
        <v>0</v>
      </c>
      <c r="AC12" s="546">
        <f t="shared" si="20"/>
        <v>0</v>
      </c>
      <c r="AD12" s="546">
        <f t="shared" si="8"/>
        <v>0</v>
      </c>
      <c r="AE12" s="546">
        <f t="shared" si="9"/>
        <v>0</v>
      </c>
      <c r="AF12" s="971">
        <f t="shared" si="21"/>
        <v>0</v>
      </c>
    </row>
    <row r="13" spans="1:33">
      <c r="A13" s="854">
        <f t="shared" si="0"/>
        <v>5</v>
      </c>
      <c r="B13" s="852" t="s">
        <v>1019</v>
      </c>
      <c r="C13" s="853" t="s">
        <v>95</v>
      </c>
      <c r="D13" s="1005">
        <v>2022</v>
      </c>
      <c r="E13" s="969">
        <f>246/365</f>
        <v>0.67397260273972603</v>
      </c>
      <c r="F13" s="970">
        <f>'4b-ADIT Projection Proration'!G13</f>
        <v>-114347.93889561185</v>
      </c>
      <c r="G13" s="546">
        <f t="shared" si="10"/>
        <v>-77067.377995398667</v>
      </c>
      <c r="H13" s="546">
        <f t="shared" si="11"/>
        <v>-969040.89216996264</v>
      </c>
      <c r="I13" s="540">
        <v>0</v>
      </c>
      <c r="J13" s="546">
        <f t="shared" si="1"/>
        <v>114347.93889561185</v>
      </c>
      <c r="K13" s="546">
        <f t="shared" si="12"/>
        <v>114347.93889561185</v>
      </c>
      <c r="L13" s="546">
        <f t="shared" si="13"/>
        <v>0</v>
      </c>
      <c r="M13" s="546">
        <f t="shared" si="14"/>
        <v>0</v>
      </c>
      <c r="N13" s="971">
        <f t="shared" si="15"/>
        <v>92731.479213975632</v>
      </c>
      <c r="O13" s="970">
        <f>'4b-ADIT Projection Proration'!I13</f>
        <v>0</v>
      </c>
      <c r="P13" s="546">
        <f t="shared" si="2"/>
        <v>0</v>
      </c>
      <c r="Q13" s="546">
        <f t="shared" si="16"/>
        <v>0</v>
      </c>
      <c r="R13" s="540">
        <v>0</v>
      </c>
      <c r="S13" s="546">
        <f t="shared" si="3"/>
        <v>0</v>
      </c>
      <c r="T13" s="546">
        <f t="shared" si="17"/>
        <v>0</v>
      </c>
      <c r="U13" s="546">
        <f t="shared" si="4"/>
        <v>0</v>
      </c>
      <c r="V13" s="546">
        <f t="shared" si="5"/>
        <v>0</v>
      </c>
      <c r="W13" s="971">
        <f t="shared" si="18"/>
        <v>0</v>
      </c>
      <c r="X13" s="970">
        <f>'4b-ADIT Projection Proration'!K13</f>
        <v>0</v>
      </c>
      <c r="Y13" s="546">
        <f t="shared" si="6"/>
        <v>0</v>
      </c>
      <c r="Z13" s="546">
        <f t="shared" si="19"/>
        <v>0</v>
      </c>
      <c r="AA13" s="540">
        <v>0</v>
      </c>
      <c r="AB13" s="546">
        <f t="shared" si="7"/>
        <v>0</v>
      </c>
      <c r="AC13" s="546">
        <f t="shared" si="20"/>
        <v>0</v>
      </c>
      <c r="AD13" s="546">
        <f t="shared" si="8"/>
        <v>0</v>
      </c>
      <c r="AE13" s="546">
        <f t="shared" si="9"/>
        <v>0</v>
      </c>
      <c r="AF13" s="971">
        <f t="shared" si="21"/>
        <v>0</v>
      </c>
    </row>
    <row r="14" spans="1:33">
      <c r="A14" s="854">
        <f t="shared" si="0"/>
        <v>6</v>
      </c>
      <c r="B14" s="852" t="s">
        <v>1019</v>
      </c>
      <c r="C14" s="853" t="s">
        <v>92</v>
      </c>
      <c r="D14" s="1005">
        <v>2022</v>
      </c>
      <c r="E14" s="969">
        <f>215/365</f>
        <v>0.58904109589041098</v>
      </c>
      <c r="F14" s="970">
        <f>'4b-ADIT Projection Proration'!G14</f>
        <v>-114347.93889561185</v>
      </c>
      <c r="G14" s="546">
        <f t="shared" si="10"/>
        <v>-67355.635239880954</v>
      </c>
      <c r="H14" s="546">
        <f t="shared" si="11"/>
        <v>-1036396.5274098436</v>
      </c>
      <c r="I14" s="540">
        <v>0</v>
      </c>
      <c r="J14" s="546">
        <f t="shared" si="1"/>
        <v>114347.93889561185</v>
      </c>
      <c r="K14" s="546">
        <f t="shared" si="12"/>
        <v>114347.93889561185</v>
      </c>
      <c r="L14" s="546">
        <f t="shared" si="13"/>
        <v>0</v>
      </c>
      <c r="M14" s="546">
        <f t="shared" si="14"/>
        <v>0</v>
      </c>
      <c r="N14" s="971">
        <f t="shared" si="15"/>
        <v>139723.78286970651</v>
      </c>
      <c r="O14" s="970">
        <f>'4b-ADIT Projection Proration'!I14</f>
        <v>0</v>
      </c>
      <c r="P14" s="546">
        <f t="shared" si="2"/>
        <v>0</v>
      </c>
      <c r="Q14" s="546">
        <f t="shared" si="16"/>
        <v>0</v>
      </c>
      <c r="R14" s="540">
        <v>0</v>
      </c>
      <c r="S14" s="546">
        <f t="shared" si="3"/>
        <v>0</v>
      </c>
      <c r="T14" s="546">
        <f t="shared" si="17"/>
        <v>0</v>
      </c>
      <c r="U14" s="546">
        <f t="shared" si="4"/>
        <v>0</v>
      </c>
      <c r="V14" s="546">
        <f t="shared" si="5"/>
        <v>0</v>
      </c>
      <c r="W14" s="971">
        <f t="shared" si="18"/>
        <v>0</v>
      </c>
      <c r="X14" s="970">
        <f>'4b-ADIT Projection Proration'!K14</f>
        <v>0</v>
      </c>
      <c r="Y14" s="546">
        <f t="shared" si="6"/>
        <v>0</v>
      </c>
      <c r="Z14" s="546">
        <f t="shared" si="19"/>
        <v>0</v>
      </c>
      <c r="AA14" s="540">
        <v>0</v>
      </c>
      <c r="AB14" s="546">
        <f t="shared" si="7"/>
        <v>0</v>
      </c>
      <c r="AC14" s="546">
        <f t="shared" si="20"/>
        <v>0</v>
      </c>
      <c r="AD14" s="546">
        <f t="shared" si="8"/>
        <v>0</v>
      </c>
      <c r="AE14" s="546">
        <f t="shared" si="9"/>
        <v>0</v>
      </c>
      <c r="AF14" s="971">
        <f t="shared" si="21"/>
        <v>0</v>
      </c>
    </row>
    <row r="15" spans="1:33">
      <c r="A15" s="854">
        <f t="shared" si="0"/>
        <v>7</v>
      </c>
      <c r="B15" s="852" t="s">
        <v>1019</v>
      </c>
      <c r="C15" s="853" t="s">
        <v>145</v>
      </c>
      <c r="D15" s="1005">
        <v>2022</v>
      </c>
      <c r="E15" s="969">
        <f>185/365</f>
        <v>0.50684931506849318</v>
      </c>
      <c r="F15" s="970">
        <f>'4b-ADIT Projection Proration'!G15</f>
        <v>-114347.93889561185</v>
      </c>
      <c r="G15" s="546">
        <f t="shared" si="10"/>
        <v>-57957.174508734774</v>
      </c>
      <c r="H15" s="546">
        <f t="shared" si="11"/>
        <v>-1094353.7019185785</v>
      </c>
      <c r="I15" s="540">
        <v>0</v>
      </c>
      <c r="J15" s="546">
        <f t="shared" si="1"/>
        <v>114347.93889561185</v>
      </c>
      <c r="K15" s="546">
        <f t="shared" si="12"/>
        <v>114347.93889561185</v>
      </c>
      <c r="L15" s="546">
        <f t="shared" si="13"/>
        <v>0</v>
      </c>
      <c r="M15" s="546">
        <f t="shared" si="14"/>
        <v>0</v>
      </c>
      <c r="N15" s="971">
        <f t="shared" si="15"/>
        <v>196114.54725658358</v>
      </c>
      <c r="O15" s="970">
        <f>'4b-ADIT Projection Proration'!I15</f>
        <v>0</v>
      </c>
      <c r="P15" s="546">
        <f t="shared" si="2"/>
        <v>0</v>
      </c>
      <c r="Q15" s="546">
        <f t="shared" si="16"/>
        <v>0</v>
      </c>
      <c r="R15" s="540">
        <v>0</v>
      </c>
      <c r="S15" s="546">
        <f t="shared" si="3"/>
        <v>0</v>
      </c>
      <c r="T15" s="546">
        <f t="shared" si="17"/>
        <v>0</v>
      </c>
      <c r="U15" s="546">
        <f t="shared" si="4"/>
        <v>0</v>
      </c>
      <c r="V15" s="546">
        <f t="shared" si="5"/>
        <v>0</v>
      </c>
      <c r="W15" s="971">
        <f t="shared" si="18"/>
        <v>0</v>
      </c>
      <c r="X15" s="970">
        <f>'4b-ADIT Projection Proration'!K15</f>
        <v>0</v>
      </c>
      <c r="Y15" s="546">
        <f t="shared" si="6"/>
        <v>0</v>
      </c>
      <c r="Z15" s="546">
        <f t="shared" si="19"/>
        <v>0</v>
      </c>
      <c r="AA15" s="540">
        <v>0</v>
      </c>
      <c r="AB15" s="546">
        <f t="shared" si="7"/>
        <v>0</v>
      </c>
      <c r="AC15" s="546">
        <f t="shared" si="20"/>
        <v>0</v>
      </c>
      <c r="AD15" s="546">
        <f t="shared" si="8"/>
        <v>0</v>
      </c>
      <c r="AE15" s="546">
        <f t="shared" si="9"/>
        <v>0</v>
      </c>
      <c r="AF15" s="971">
        <f t="shared" si="21"/>
        <v>0</v>
      </c>
    </row>
    <row r="16" spans="1:33">
      <c r="A16" s="854">
        <f t="shared" si="0"/>
        <v>8</v>
      </c>
      <c r="B16" s="852" t="s">
        <v>1019</v>
      </c>
      <c r="C16" s="853" t="s">
        <v>102</v>
      </c>
      <c r="D16" s="1005">
        <v>2022</v>
      </c>
      <c r="E16" s="969">
        <f>154/365</f>
        <v>0.42191780821917807</v>
      </c>
      <c r="F16" s="970">
        <f>'4b-ADIT Projection Proration'!G16</f>
        <v>-114062.55856040682</v>
      </c>
      <c r="G16" s="546">
        <f t="shared" si="10"/>
        <v>-48125.024707678494</v>
      </c>
      <c r="H16" s="546">
        <f t="shared" si="11"/>
        <v>-1142478.7266262569</v>
      </c>
      <c r="I16" s="540">
        <v>0</v>
      </c>
      <c r="J16" s="546">
        <f t="shared" si="1"/>
        <v>114062.55856040682</v>
      </c>
      <c r="K16" s="546">
        <f t="shared" si="12"/>
        <v>114062.55856040682</v>
      </c>
      <c r="L16" s="546">
        <f t="shared" si="13"/>
        <v>0</v>
      </c>
      <c r="M16" s="546">
        <f t="shared" si="14"/>
        <v>0</v>
      </c>
      <c r="N16" s="971">
        <f t="shared" si="15"/>
        <v>262052.0811093119</v>
      </c>
      <c r="O16" s="970">
        <f>'4b-ADIT Projection Proration'!I16</f>
        <v>0</v>
      </c>
      <c r="P16" s="546">
        <f t="shared" si="2"/>
        <v>0</v>
      </c>
      <c r="Q16" s="546">
        <f t="shared" si="16"/>
        <v>0</v>
      </c>
      <c r="R16" s="540">
        <v>0</v>
      </c>
      <c r="S16" s="546">
        <f t="shared" si="3"/>
        <v>0</v>
      </c>
      <c r="T16" s="546">
        <f t="shared" si="17"/>
        <v>0</v>
      </c>
      <c r="U16" s="546">
        <f t="shared" si="4"/>
        <v>0</v>
      </c>
      <c r="V16" s="546">
        <f t="shared" si="5"/>
        <v>0</v>
      </c>
      <c r="W16" s="971">
        <f t="shared" si="18"/>
        <v>0</v>
      </c>
      <c r="X16" s="970">
        <f>'4b-ADIT Projection Proration'!K16</f>
        <v>0</v>
      </c>
      <c r="Y16" s="546">
        <f t="shared" si="6"/>
        <v>0</v>
      </c>
      <c r="Z16" s="546">
        <f t="shared" si="19"/>
        <v>0</v>
      </c>
      <c r="AA16" s="540">
        <v>0</v>
      </c>
      <c r="AB16" s="546">
        <f t="shared" si="7"/>
        <v>0</v>
      </c>
      <c r="AC16" s="546">
        <f t="shared" si="20"/>
        <v>0</v>
      </c>
      <c r="AD16" s="546">
        <f t="shared" si="8"/>
        <v>0</v>
      </c>
      <c r="AE16" s="546">
        <f t="shared" si="9"/>
        <v>0</v>
      </c>
      <c r="AF16" s="971">
        <f t="shared" si="21"/>
        <v>0</v>
      </c>
    </row>
    <row r="17" spans="1:33" s="853" customFormat="1">
      <c r="A17" s="854">
        <f t="shared" si="0"/>
        <v>9</v>
      </c>
      <c r="B17" s="852" t="s">
        <v>1019</v>
      </c>
      <c r="C17" s="853" t="s">
        <v>101</v>
      </c>
      <c r="D17" s="1005">
        <v>2022</v>
      </c>
      <c r="E17" s="969">
        <f>123/365</f>
        <v>0.33698630136986302</v>
      </c>
      <c r="F17" s="970">
        <f>'4b-ADIT Projection Proration'!G17</f>
        <v>-114049.37413840721</v>
      </c>
      <c r="G17" s="546">
        <f t="shared" si="10"/>
        <v>-38433.07676444955</v>
      </c>
      <c r="H17" s="546">
        <f t="shared" si="11"/>
        <v>-1180911.8033907064</v>
      </c>
      <c r="I17" s="540">
        <v>0</v>
      </c>
      <c r="J17" s="546">
        <f t="shared" si="1"/>
        <v>114049.37413840721</v>
      </c>
      <c r="K17" s="546">
        <f t="shared" si="12"/>
        <v>114049.37413840721</v>
      </c>
      <c r="L17" s="546">
        <f t="shared" si="13"/>
        <v>0</v>
      </c>
      <c r="M17" s="546">
        <f t="shared" si="14"/>
        <v>0</v>
      </c>
      <c r="N17" s="971">
        <f t="shared" si="15"/>
        <v>337668.3784832696</v>
      </c>
      <c r="O17" s="970">
        <f>'4b-ADIT Projection Proration'!I17</f>
        <v>0</v>
      </c>
      <c r="P17" s="546">
        <f t="shared" si="2"/>
        <v>0</v>
      </c>
      <c r="Q17" s="546">
        <f t="shared" si="16"/>
        <v>0</v>
      </c>
      <c r="R17" s="540">
        <v>0</v>
      </c>
      <c r="S17" s="546">
        <f t="shared" si="3"/>
        <v>0</v>
      </c>
      <c r="T17" s="546">
        <f t="shared" si="17"/>
        <v>0</v>
      </c>
      <c r="U17" s="546">
        <f t="shared" si="4"/>
        <v>0</v>
      </c>
      <c r="V17" s="546">
        <f t="shared" si="5"/>
        <v>0</v>
      </c>
      <c r="W17" s="971">
        <f t="shared" si="18"/>
        <v>0</v>
      </c>
      <c r="X17" s="970">
        <f>'4b-ADIT Projection Proration'!K17</f>
        <v>0</v>
      </c>
      <c r="Y17" s="546">
        <f t="shared" si="6"/>
        <v>0</v>
      </c>
      <c r="Z17" s="546">
        <f t="shared" si="19"/>
        <v>0</v>
      </c>
      <c r="AA17" s="540">
        <v>0</v>
      </c>
      <c r="AB17" s="546">
        <f t="shared" si="7"/>
        <v>0</v>
      </c>
      <c r="AC17" s="546">
        <f t="shared" si="20"/>
        <v>0</v>
      </c>
      <c r="AD17" s="546">
        <f t="shared" si="8"/>
        <v>0</v>
      </c>
      <c r="AE17" s="546">
        <f t="shared" si="9"/>
        <v>0</v>
      </c>
      <c r="AF17" s="971">
        <f t="shared" si="21"/>
        <v>0</v>
      </c>
    </row>
    <row r="18" spans="1:33" s="853" customFormat="1">
      <c r="A18" s="854">
        <f t="shared" si="0"/>
        <v>10</v>
      </c>
      <c r="B18" s="852" t="s">
        <v>1019</v>
      </c>
      <c r="C18" s="853" t="s">
        <v>100</v>
      </c>
      <c r="D18" s="1005">
        <v>2022</v>
      </c>
      <c r="E18" s="969">
        <f>93/365</f>
        <v>0.25479452054794521</v>
      </c>
      <c r="F18" s="970">
        <f>'4b-ADIT Projection Proration'!G18</f>
        <v>-114049.37413840721</v>
      </c>
      <c r="G18" s="546">
        <f t="shared" si="10"/>
        <v>-29059.155602388688</v>
      </c>
      <c r="H18" s="546">
        <f t="shared" si="11"/>
        <v>-1209970.9589930952</v>
      </c>
      <c r="I18" s="540">
        <v>0</v>
      </c>
      <c r="J18" s="546">
        <f t="shared" si="1"/>
        <v>114049.37413840721</v>
      </c>
      <c r="K18" s="546">
        <f t="shared" si="12"/>
        <v>114049.37413840721</v>
      </c>
      <c r="L18" s="546">
        <f t="shared" si="13"/>
        <v>0</v>
      </c>
      <c r="M18" s="546">
        <f t="shared" si="14"/>
        <v>0</v>
      </c>
      <c r="N18" s="971">
        <f t="shared" si="15"/>
        <v>422658.59701928811</v>
      </c>
      <c r="O18" s="970">
        <f>'4b-ADIT Projection Proration'!I18</f>
        <v>0</v>
      </c>
      <c r="P18" s="546">
        <f t="shared" si="2"/>
        <v>0</v>
      </c>
      <c r="Q18" s="546">
        <f t="shared" si="16"/>
        <v>0</v>
      </c>
      <c r="R18" s="540">
        <v>0</v>
      </c>
      <c r="S18" s="546">
        <f t="shared" si="3"/>
        <v>0</v>
      </c>
      <c r="T18" s="546">
        <f t="shared" si="17"/>
        <v>0</v>
      </c>
      <c r="U18" s="546">
        <f t="shared" si="4"/>
        <v>0</v>
      </c>
      <c r="V18" s="546">
        <f t="shared" si="5"/>
        <v>0</v>
      </c>
      <c r="W18" s="971">
        <f t="shared" si="18"/>
        <v>0</v>
      </c>
      <c r="X18" s="970">
        <f>'4b-ADIT Projection Proration'!K18</f>
        <v>0</v>
      </c>
      <c r="Y18" s="546">
        <f t="shared" si="6"/>
        <v>0</v>
      </c>
      <c r="Z18" s="546">
        <f t="shared" si="19"/>
        <v>0</v>
      </c>
      <c r="AA18" s="540">
        <v>0</v>
      </c>
      <c r="AB18" s="546">
        <f t="shared" si="7"/>
        <v>0</v>
      </c>
      <c r="AC18" s="546">
        <f t="shared" si="20"/>
        <v>0</v>
      </c>
      <c r="AD18" s="546">
        <f t="shared" si="8"/>
        <v>0</v>
      </c>
      <c r="AE18" s="546">
        <f t="shared" si="9"/>
        <v>0</v>
      </c>
      <c r="AF18" s="971">
        <f t="shared" si="21"/>
        <v>0</v>
      </c>
    </row>
    <row r="19" spans="1:33">
      <c r="A19" s="854">
        <f t="shared" si="0"/>
        <v>11</v>
      </c>
      <c r="B19" s="852" t="s">
        <v>1019</v>
      </c>
      <c r="C19" s="853" t="s">
        <v>106</v>
      </c>
      <c r="D19" s="1005">
        <v>2022</v>
      </c>
      <c r="E19" s="969">
        <f>62/365</f>
        <v>0.16986301369863013</v>
      </c>
      <c r="F19" s="970">
        <f>'4b-ADIT Projection Proration'!G19</f>
        <v>-114049.37413840721</v>
      </c>
      <c r="G19" s="546">
        <f t="shared" si="10"/>
        <v>-19372.770401592457</v>
      </c>
      <c r="H19" s="546">
        <f t="shared" si="11"/>
        <v>-1229343.7293946876</v>
      </c>
      <c r="I19" s="540">
        <v>0</v>
      </c>
      <c r="J19" s="546">
        <f t="shared" si="1"/>
        <v>114049.37413840721</v>
      </c>
      <c r="K19" s="546">
        <f t="shared" si="12"/>
        <v>114049.37413840721</v>
      </c>
      <c r="L19" s="546">
        <f t="shared" si="13"/>
        <v>0</v>
      </c>
      <c r="M19" s="546">
        <f t="shared" si="14"/>
        <v>0</v>
      </c>
      <c r="N19" s="971">
        <f t="shared" si="15"/>
        <v>517335.2007561028</v>
      </c>
      <c r="O19" s="970">
        <f>'4b-ADIT Projection Proration'!I19</f>
        <v>0</v>
      </c>
      <c r="P19" s="546">
        <f t="shared" si="2"/>
        <v>0</v>
      </c>
      <c r="Q19" s="546">
        <f t="shared" si="16"/>
        <v>0</v>
      </c>
      <c r="R19" s="540">
        <v>0</v>
      </c>
      <c r="S19" s="546">
        <f t="shared" si="3"/>
        <v>0</v>
      </c>
      <c r="T19" s="546">
        <f t="shared" si="17"/>
        <v>0</v>
      </c>
      <c r="U19" s="546">
        <f t="shared" si="4"/>
        <v>0</v>
      </c>
      <c r="V19" s="546">
        <f t="shared" si="5"/>
        <v>0</v>
      </c>
      <c r="W19" s="971">
        <f t="shared" si="18"/>
        <v>0</v>
      </c>
      <c r="X19" s="970">
        <f>'4b-ADIT Projection Proration'!K19</f>
        <v>0</v>
      </c>
      <c r="Y19" s="546">
        <f t="shared" si="6"/>
        <v>0</v>
      </c>
      <c r="Z19" s="546">
        <f t="shared" si="19"/>
        <v>0</v>
      </c>
      <c r="AA19" s="540">
        <v>0</v>
      </c>
      <c r="AB19" s="546">
        <f t="shared" si="7"/>
        <v>0</v>
      </c>
      <c r="AC19" s="546">
        <f t="shared" si="20"/>
        <v>0</v>
      </c>
      <c r="AD19" s="546">
        <f t="shared" si="8"/>
        <v>0</v>
      </c>
      <c r="AE19" s="546">
        <f t="shared" si="9"/>
        <v>0</v>
      </c>
      <c r="AF19" s="971">
        <f t="shared" si="21"/>
        <v>0</v>
      </c>
    </row>
    <row r="20" spans="1:33">
      <c r="A20" s="854">
        <f t="shared" si="0"/>
        <v>12</v>
      </c>
      <c r="B20" s="852" t="s">
        <v>1019</v>
      </c>
      <c r="C20" s="853" t="s">
        <v>99</v>
      </c>
      <c r="D20" s="1005">
        <v>2022</v>
      </c>
      <c r="E20" s="969">
        <f>32/365</f>
        <v>8.7671232876712329E-2</v>
      </c>
      <c r="F20" s="970">
        <f>'4b-ADIT Projection Proration'!G20</f>
        <v>-114049.37413840721</v>
      </c>
      <c r="G20" s="546">
        <f t="shared" si="10"/>
        <v>-9998.8492395315916</v>
      </c>
      <c r="H20" s="546">
        <f t="shared" si="11"/>
        <v>-1239342.5786342192</v>
      </c>
      <c r="I20" s="540">
        <v>0</v>
      </c>
      <c r="J20" s="546">
        <f t="shared" si="1"/>
        <v>114049.37413840721</v>
      </c>
      <c r="K20" s="546">
        <f t="shared" si="12"/>
        <v>114049.37413840721</v>
      </c>
      <c r="L20" s="546">
        <f t="shared" si="13"/>
        <v>0</v>
      </c>
      <c r="M20" s="546">
        <f t="shared" si="14"/>
        <v>0</v>
      </c>
      <c r="N20" s="971">
        <f t="shared" si="15"/>
        <v>621385.72565497842</v>
      </c>
      <c r="O20" s="970">
        <f>'4b-ADIT Projection Proration'!I20</f>
        <v>0</v>
      </c>
      <c r="P20" s="546">
        <f t="shared" si="2"/>
        <v>0</v>
      </c>
      <c r="Q20" s="546">
        <f t="shared" si="16"/>
        <v>0</v>
      </c>
      <c r="R20" s="540">
        <v>0</v>
      </c>
      <c r="S20" s="546">
        <f t="shared" si="3"/>
        <v>0</v>
      </c>
      <c r="T20" s="546">
        <f t="shared" si="17"/>
        <v>0</v>
      </c>
      <c r="U20" s="546">
        <f t="shared" si="4"/>
        <v>0</v>
      </c>
      <c r="V20" s="546">
        <f t="shared" si="5"/>
        <v>0</v>
      </c>
      <c r="W20" s="971">
        <f t="shared" si="18"/>
        <v>0</v>
      </c>
      <c r="X20" s="970">
        <f>'4b-ADIT Projection Proration'!K20</f>
        <v>0</v>
      </c>
      <c r="Y20" s="546">
        <f t="shared" si="6"/>
        <v>0</v>
      </c>
      <c r="Z20" s="546">
        <f t="shared" si="19"/>
        <v>0</v>
      </c>
      <c r="AA20" s="540">
        <v>0</v>
      </c>
      <c r="AB20" s="546">
        <f t="shared" si="7"/>
        <v>0</v>
      </c>
      <c r="AC20" s="546">
        <f t="shared" si="20"/>
        <v>0</v>
      </c>
      <c r="AD20" s="546">
        <f t="shared" si="8"/>
        <v>0</v>
      </c>
      <c r="AE20" s="546">
        <f t="shared" si="9"/>
        <v>0</v>
      </c>
      <c r="AF20" s="971">
        <f t="shared" si="21"/>
        <v>0</v>
      </c>
    </row>
    <row r="21" spans="1:33">
      <c r="A21" s="854">
        <f t="shared" si="0"/>
        <v>13</v>
      </c>
      <c r="B21" s="852" t="s">
        <v>1019</v>
      </c>
      <c r="C21" s="853" t="s">
        <v>98</v>
      </c>
      <c r="D21" s="1005">
        <v>2022</v>
      </c>
      <c r="E21" s="969">
        <f>1/365</f>
        <v>2.7397260273972603E-3</v>
      </c>
      <c r="F21" s="972">
        <f>'4b-ADIT Projection Proration'!G21</f>
        <v>-109573.31701190615</v>
      </c>
      <c r="G21" s="973">
        <f t="shared" si="10"/>
        <v>-300.20086852577026</v>
      </c>
      <c r="H21" s="973">
        <f t="shared" si="11"/>
        <v>-1239642.779502745</v>
      </c>
      <c r="I21" s="542">
        <v>0</v>
      </c>
      <c r="J21" s="973">
        <f t="shared" si="1"/>
        <v>109573.31701190615</v>
      </c>
      <c r="K21" s="973">
        <f t="shared" si="12"/>
        <v>109573.31701190615</v>
      </c>
      <c r="L21" s="973">
        <f t="shared" si="13"/>
        <v>0</v>
      </c>
      <c r="M21" s="973">
        <f t="shared" si="14"/>
        <v>0</v>
      </c>
      <c r="N21" s="974">
        <f t="shared" si="15"/>
        <v>730658.84179835883</v>
      </c>
      <c r="O21" s="972">
        <f>'4b-ADIT Projection Proration'!I21</f>
        <v>0</v>
      </c>
      <c r="P21" s="973">
        <f t="shared" si="2"/>
        <v>0</v>
      </c>
      <c r="Q21" s="973">
        <f t="shared" si="16"/>
        <v>0</v>
      </c>
      <c r="R21" s="542">
        <v>0</v>
      </c>
      <c r="S21" s="973">
        <f t="shared" si="3"/>
        <v>0</v>
      </c>
      <c r="T21" s="973">
        <f t="shared" si="17"/>
        <v>0</v>
      </c>
      <c r="U21" s="973">
        <f t="shared" si="4"/>
        <v>0</v>
      </c>
      <c r="V21" s="973">
        <f t="shared" si="5"/>
        <v>0</v>
      </c>
      <c r="W21" s="974">
        <f t="shared" si="18"/>
        <v>0</v>
      </c>
      <c r="X21" s="972">
        <f>'4b-ADIT Projection Proration'!K21</f>
        <v>0</v>
      </c>
      <c r="Y21" s="973">
        <f t="shared" si="6"/>
        <v>0</v>
      </c>
      <c r="Z21" s="973">
        <f t="shared" si="19"/>
        <v>0</v>
      </c>
      <c r="AA21" s="542">
        <v>0</v>
      </c>
      <c r="AB21" s="973">
        <f t="shared" si="7"/>
        <v>0</v>
      </c>
      <c r="AC21" s="973">
        <f t="shared" si="20"/>
        <v>0</v>
      </c>
      <c r="AD21" s="973">
        <f t="shared" si="8"/>
        <v>0</v>
      </c>
      <c r="AE21" s="973">
        <f t="shared" si="9"/>
        <v>0</v>
      </c>
      <c r="AF21" s="974">
        <f t="shared" si="21"/>
        <v>0</v>
      </c>
    </row>
    <row r="22" spans="1:33">
      <c r="A22" s="854">
        <f t="shared" si="0"/>
        <v>14</v>
      </c>
      <c r="B22" s="855" t="s">
        <v>1020</v>
      </c>
      <c r="C22" s="853"/>
      <c r="D22" s="767"/>
      <c r="E22" s="853"/>
      <c r="F22" s="970">
        <f t="shared" ref="F22:M22" si="22">SUM(F9:F21)</f>
        <v>-1365921.0054996125</v>
      </c>
      <c r="G22" s="546">
        <f t="shared" si="22"/>
        <v>-635262.16370125406</v>
      </c>
      <c r="H22" s="546"/>
      <c r="I22" s="546">
        <f t="shared" si="22"/>
        <v>0</v>
      </c>
      <c r="J22" s="546">
        <f t="shared" si="22"/>
        <v>1365921.0054996125</v>
      </c>
      <c r="K22" s="546">
        <f t="shared" si="22"/>
        <v>1365921.0054996125</v>
      </c>
      <c r="L22" s="546">
        <f t="shared" si="22"/>
        <v>0</v>
      </c>
      <c r="M22" s="546">
        <f t="shared" si="22"/>
        <v>0</v>
      </c>
      <c r="N22" s="971"/>
      <c r="O22" s="970">
        <f t="shared" ref="O22:P22" si="23">SUM(O9:O21)</f>
        <v>0</v>
      </c>
      <c r="P22" s="546">
        <f t="shared" si="23"/>
        <v>0</v>
      </c>
      <c r="Q22" s="546"/>
      <c r="R22" s="546">
        <f t="shared" ref="R22:V22" si="24">SUM(R9:R21)</f>
        <v>0</v>
      </c>
      <c r="S22" s="546">
        <f t="shared" si="24"/>
        <v>0</v>
      </c>
      <c r="T22" s="546">
        <f t="shared" si="24"/>
        <v>0</v>
      </c>
      <c r="U22" s="546">
        <f t="shared" si="24"/>
        <v>0</v>
      </c>
      <c r="V22" s="546">
        <f t="shared" si="24"/>
        <v>0</v>
      </c>
      <c r="W22" s="971"/>
      <c r="X22" s="970">
        <f t="shared" ref="X22:Y22" si="25">SUM(X9:X21)</f>
        <v>0</v>
      </c>
      <c r="Y22" s="546">
        <f t="shared" si="25"/>
        <v>0</v>
      </c>
      <c r="Z22" s="546"/>
      <c r="AA22" s="546">
        <f t="shared" ref="AA22:AE22" si="26">SUM(AA9:AA21)</f>
        <v>0</v>
      </c>
      <c r="AB22" s="546">
        <f t="shared" si="26"/>
        <v>0</v>
      </c>
      <c r="AC22" s="546">
        <f t="shared" si="26"/>
        <v>0</v>
      </c>
      <c r="AD22" s="546">
        <f t="shared" si="26"/>
        <v>0</v>
      </c>
      <c r="AE22" s="546">
        <f t="shared" si="26"/>
        <v>0</v>
      </c>
      <c r="AF22" s="971"/>
    </row>
    <row r="23" spans="1:33">
      <c r="A23" s="854"/>
      <c r="B23" s="855"/>
      <c r="C23" s="853"/>
      <c r="D23" s="853"/>
      <c r="E23" s="853"/>
      <c r="F23" s="970"/>
      <c r="G23" s="546"/>
      <c r="H23" s="546"/>
      <c r="I23" s="546"/>
      <c r="J23" s="546"/>
      <c r="K23" s="546"/>
      <c r="L23" s="546"/>
      <c r="M23" s="546"/>
      <c r="N23" s="971"/>
      <c r="O23" s="970"/>
      <c r="P23" s="546"/>
      <c r="Q23" s="546"/>
      <c r="R23" s="546"/>
      <c r="S23" s="546"/>
      <c r="T23" s="546"/>
      <c r="U23" s="546"/>
      <c r="V23" s="546"/>
      <c r="W23" s="971"/>
      <c r="X23" s="970"/>
      <c r="Y23" s="546"/>
      <c r="Z23" s="546"/>
      <c r="AA23" s="546"/>
      <c r="AB23" s="546"/>
      <c r="AC23" s="546"/>
      <c r="AD23" s="546"/>
      <c r="AE23" s="546"/>
      <c r="AF23" s="971"/>
    </row>
    <row r="24" spans="1:33">
      <c r="A24" s="845" t="s">
        <v>1093</v>
      </c>
      <c r="C24" s="853"/>
      <c r="D24" s="958"/>
      <c r="E24" s="958"/>
      <c r="F24" s="970"/>
      <c r="G24" s="546"/>
      <c r="H24" s="546"/>
      <c r="I24" s="546"/>
      <c r="J24" s="546"/>
      <c r="K24" s="546"/>
      <c r="L24" s="546"/>
      <c r="M24" s="546"/>
      <c r="N24" s="971"/>
      <c r="O24" s="970"/>
      <c r="P24" s="546"/>
      <c r="Q24" s="546"/>
      <c r="R24" s="546"/>
      <c r="S24" s="546"/>
      <c r="T24" s="546"/>
      <c r="U24" s="546"/>
      <c r="V24" s="546"/>
      <c r="W24" s="971"/>
      <c r="X24" s="970"/>
      <c r="Y24" s="546"/>
      <c r="Z24" s="546"/>
      <c r="AA24" s="546"/>
      <c r="AB24" s="546"/>
      <c r="AC24" s="546"/>
      <c r="AD24" s="546"/>
      <c r="AE24" s="546"/>
      <c r="AF24" s="971"/>
      <c r="AG24" s="958"/>
    </row>
    <row r="25" spans="1:33">
      <c r="A25" s="854">
        <f>A22+1</f>
        <v>15</v>
      </c>
      <c r="B25" s="852" t="s">
        <v>1022</v>
      </c>
      <c r="C25" s="853" t="s">
        <v>98</v>
      </c>
      <c r="D25" s="1005">
        <v>2021</v>
      </c>
      <c r="E25" s="969">
        <f>365/365</f>
        <v>1</v>
      </c>
      <c r="F25" s="970"/>
      <c r="G25" s="546"/>
      <c r="H25" s="546">
        <f>'4c- ADIT BOY'!E74</f>
        <v>0</v>
      </c>
      <c r="I25" s="546"/>
      <c r="J25" s="546"/>
      <c r="K25" s="546"/>
      <c r="L25" s="546"/>
      <c r="M25" s="546"/>
      <c r="N25" s="971"/>
      <c r="O25" s="970"/>
      <c r="P25" s="546"/>
      <c r="Q25" s="546">
        <f>'4c- ADIT BOY'!F74</f>
        <v>0</v>
      </c>
      <c r="R25" s="546"/>
      <c r="S25" s="546"/>
      <c r="T25" s="546"/>
      <c r="U25" s="546"/>
      <c r="V25" s="546"/>
      <c r="W25" s="971"/>
      <c r="X25" s="970"/>
      <c r="Y25" s="546"/>
      <c r="Z25" s="546">
        <f>'4c- ADIT BOY'!G74</f>
        <v>0</v>
      </c>
      <c r="AA25" s="546"/>
      <c r="AB25" s="546"/>
      <c r="AC25" s="546"/>
      <c r="AD25" s="546"/>
      <c r="AE25" s="546"/>
      <c r="AF25" s="971"/>
    </row>
    <row r="26" spans="1:33">
      <c r="A26" s="854">
        <f t="shared" ref="A26:A38" si="27">+A25+1</f>
        <v>16</v>
      </c>
      <c r="B26" s="852" t="s">
        <v>1019</v>
      </c>
      <c r="C26" s="853" t="s">
        <v>105</v>
      </c>
      <c r="D26" s="1005">
        <v>2022</v>
      </c>
      <c r="E26" s="969">
        <f>335/365</f>
        <v>0.9178082191780822</v>
      </c>
      <c r="F26" s="970">
        <f>'4b-ADIT Projection Proration'!G26</f>
        <v>0</v>
      </c>
      <c r="G26" s="546">
        <f t="shared" ref="G26:G37" si="28">$E26*F26</f>
        <v>0</v>
      </c>
      <c r="H26" s="546">
        <f t="shared" ref="H26:H37" si="29">+G26+H25</f>
        <v>0</v>
      </c>
      <c r="I26" s="540">
        <v>0</v>
      </c>
      <c r="J26" s="546">
        <f t="shared" ref="J26:J37" si="30">I26-F26</f>
        <v>0</v>
      </c>
      <c r="K26" s="546">
        <f t="shared" ref="K26:K37" si="31">IF(J26&gt;=0,+J26,0)</f>
        <v>0</v>
      </c>
      <c r="L26" s="546">
        <f t="shared" ref="L26:L37" si="32">IF(K26&gt;0,0,IF(I26&lt;0,0,(-(J26)*($E26))))</f>
        <v>0</v>
      </c>
      <c r="M26" s="546">
        <f t="shared" ref="M26:M37" si="33">IF(K26&gt;0,0,IF(I26&gt;0,0,(-(J26)*($E26))))</f>
        <v>0</v>
      </c>
      <c r="N26" s="971">
        <f t="shared" ref="N26:N37" si="34">IF(I26&lt;0,N25+M26,N25+$G26+K26-L26)</f>
        <v>0</v>
      </c>
      <c r="O26" s="970">
        <f>'4b-ADIT Projection Proration'!I26</f>
        <v>0</v>
      </c>
      <c r="P26" s="546">
        <f t="shared" ref="P26:P37" si="35">$E26*O26</f>
        <v>0</v>
      </c>
      <c r="Q26" s="546">
        <f t="shared" ref="Q26:Q37" si="36">+P26+Q25</f>
        <v>0</v>
      </c>
      <c r="R26" s="540">
        <v>0</v>
      </c>
      <c r="S26" s="546">
        <f t="shared" ref="S26:S37" si="37">R26-O26</f>
        <v>0</v>
      </c>
      <c r="T26" s="546">
        <f t="shared" ref="T26:T37" si="38">IF(S26&gt;=0,+S26,0)</f>
        <v>0</v>
      </c>
      <c r="U26" s="546">
        <f t="shared" ref="U26:U37" si="39">IF(T26&gt;0,0,IF(R26&lt;0,0,(-(S26)*($E26))))</f>
        <v>0</v>
      </c>
      <c r="V26" s="546">
        <f t="shared" ref="V26:V37" si="40">IF(T26&gt;0,0,IF(R26&gt;0,0,(-(S26)*($E26))))</f>
        <v>0</v>
      </c>
      <c r="W26" s="971">
        <f t="shared" ref="W26:W37" si="41">IF(R26&lt;0,W25+V26,W25+P26+T26-U26)</f>
        <v>0</v>
      </c>
      <c r="X26" s="970">
        <f>'4b-ADIT Projection Proration'!K26</f>
        <v>0</v>
      </c>
      <c r="Y26" s="546">
        <f t="shared" ref="Y26:Y37" si="42">$E26*X26</f>
        <v>0</v>
      </c>
      <c r="Z26" s="546">
        <f t="shared" ref="Z26:Z37" si="43">+Y26+Z25</f>
        <v>0</v>
      </c>
      <c r="AA26" s="540">
        <v>0</v>
      </c>
      <c r="AB26" s="546">
        <f t="shared" ref="AB26:AB37" si="44">AA26-X26</f>
        <v>0</v>
      </c>
      <c r="AC26" s="546">
        <f t="shared" ref="AC26:AC37" si="45">IF(AB26&gt;=0,+AB26,0)</f>
        <v>0</v>
      </c>
      <c r="AD26" s="546">
        <f t="shared" ref="AD26:AD37" si="46">IF(AC26&gt;0,0,IF(AA26&lt;0,0,(-(AB26)*($E26))))</f>
        <v>0</v>
      </c>
      <c r="AE26" s="546">
        <f t="shared" ref="AE26:AE37" si="47">IF(AC26&gt;0,0,IF(AA26&gt;0,0,(-(AB26)*($E26))))</f>
        <v>0</v>
      </c>
      <c r="AF26" s="971">
        <f t="shared" ref="AF26:AF37" si="48">IF(AA26&lt;0,AF25+AE26,AF25+Y26+AC26-AD26)</f>
        <v>0</v>
      </c>
    </row>
    <row r="27" spans="1:33">
      <c r="A27" s="854">
        <f t="shared" si="27"/>
        <v>17</v>
      </c>
      <c r="B27" s="852" t="s">
        <v>1019</v>
      </c>
      <c r="C27" s="853" t="s">
        <v>104</v>
      </c>
      <c r="D27" s="1005">
        <v>2022</v>
      </c>
      <c r="E27" s="969">
        <f>307/365</f>
        <v>0.84109589041095889</v>
      </c>
      <c r="F27" s="970">
        <f>'4b-ADIT Projection Proration'!G27</f>
        <v>0</v>
      </c>
      <c r="G27" s="546">
        <f t="shared" si="28"/>
        <v>0</v>
      </c>
      <c r="H27" s="546">
        <f t="shared" si="29"/>
        <v>0</v>
      </c>
      <c r="I27" s="540">
        <v>0</v>
      </c>
      <c r="J27" s="546">
        <f t="shared" si="30"/>
        <v>0</v>
      </c>
      <c r="K27" s="546">
        <f t="shared" si="31"/>
        <v>0</v>
      </c>
      <c r="L27" s="546">
        <f t="shared" si="32"/>
        <v>0</v>
      </c>
      <c r="M27" s="546">
        <f t="shared" si="33"/>
        <v>0</v>
      </c>
      <c r="N27" s="971">
        <f t="shared" si="34"/>
        <v>0</v>
      </c>
      <c r="O27" s="970">
        <f>'4b-ADIT Projection Proration'!I27</f>
        <v>0</v>
      </c>
      <c r="P27" s="546">
        <f t="shared" si="35"/>
        <v>0</v>
      </c>
      <c r="Q27" s="546">
        <f t="shared" si="36"/>
        <v>0</v>
      </c>
      <c r="R27" s="540">
        <v>0</v>
      </c>
      <c r="S27" s="546">
        <f t="shared" si="37"/>
        <v>0</v>
      </c>
      <c r="T27" s="546">
        <f t="shared" si="38"/>
        <v>0</v>
      </c>
      <c r="U27" s="546">
        <f t="shared" si="39"/>
        <v>0</v>
      </c>
      <c r="V27" s="546">
        <f t="shared" si="40"/>
        <v>0</v>
      </c>
      <c r="W27" s="971">
        <f t="shared" si="41"/>
        <v>0</v>
      </c>
      <c r="X27" s="970">
        <f>'4b-ADIT Projection Proration'!K27</f>
        <v>0</v>
      </c>
      <c r="Y27" s="546">
        <f t="shared" si="42"/>
        <v>0</v>
      </c>
      <c r="Z27" s="546">
        <f t="shared" si="43"/>
        <v>0</v>
      </c>
      <c r="AA27" s="540">
        <v>0</v>
      </c>
      <c r="AB27" s="546">
        <f t="shared" si="44"/>
        <v>0</v>
      </c>
      <c r="AC27" s="546">
        <f t="shared" si="45"/>
        <v>0</v>
      </c>
      <c r="AD27" s="546">
        <f t="shared" si="46"/>
        <v>0</v>
      </c>
      <c r="AE27" s="546">
        <f t="shared" si="47"/>
        <v>0</v>
      </c>
      <c r="AF27" s="971">
        <f t="shared" si="48"/>
        <v>0</v>
      </c>
    </row>
    <row r="28" spans="1:33">
      <c r="A28" s="854">
        <f t="shared" si="27"/>
        <v>18</v>
      </c>
      <c r="B28" s="852" t="s">
        <v>1019</v>
      </c>
      <c r="C28" s="853" t="s">
        <v>103</v>
      </c>
      <c r="D28" s="1005">
        <v>2022</v>
      </c>
      <c r="E28" s="969">
        <f>276/365</f>
        <v>0.75616438356164384</v>
      </c>
      <c r="F28" s="970">
        <f>'4b-ADIT Projection Proration'!G28</f>
        <v>0</v>
      </c>
      <c r="G28" s="546">
        <f t="shared" si="28"/>
        <v>0</v>
      </c>
      <c r="H28" s="546">
        <f t="shared" si="29"/>
        <v>0</v>
      </c>
      <c r="I28" s="540">
        <v>0</v>
      </c>
      <c r="J28" s="546">
        <f t="shared" si="30"/>
        <v>0</v>
      </c>
      <c r="K28" s="546">
        <f t="shared" si="31"/>
        <v>0</v>
      </c>
      <c r="L28" s="546">
        <f t="shared" si="32"/>
        <v>0</v>
      </c>
      <c r="M28" s="546">
        <f t="shared" si="33"/>
        <v>0</v>
      </c>
      <c r="N28" s="971">
        <f t="shared" si="34"/>
        <v>0</v>
      </c>
      <c r="O28" s="970">
        <f>'4b-ADIT Projection Proration'!I28</f>
        <v>0</v>
      </c>
      <c r="P28" s="546">
        <f t="shared" si="35"/>
        <v>0</v>
      </c>
      <c r="Q28" s="546">
        <f t="shared" si="36"/>
        <v>0</v>
      </c>
      <c r="R28" s="540">
        <v>0</v>
      </c>
      <c r="S28" s="546">
        <f t="shared" si="37"/>
        <v>0</v>
      </c>
      <c r="T28" s="546">
        <f t="shared" si="38"/>
        <v>0</v>
      </c>
      <c r="U28" s="546">
        <f t="shared" si="39"/>
        <v>0</v>
      </c>
      <c r="V28" s="546">
        <f t="shared" si="40"/>
        <v>0</v>
      </c>
      <c r="W28" s="971">
        <f t="shared" si="41"/>
        <v>0</v>
      </c>
      <c r="X28" s="970">
        <f>'4b-ADIT Projection Proration'!K28</f>
        <v>0</v>
      </c>
      <c r="Y28" s="546">
        <f t="shared" si="42"/>
        <v>0</v>
      </c>
      <c r="Z28" s="546">
        <f t="shared" si="43"/>
        <v>0</v>
      </c>
      <c r="AA28" s="540">
        <v>0</v>
      </c>
      <c r="AB28" s="546">
        <f t="shared" si="44"/>
        <v>0</v>
      </c>
      <c r="AC28" s="546">
        <f t="shared" si="45"/>
        <v>0</v>
      </c>
      <c r="AD28" s="546">
        <f t="shared" si="46"/>
        <v>0</v>
      </c>
      <c r="AE28" s="546">
        <f t="shared" si="47"/>
        <v>0</v>
      </c>
      <c r="AF28" s="971">
        <f t="shared" si="48"/>
        <v>0</v>
      </c>
    </row>
    <row r="29" spans="1:33">
      <c r="A29" s="854">
        <f t="shared" si="27"/>
        <v>19</v>
      </c>
      <c r="B29" s="852" t="s">
        <v>1019</v>
      </c>
      <c r="C29" s="853" t="s">
        <v>95</v>
      </c>
      <c r="D29" s="1005">
        <v>2022</v>
      </c>
      <c r="E29" s="969">
        <f>246/365</f>
        <v>0.67397260273972603</v>
      </c>
      <c r="F29" s="970">
        <f>'4b-ADIT Projection Proration'!G29</f>
        <v>0</v>
      </c>
      <c r="G29" s="546">
        <f t="shared" si="28"/>
        <v>0</v>
      </c>
      <c r="H29" s="546">
        <f t="shared" si="29"/>
        <v>0</v>
      </c>
      <c r="I29" s="540">
        <v>0</v>
      </c>
      <c r="J29" s="546">
        <f t="shared" si="30"/>
        <v>0</v>
      </c>
      <c r="K29" s="546">
        <f t="shared" si="31"/>
        <v>0</v>
      </c>
      <c r="L29" s="546">
        <f t="shared" si="32"/>
        <v>0</v>
      </c>
      <c r="M29" s="546">
        <f t="shared" si="33"/>
        <v>0</v>
      </c>
      <c r="N29" s="971">
        <f t="shared" si="34"/>
        <v>0</v>
      </c>
      <c r="O29" s="970">
        <f>'4b-ADIT Projection Proration'!I29</f>
        <v>0</v>
      </c>
      <c r="P29" s="546">
        <f t="shared" si="35"/>
        <v>0</v>
      </c>
      <c r="Q29" s="546">
        <f t="shared" si="36"/>
        <v>0</v>
      </c>
      <c r="R29" s="540">
        <v>0</v>
      </c>
      <c r="S29" s="546">
        <f t="shared" si="37"/>
        <v>0</v>
      </c>
      <c r="T29" s="546">
        <f t="shared" si="38"/>
        <v>0</v>
      </c>
      <c r="U29" s="546">
        <f t="shared" si="39"/>
        <v>0</v>
      </c>
      <c r="V29" s="546">
        <f t="shared" si="40"/>
        <v>0</v>
      </c>
      <c r="W29" s="971">
        <f t="shared" si="41"/>
        <v>0</v>
      </c>
      <c r="X29" s="970">
        <f>'4b-ADIT Projection Proration'!K29</f>
        <v>0</v>
      </c>
      <c r="Y29" s="546">
        <f t="shared" si="42"/>
        <v>0</v>
      </c>
      <c r="Z29" s="546">
        <f t="shared" si="43"/>
        <v>0</v>
      </c>
      <c r="AA29" s="540">
        <v>0</v>
      </c>
      <c r="AB29" s="546">
        <f t="shared" si="44"/>
        <v>0</v>
      </c>
      <c r="AC29" s="546">
        <f t="shared" si="45"/>
        <v>0</v>
      </c>
      <c r="AD29" s="546">
        <f t="shared" si="46"/>
        <v>0</v>
      </c>
      <c r="AE29" s="546">
        <f t="shared" si="47"/>
        <v>0</v>
      </c>
      <c r="AF29" s="971">
        <f t="shared" si="48"/>
        <v>0</v>
      </c>
    </row>
    <row r="30" spans="1:33">
      <c r="A30" s="854">
        <f t="shared" si="27"/>
        <v>20</v>
      </c>
      <c r="B30" s="852" t="s">
        <v>1019</v>
      </c>
      <c r="C30" s="853" t="s">
        <v>92</v>
      </c>
      <c r="D30" s="1005">
        <v>2022</v>
      </c>
      <c r="E30" s="969">
        <f>215/365</f>
        <v>0.58904109589041098</v>
      </c>
      <c r="F30" s="970">
        <f>'4b-ADIT Projection Proration'!G30</f>
        <v>0</v>
      </c>
      <c r="G30" s="546">
        <f t="shared" si="28"/>
        <v>0</v>
      </c>
      <c r="H30" s="546">
        <f t="shared" si="29"/>
        <v>0</v>
      </c>
      <c r="I30" s="540">
        <v>0</v>
      </c>
      <c r="J30" s="546">
        <f t="shared" si="30"/>
        <v>0</v>
      </c>
      <c r="K30" s="546">
        <f t="shared" si="31"/>
        <v>0</v>
      </c>
      <c r="L30" s="546">
        <f t="shared" si="32"/>
        <v>0</v>
      </c>
      <c r="M30" s="546">
        <f t="shared" si="33"/>
        <v>0</v>
      </c>
      <c r="N30" s="971">
        <f t="shared" si="34"/>
        <v>0</v>
      </c>
      <c r="O30" s="970">
        <f>'4b-ADIT Projection Proration'!I30</f>
        <v>0</v>
      </c>
      <c r="P30" s="546">
        <f t="shared" si="35"/>
        <v>0</v>
      </c>
      <c r="Q30" s="546">
        <f t="shared" si="36"/>
        <v>0</v>
      </c>
      <c r="R30" s="540">
        <v>0</v>
      </c>
      <c r="S30" s="546">
        <f t="shared" si="37"/>
        <v>0</v>
      </c>
      <c r="T30" s="546">
        <f t="shared" si="38"/>
        <v>0</v>
      </c>
      <c r="U30" s="546">
        <f t="shared" si="39"/>
        <v>0</v>
      </c>
      <c r="V30" s="546">
        <f t="shared" si="40"/>
        <v>0</v>
      </c>
      <c r="W30" s="971">
        <f t="shared" si="41"/>
        <v>0</v>
      </c>
      <c r="X30" s="970">
        <f>'4b-ADIT Projection Proration'!K30</f>
        <v>0</v>
      </c>
      <c r="Y30" s="546">
        <f t="shared" si="42"/>
        <v>0</v>
      </c>
      <c r="Z30" s="546">
        <f t="shared" si="43"/>
        <v>0</v>
      </c>
      <c r="AA30" s="540">
        <v>0</v>
      </c>
      <c r="AB30" s="546">
        <f t="shared" si="44"/>
        <v>0</v>
      </c>
      <c r="AC30" s="546">
        <f t="shared" si="45"/>
        <v>0</v>
      </c>
      <c r="AD30" s="546">
        <f t="shared" si="46"/>
        <v>0</v>
      </c>
      <c r="AE30" s="546">
        <f t="shared" si="47"/>
        <v>0</v>
      </c>
      <c r="AF30" s="971">
        <f t="shared" si="48"/>
        <v>0</v>
      </c>
    </row>
    <row r="31" spans="1:33">
      <c r="A31" s="854">
        <f t="shared" si="27"/>
        <v>21</v>
      </c>
      <c r="B31" s="852" t="s">
        <v>1019</v>
      </c>
      <c r="C31" s="853" t="s">
        <v>145</v>
      </c>
      <c r="D31" s="1005">
        <v>2022</v>
      </c>
      <c r="E31" s="969">
        <f>185/365</f>
        <v>0.50684931506849318</v>
      </c>
      <c r="F31" s="970">
        <f>'4b-ADIT Projection Proration'!G31</f>
        <v>0</v>
      </c>
      <c r="G31" s="546">
        <f t="shared" si="28"/>
        <v>0</v>
      </c>
      <c r="H31" s="546">
        <f t="shared" si="29"/>
        <v>0</v>
      </c>
      <c r="I31" s="540">
        <v>0</v>
      </c>
      <c r="J31" s="546">
        <f t="shared" si="30"/>
        <v>0</v>
      </c>
      <c r="K31" s="546">
        <f t="shared" si="31"/>
        <v>0</v>
      </c>
      <c r="L31" s="546">
        <f t="shared" si="32"/>
        <v>0</v>
      </c>
      <c r="M31" s="546">
        <f t="shared" si="33"/>
        <v>0</v>
      </c>
      <c r="N31" s="971">
        <f t="shared" si="34"/>
        <v>0</v>
      </c>
      <c r="O31" s="970">
        <f>'4b-ADIT Projection Proration'!I31</f>
        <v>0</v>
      </c>
      <c r="P31" s="546">
        <f t="shared" si="35"/>
        <v>0</v>
      </c>
      <c r="Q31" s="546">
        <f t="shared" si="36"/>
        <v>0</v>
      </c>
      <c r="R31" s="540">
        <v>0</v>
      </c>
      <c r="S31" s="546">
        <f t="shared" si="37"/>
        <v>0</v>
      </c>
      <c r="T31" s="546">
        <f t="shared" si="38"/>
        <v>0</v>
      </c>
      <c r="U31" s="546">
        <f t="shared" si="39"/>
        <v>0</v>
      </c>
      <c r="V31" s="546">
        <f t="shared" si="40"/>
        <v>0</v>
      </c>
      <c r="W31" s="971">
        <f t="shared" si="41"/>
        <v>0</v>
      </c>
      <c r="X31" s="970">
        <f>'4b-ADIT Projection Proration'!K31</f>
        <v>0</v>
      </c>
      <c r="Y31" s="546">
        <f t="shared" si="42"/>
        <v>0</v>
      </c>
      <c r="Z31" s="546">
        <f t="shared" si="43"/>
        <v>0</v>
      </c>
      <c r="AA31" s="540">
        <v>0</v>
      </c>
      <c r="AB31" s="546">
        <f t="shared" si="44"/>
        <v>0</v>
      </c>
      <c r="AC31" s="546">
        <f t="shared" si="45"/>
        <v>0</v>
      </c>
      <c r="AD31" s="546">
        <f t="shared" si="46"/>
        <v>0</v>
      </c>
      <c r="AE31" s="546">
        <f t="shared" si="47"/>
        <v>0</v>
      </c>
      <c r="AF31" s="971">
        <f t="shared" si="48"/>
        <v>0</v>
      </c>
    </row>
    <row r="32" spans="1:33">
      <c r="A32" s="854">
        <f t="shared" si="27"/>
        <v>22</v>
      </c>
      <c r="B32" s="852" t="s">
        <v>1019</v>
      </c>
      <c r="C32" s="853" t="s">
        <v>102</v>
      </c>
      <c r="D32" s="1005">
        <v>2022</v>
      </c>
      <c r="E32" s="969">
        <f>154/365</f>
        <v>0.42191780821917807</v>
      </c>
      <c r="F32" s="970">
        <f>'4b-ADIT Projection Proration'!G32</f>
        <v>0</v>
      </c>
      <c r="G32" s="546">
        <f t="shared" si="28"/>
        <v>0</v>
      </c>
      <c r="H32" s="546">
        <f t="shared" si="29"/>
        <v>0</v>
      </c>
      <c r="I32" s="540">
        <v>0</v>
      </c>
      <c r="J32" s="546">
        <f t="shared" si="30"/>
        <v>0</v>
      </c>
      <c r="K32" s="546">
        <f t="shared" si="31"/>
        <v>0</v>
      </c>
      <c r="L32" s="546">
        <f t="shared" si="32"/>
        <v>0</v>
      </c>
      <c r="M32" s="546">
        <f t="shared" si="33"/>
        <v>0</v>
      </c>
      <c r="N32" s="971">
        <f t="shared" si="34"/>
        <v>0</v>
      </c>
      <c r="O32" s="970">
        <f>'4b-ADIT Projection Proration'!I32</f>
        <v>0</v>
      </c>
      <c r="P32" s="546">
        <f t="shared" si="35"/>
        <v>0</v>
      </c>
      <c r="Q32" s="546">
        <f t="shared" si="36"/>
        <v>0</v>
      </c>
      <c r="R32" s="540">
        <v>0</v>
      </c>
      <c r="S32" s="546">
        <f t="shared" si="37"/>
        <v>0</v>
      </c>
      <c r="T32" s="546">
        <f t="shared" si="38"/>
        <v>0</v>
      </c>
      <c r="U32" s="546">
        <f t="shared" si="39"/>
        <v>0</v>
      </c>
      <c r="V32" s="546">
        <f t="shared" si="40"/>
        <v>0</v>
      </c>
      <c r="W32" s="971">
        <f t="shared" si="41"/>
        <v>0</v>
      </c>
      <c r="X32" s="970">
        <f>'4b-ADIT Projection Proration'!K32</f>
        <v>0</v>
      </c>
      <c r="Y32" s="546">
        <f t="shared" si="42"/>
        <v>0</v>
      </c>
      <c r="Z32" s="546">
        <f t="shared" si="43"/>
        <v>0</v>
      </c>
      <c r="AA32" s="540">
        <v>0</v>
      </c>
      <c r="AB32" s="546">
        <f t="shared" si="44"/>
        <v>0</v>
      </c>
      <c r="AC32" s="546">
        <f t="shared" si="45"/>
        <v>0</v>
      </c>
      <c r="AD32" s="546">
        <f t="shared" si="46"/>
        <v>0</v>
      </c>
      <c r="AE32" s="546">
        <f t="shared" si="47"/>
        <v>0</v>
      </c>
      <c r="AF32" s="971">
        <f t="shared" si="48"/>
        <v>0</v>
      </c>
    </row>
    <row r="33" spans="1:33" s="853" customFormat="1">
      <c r="A33" s="854">
        <f t="shared" si="27"/>
        <v>23</v>
      </c>
      <c r="B33" s="852" t="s">
        <v>1019</v>
      </c>
      <c r="C33" s="853" t="s">
        <v>101</v>
      </c>
      <c r="D33" s="1005">
        <v>2022</v>
      </c>
      <c r="E33" s="969">
        <f>123/365</f>
        <v>0.33698630136986302</v>
      </c>
      <c r="F33" s="970">
        <f>'4b-ADIT Projection Proration'!G33</f>
        <v>0</v>
      </c>
      <c r="G33" s="546">
        <f t="shared" si="28"/>
        <v>0</v>
      </c>
      <c r="H33" s="546">
        <f t="shared" si="29"/>
        <v>0</v>
      </c>
      <c r="I33" s="540">
        <v>0</v>
      </c>
      <c r="J33" s="546">
        <f t="shared" si="30"/>
        <v>0</v>
      </c>
      <c r="K33" s="546">
        <f t="shared" si="31"/>
        <v>0</v>
      </c>
      <c r="L33" s="546">
        <f t="shared" si="32"/>
        <v>0</v>
      </c>
      <c r="M33" s="546">
        <f t="shared" si="33"/>
        <v>0</v>
      </c>
      <c r="N33" s="971">
        <f t="shared" si="34"/>
        <v>0</v>
      </c>
      <c r="O33" s="970">
        <f>'4b-ADIT Projection Proration'!I33</f>
        <v>0</v>
      </c>
      <c r="P33" s="546">
        <f t="shared" si="35"/>
        <v>0</v>
      </c>
      <c r="Q33" s="546">
        <f t="shared" si="36"/>
        <v>0</v>
      </c>
      <c r="R33" s="540">
        <v>0</v>
      </c>
      <c r="S33" s="546">
        <f t="shared" si="37"/>
        <v>0</v>
      </c>
      <c r="T33" s="546">
        <f t="shared" si="38"/>
        <v>0</v>
      </c>
      <c r="U33" s="546">
        <f t="shared" si="39"/>
        <v>0</v>
      </c>
      <c r="V33" s="546">
        <f t="shared" si="40"/>
        <v>0</v>
      </c>
      <c r="W33" s="971">
        <f t="shared" si="41"/>
        <v>0</v>
      </c>
      <c r="X33" s="970">
        <f>'4b-ADIT Projection Proration'!K33</f>
        <v>0</v>
      </c>
      <c r="Y33" s="546">
        <f t="shared" si="42"/>
        <v>0</v>
      </c>
      <c r="Z33" s="546">
        <f t="shared" si="43"/>
        <v>0</v>
      </c>
      <c r="AA33" s="540">
        <v>0</v>
      </c>
      <c r="AB33" s="546">
        <f t="shared" si="44"/>
        <v>0</v>
      </c>
      <c r="AC33" s="546">
        <f t="shared" si="45"/>
        <v>0</v>
      </c>
      <c r="AD33" s="546">
        <f t="shared" si="46"/>
        <v>0</v>
      </c>
      <c r="AE33" s="546">
        <f t="shared" si="47"/>
        <v>0</v>
      </c>
      <c r="AF33" s="971">
        <f t="shared" si="48"/>
        <v>0</v>
      </c>
    </row>
    <row r="34" spans="1:33" s="853" customFormat="1">
      <c r="A34" s="854">
        <f t="shared" si="27"/>
        <v>24</v>
      </c>
      <c r="B34" s="852" t="s">
        <v>1019</v>
      </c>
      <c r="C34" s="853" t="s">
        <v>100</v>
      </c>
      <c r="D34" s="1005">
        <v>2022</v>
      </c>
      <c r="E34" s="969">
        <f>93/365</f>
        <v>0.25479452054794521</v>
      </c>
      <c r="F34" s="970">
        <f>'4b-ADIT Projection Proration'!G34</f>
        <v>0</v>
      </c>
      <c r="G34" s="546">
        <f t="shared" si="28"/>
        <v>0</v>
      </c>
      <c r="H34" s="546">
        <f t="shared" si="29"/>
        <v>0</v>
      </c>
      <c r="I34" s="540">
        <v>0</v>
      </c>
      <c r="J34" s="546">
        <f t="shared" si="30"/>
        <v>0</v>
      </c>
      <c r="K34" s="546">
        <f t="shared" si="31"/>
        <v>0</v>
      </c>
      <c r="L34" s="546">
        <f t="shared" si="32"/>
        <v>0</v>
      </c>
      <c r="M34" s="546">
        <f t="shared" si="33"/>
        <v>0</v>
      </c>
      <c r="N34" s="971">
        <f t="shared" si="34"/>
        <v>0</v>
      </c>
      <c r="O34" s="970">
        <f>'4b-ADIT Projection Proration'!I34</f>
        <v>0</v>
      </c>
      <c r="P34" s="546">
        <f t="shared" si="35"/>
        <v>0</v>
      </c>
      <c r="Q34" s="546">
        <f t="shared" si="36"/>
        <v>0</v>
      </c>
      <c r="R34" s="540">
        <v>0</v>
      </c>
      <c r="S34" s="546">
        <f t="shared" si="37"/>
        <v>0</v>
      </c>
      <c r="T34" s="546">
        <f t="shared" si="38"/>
        <v>0</v>
      </c>
      <c r="U34" s="546">
        <f t="shared" si="39"/>
        <v>0</v>
      </c>
      <c r="V34" s="546">
        <f t="shared" si="40"/>
        <v>0</v>
      </c>
      <c r="W34" s="971">
        <f t="shared" si="41"/>
        <v>0</v>
      </c>
      <c r="X34" s="970">
        <f>'4b-ADIT Projection Proration'!K34</f>
        <v>0</v>
      </c>
      <c r="Y34" s="546">
        <f t="shared" si="42"/>
        <v>0</v>
      </c>
      <c r="Z34" s="546">
        <f t="shared" si="43"/>
        <v>0</v>
      </c>
      <c r="AA34" s="540">
        <v>0</v>
      </c>
      <c r="AB34" s="546">
        <f t="shared" si="44"/>
        <v>0</v>
      </c>
      <c r="AC34" s="546">
        <f t="shared" si="45"/>
        <v>0</v>
      </c>
      <c r="AD34" s="546">
        <f t="shared" si="46"/>
        <v>0</v>
      </c>
      <c r="AE34" s="546">
        <f t="shared" si="47"/>
        <v>0</v>
      </c>
      <c r="AF34" s="971">
        <f t="shared" si="48"/>
        <v>0</v>
      </c>
    </row>
    <row r="35" spans="1:33">
      <c r="A35" s="854">
        <f t="shared" si="27"/>
        <v>25</v>
      </c>
      <c r="B35" s="852" t="s">
        <v>1019</v>
      </c>
      <c r="C35" s="853" t="s">
        <v>106</v>
      </c>
      <c r="D35" s="1005">
        <v>2022</v>
      </c>
      <c r="E35" s="969">
        <f>62/365</f>
        <v>0.16986301369863013</v>
      </c>
      <c r="F35" s="970">
        <f>'4b-ADIT Projection Proration'!G35</f>
        <v>0</v>
      </c>
      <c r="G35" s="546">
        <f t="shared" si="28"/>
        <v>0</v>
      </c>
      <c r="H35" s="546">
        <f t="shared" si="29"/>
        <v>0</v>
      </c>
      <c r="I35" s="540">
        <v>0</v>
      </c>
      <c r="J35" s="546">
        <f t="shared" si="30"/>
        <v>0</v>
      </c>
      <c r="K35" s="546">
        <f t="shared" si="31"/>
        <v>0</v>
      </c>
      <c r="L35" s="546">
        <f t="shared" si="32"/>
        <v>0</v>
      </c>
      <c r="M35" s="546">
        <f t="shared" si="33"/>
        <v>0</v>
      </c>
      <c r="N35" s="971">
        <f t="shared" si="34"/>
        <v>0</v>
      </c>
      <c r="O35" s="970">
        <f>'4b-ADIT Projection Proration'!I35</f>
        <v>0</v>
      </c>
      <c r="P35" s="546">
        <f t="shared" si="35"/>
        <v>0</v>
      </c>
      <c r="Q35" s="546">
        <f t="shared" si="36"/>
        <v>0</v>
      </c>
      <c r="R35" s="540">
        <v>0</v>
      </c>
      <c r="S35" s="546">
        <f t="shared" si="37"/>
        <v>0</v>
      </c>
      <c r="T35" s="546">
        <f t="shared" si="38"/>
        <v>0</v>
      </c>
      <c r="U35" s="546">
        <f t="shared" si="39"/>
        <v>0</v>
      </c>
      <c r="V35" s="546">
        <f t="shared" si="40"/>
        <v>0</v>
      </c>
      <c r="W35" s="971">
        <f t="shared" si="41"/>
        <v>0</v>
      </c>
      <c r="X35" s="970">
        <f>'4b-ADIT Projection Proration'!K35</f>
        <v>0</v>
      </c>
      <c r="Y35" s="546">
        <f t="shared" si="42"/>
        <v>0</v>
      </c>
      <c r="Z35" s="546">
        <f t="shared" si="43"/>
        <v>0</v>
      </c>
      <c r="AA35" s="540">
        <v>0</v>
      </c>
      <c r="AB35" s="546">
        <f t="shared" si="44"/>
        <v>0</v>
      </c>
      <c r="AC35" s="546">
        <f t="shared" si="45"/>
        <v>0</v>
      </c>
      <c r="AD35" s="546">
        <f t="shared" si="46"/>
        <v>0</v>
      </c>
      <c r="AE35" s="546">
        <f t="shared" si="47"/>
        <v>0</v>
      </c>
      <c r="AF35" s="971">
        <f t="shared" si="48"/>
        <v>0</v>
      </c>
    </row>
    <row r="36" spans="1:33">
      <c r="A36" s="854">
        <f t="shared" si="27"/>
        <v>26</v>
      </c>
      <c r="B36" s="852" t="s">
        <v>1019</v>
      </c>
      <c r="C36" s="853" t="s">
        <v>99</v>
      </c>
      <c r="D36" s="1005">
        <v>2022</v>
      </c>
      <c r="E36" s="969">
        <f>32/365</f>
        <v>8.7671232876712329E-2</v>
      </c>
      <c r="F36" s="970">
        <f>'4b-ADIT Projection Proration'!G36</f>
        <v>0</v>
      </c>
      <c r="G36" s="546">
        <f t="shared" si="28"/>
        <v>0</v>
      </c>
      <c r="H36" s="546">
        <f t="shared" si="29"/>
        <v>0</v>
      </c>
      <c r="I36" s="540">
        <v>0</v>
      </c>
      <c r="J36" s="546">
        <f t="shared" si="30"/>
        <v>0</v>
      </c>
      <c r="K36" s="546">
        <f t="shared" si="31"/>
        <v>0</v>
      </c>
      <c r="L36" s="546">
        <f t="shared" si="32"/>
        <v>0</v>
      </c>
      <c r="M36" s="546">
        <f t="shared" si="33"/>
        <v>0</v>
      </c>
      <c r="N36" s="971">
        <f t="shared" si="34"/>
        <v>0</v>
      </c>
      <c r="O36" s="970">
        <f>'4b-ADIT Projection Proration'!I36</f>
        <v>0</v>
      </c>
      <c r="P36" s="546">
        <f t="shared" si="35"/>
        <v>0</v>
      </c>
      <c r="Q36" s="546">
        <f t="shared" si="36"/>
        <v>0</v>
      </c>
      <c r="R36" s="540">
        <v>0</v>
      </c>
      <c r="S36" s="546">
        <f t="shared" si="37"/>
        <v>0</v>
      </c>
      <c r="T36" s="546">
        <f t="shared" si="38"/>
        <v>0</v>
      </c>
      <c r="U36" s="546">
        <f t="shared" si="39"/>
        <v>0</v>
      </c>
      <c r="V36" s="546">
        <f t="shared" si="40"/>
        <v>0</v>
      </c>
      <c r="W36" s="971">
        <f t="shared" si="41"/>
        <v>0</v>
      </c>
      <c r="X36" s="970">
        <f>'4b-ADIT Projection Proration'!K36</f>
        <v>0</v>
      </c>
      <c r="Y36" s="546">
        <f t="shared" si="42"/>
        <v>0</v>
      </c>
      <c r="Z36" s="546">
        <f t="shared" si="43"/>
        <v>0</v>
      </c>
      <c r="AA36" s="540">
        <v>0</v>
      </c>
      <c r="AB36" s="546">
        <f t="shared" si="44"/>
        <v>0</v>
      </c>
      <c r="AC36" s="546">
        <f t="shared" si="45"/>
        <v>0</v>
      </c>
      <c r="AD36" s="546">
        <f t="shared" si="46"/>
        <v>0</v>
      </c>
      <c r="AE36" s="546">
        <f t="shared" si="47"/>
        <v>0</v>
      </c>
      <c r="AF36" s="971">
        <f t="shared" si="48"/>
        <v>0</v>
      </c>
    </row>
    <row r="37" spans="1:33">
      <c r="A37" s="854">
        <f t="shared" si="27"/>
        <v>27</v>
      </c>
      <c r="B37" s="852" t="s">
        <v>1019</v>
      </c>
      <c r="C37" s="853" t="s">
        <v>98</v>
      </c>
      <c r="D37" s="1005">
        <v>2022</v>
      </c>
      <c r="E37" s="969">
        <f>1/365</f>
        <v>2.7397260273972603E-3</v>
      </c>
      <c r="F37" s="972">
        <f>'4b-ADIT Projection Proration'!G37</f>
        <v>0</v>
      </c>
      <c r="G37" s="973">
        <f t="shared" si="28"/>
        <v>0</v>
      </c>
      <c r="H37" s="973">
        <f t="shared" si="29"/>
        <v>0</v>
      </c>
      <c r="I37" s="542">
        <v>0</v>
      </c>
      <c r="J37" s="973">
        <f t="shared" si="30"/>
        <v>0</v>
      </c>
      <c r="K37" s="973">
        <f t="shared" si="31"/>
        <v>0</v>
      </c>
      <c r="L37" s="973">
        <f t="shared" si="32"/>
        <v>0</v>
      </c>
      <c r="M37" s="973">
        <f t="shared" si="33"/>
        <v>0</v>
      </c>
      <c r="N37" s="974">
        <f t="shared" si="34"/>
        <v>0</v>
      </c>
      <c r="O37" s="972">
        <f>'4b-ADIT Projection Proration'!I37</f>
        <v>0</v>
      </c>
      <c r="P37" s="973">
        <f t="shared" si="35"/>
        <v>0</v>
      </c>
      <c r="Q37" s="973">
        <f t="shared" si="36"/>
        <v>0</v>
      </c>
      <c r="R37" s="542">
        <v>0</v>
      </c>
      <c r="S37" s="973">
        <f t="shared" si="37"/>
        <v>0</v>
      </c>
      <c r="T37" s="973">
        <f t="shared" si="38"/>
        <v>0</v>
      </c>
      <c r="U37" s="973">
        <f t="shared" si="39"/>
        <v>0</v>
      </c>
      <c r="V37" s="973">
        <f t="shared" si="40"/>
        <v>0</v>
      </c>
      <c r="W37" s="974">
        <f t="shared" si="41"/>
        <v>0</v>
      </c>
      <c r="X37" s="972">
        <f>'4b-ADIT Projection Proration'!K37</f>
        <v>0</v>
      </c>
      <c r="Y37" s="973">
        <f t="shared" si="42"/>
        <v>0</v>
      </c>
      <c r="Z37" s="973">
        <f t="shared" si="43"/>
        <v>0</v>
      </c>
      <c r="AA37" s="542">
        <v>0</v>
      </c>
      <c r="AB37" s="973">
        <f t="shared" si="44"/>
        <v>0</v>
      </c>
      <c r="AC37" s="973">
        <f t="shared" si="45"/>
        <v>0</v>
      </c>
      <c r="AD37" s="973">
        <f t="shared" si="46"/>
        <v>0</v>
      </c>
      <c r="AE37" s="973">
        <f t="shared" si="47"/>
        <v>0</v>
      </c>
      <c r="AF37" s="974">
        <f t="shared" si="48"/>
        <v>0</v>
      </c>
    </row>
    <row r="38" spans="1:33">
      <c r="A38" s="854">
        <f t="shared" si="27"/>
        <v>28</v>
      </c>
      <c r="B38" s="855" t="s">
        <v>1023</v>
      </c>
      <c r="C38" s="853"/>
      <c r="D38" s="853"/>
      <c r="E38" s="853"/>
      <c r="F38" s="970">
        <f t="shared" ref="F38:M38" si="49">SUM(F25:F37)</f>
        <v>0</v>
      </c>
      <c r="G38" s="975">
        <f t="shared" si="49"/>
        <v>0</v>
      </c>
      <c r="H38" s="546"/>
      <c r="I38" s="546">
        <f t="shared" si="49"/>
        <v>0</v>
      </c>
      <c r="J38" s="546">
        <f t="shared" si="49"/>
        <v>0</v>
      </c>
      <c r="K38" s="546">
        <f t="shared" si="49"/>
        <v>0</v>
      </c>
      <c r="L38" s="546">
        <f t="shared" si="49"/>
        <v>0</v>
      </c>
      <c r="M38" s="546">
        <f t="shared" si="49"/>
        <v>0</v>
      </c>
      <c r="N38" s="971"/>
      <c r="O38" s="970">
        <f t="shared" ref="O38:P38" si="50">SUM(O25:O37)</f>
        <v>0</v>
      </c>
      <c r="P38" s="975">
        <f t="shared" si="50"/>
        <v>0</v>
      </c>
      <c r="Q38" s="546"/>
      <c r="R38" s="546">
        <f t="shared" ref="R38:V38" si="51">SUM(R25:R37)</f>
        <v>0</v>
      </c>
      <c r="S38" s="546">
        <f t="shared" si="51"/>
        <v>0</v>
      </c>
      <c r="T38" s="546">
        <f t="shared" si="51"/>
        <v>0</v>
      </c>
      <c r="U38" s="546">
        <f t="shared" si="51"/>
        <v>0</v>
      </c>
      <c r="V38" s="546">
        <f t="shared" si="51"/>
        <v>0</v>
      </c>
      <c r="W38" s="971"/>
      <c r="X38" s="970">
        <f t="shared" ref="X38:Y38" si="52">SUM(X25:X37)</f>
        <v>0</v>
      </c>
      <c r="Y38" s="975">
        <f t="shared" si="52"/>
        <v>0</v>
      </c>
      <c r="Z38" s="546"/>
      <c r="AA38" s="546">
        <f t="shared" ref="AA38:AE38" si="53">SUM(AA25:AA37)</f>
        <v>0</v>
      </c>
      <c r="AB38" s="546">
        <f t="shared" si="53"/>
        <v>0</v>
      </c>
      <c r="AC38" s="546">
        <f t="shared" si="53"/>
        <v>0</v>
      </c>
      <c r="AD38" s="546">
        <f t="shared" si="53"/>
        <v>0</v>
      </c>
      <c r="AE38" s="546">
        <f t="shared" si="53"/>
        <v>0</v>
      </c>
      <c r="AF38" s="971"/>
    </row>
    <row r="39" spans="1:33">
      <c r="A39" s="854"/>
      <c r="B39" s="855"/>
      <c r="C39" s="853"/>
      <c r="D39" s="853"/>
      <c r="E39" s="853"/>
      <c r="F39" s="970"/>
      <c r="G39" s="546"/>
      <c r="H39" s="546"/>
      <c r="I39" s="546"/>
      <c r="J39" s="546"/>
      <c r="K39" s="546"/>
      <c r="L39" s="546"/>
      <c r="M39" s="546"/>
      <c r="N39" s="971"/>
      <c r="O39" s="970"/>
      <c r="P39" s="546"/>
      <c r="Q39" s="546"/>
      <c r="R39" s="546"/>
      <c r="S39" s="546"/>
      <c r="T39" s="546"/>
      <c r="U39" s="546"/>
      <c r="V39" s="546"/>
      <c r="W39" s="971"/>
      <c r="X39" s="970"/>
      <c r="Y39" s="546"/>
      <c r="Z39" s="546"/>
      <c r="AA39" s="546"/>
      <c r="AB39" s="546"/>
      <c r="AC39" s="546"/>
      <c r="AD39" s="546"/>
      <c r="AE39" s="546"/>
      <c r="AF39" s="971"/>
    </row>
    <row r="40" spans="1:33">
      <c r="A40" s="845" t="s">
        <v>1094</v>
      </c>
      <c r="C40" s="853"/>
      <c r="D40" s="958"/>
      <c r="E40" s="958"/>
      <c r="F40" s="970"/>
      <c r="G40" s="546"/>
      <c r="H40" s="546"/>
      <c r="I40" s="546"/>
      <c r="J40" s="546"/>
      <c r="K40" s="546"/>
      <c r="L40" s="546"/>
      <c r="M40" s="546"/>
      <c r="N40" s="971"/>
      <c r="O40" s="970"/>
      <c r="P40" s="546"/>
      <c r="Q40" s="546"/>
      <c r="R40" s="546"/>
      <c r="S40" s="546"/>
      <c r="T40" s="546"/>
      <c r="U40" s="546"/>
      <c r="V40" s="546"/>
      <c r="W40" s="971"/>
      <c r="X40" s="970"/>
      <c r="Y40" s="546"/>
      <c r="Z40" s="546"/>
      <c r="AA40" s="546"/>
      <c r="AB40" s="546"/>
      <c r="AC40" s="546"/>
      <c r="AD40" s="546"/>
      <c r="AE40" s="546"/>
      <c r="AF40" s="971"/>
      <c r="AG40" s="958"/>
    </row>
    <row r="41" spans="1:33">
      <c r="A41" s="854">
        <f>A38+1</f>
        <v>29</v>
      </c>
      <c r="B41" s="852" t="s">
        <v>1025</v>
      </c>
      <c r="C41" s="853" t="s">
        <v>98</v>
      </c>
      <c r="D41" s="1005">
        <v>2021</v>
      </c>
      <c r="E41" s="969">
        <f>365/365</f>
        <v>1</v>
      </c>
      <c r="F41" s="970"/>
      <c r="G41" s="546"/>
      <c r="H41" s="546">
        <f>'4c- ADIT BOY'!E28</f>
        <v>0</v>
      </c>
      <c r="I41" s="546"/>
      <c r="J41" s="546"/>
      <c r="K41" s="546"/>
      <c r="L41" s="546"/>
      <c r="M41" s="546"/>
      <c r="N41" s="971"/>
      <c r="O41" s="970"/>
      <c r="P41" s="546"/>
      <c r="Q41" s="546">
        <f>'4c- ADIT BOY'!F28</f>
        <v>0</v>
      </c>
      <c r="R41" s="546"/>
      <c r="S41" s="546"/>
      <c r="T41" s="546"/>
      <c r="U41" s="546"/>
      <c r="V41" s="546"/>
      <c r="W41" s="971"/>
      <c r="X41" s="970"/>
      <c r="Y41" s="546"/>
      <c r="Z41" s="546">
        <f>'4c- ADIT BOY'!G28</f>
        <v>0</v>
      </c>
      <c r="AA41" s="546"/>
      <c r="AB41" s="546"/>
      <c r="AC41" s="546"/>
      <c r="AD41" s="546"/>
      <c r="AE41" s="546"/>
      <c r="AF41" s="971"/>
    </row>
    <row r="42" spans="1:33">
      <c r="A42" s="854">
        <f t="shared" ref="A42:A54" si="54">+A41+1</f>
        <v>30</v>
      </c>
      <c r="B42" s="852" t="s">
        <v>1019</v>
      </c>
      <c r="C42" s="853" t="s">
        <v>105</v>
      </c>
      <c r="D42" s="1005">
        <v>2022</v>
      </c>
      <c r="E42" s="969">
        <f>335/365</f>
        <v>0.9178082191780822</v>
      </c>
      <c r="F42" s="970">
        <f>'4b-ADIT Projection Proration'!G42</f>
        <v>0</v>
      </c>
      <c r="G42" s="546">
        <f t="shared" ref="G42:G53" si="55">$E42*F42</f>
        <v>0</v>
      </c>
      <c r="H42" s="546">
        <f t="shared" ref="H42:H53" si="56">+G42+H41</f>
        <v>0</v>
      </c>
      <c r="I42" s="540">
        <v>0</v>
      </c>
      <c r="J42" s="546">
        <f t="shared" ref="J42:J53" si="57">I42-F42</f>
        <v>0</v>
      </c>
      <c r="K42" s="546">
        <f t="shared" ref="K42:K53" si="58">IF(J42&gt;=0,+J42,0)</f>
        <v>0</v>
      </c>
      <c r="L42" s="546">
        <f t="shared" ref="L42:L53" si="59">IF(K42&gt;0,0,IF(I42&lt;0,0,(-(J42)*($E42))))</f>
        <v>0</v>
      </c>
      <c r="M42" s="546">
        <f t="shared" ref="M42:M53" si="60">IF(K42&gt;0,0,IF(I42&gt;0,0,(-(J42)*($E42))))</f>
        <v>0</v>
      </c>
      <c r="N42" s="971">
        <f t="shared" ref="N42:N53" si="61">IF(I42&lt;0,N41+M42,N41+$G42+K42-L42)</f>
        <v>0</v>
      </c>
      <c r="O42" s="970">
        <f>'4b-ADIT Projection Proration'!I42</f>
        <v>0</v>
      </c>
      <c r="P42" s="546">
        <f t="shared" ref="P42:P53" si="62">$E42*O42</f>
        <v>0</v>
      </c>
      <c r="Q42" s="546">
        <f t="shared" ref="Q42:Q53" si="63">+P42+Q41</f>
        <v>0</v>
      </c>
      <c r="R42" s="540">
        <v>0</v>
      </c>
      <c r="S42" s="546">
        <f t="shared" ref="S42:S53" si="64">R42-O42</f>
        <v>0</v>
      </c>
      <c r="T42" s="546">
        <f t="shared" ref="T42:T53" si="65">IF(S42&gt;=0,+S42,0)</f>
        <v>0</v>
      </c>
      <c r="U42" s="546">
        <f t="shared" ref="U42:U53" si="66">IF(T42&gt;0,0,IF(R42&lt;0,0,(-(S42)*($E42))))</f>
        <v>0</v>
      </c>
      <c r="V42" s="546">
        <f t="shared" ref="V42:V53" si="67">IF(T42&gt;0,0,IF(R42&gt;0,0,(-(S42)*($E42))))</f>
        <v>0</v>
      </c>
      <c r="W42" s="971">
        <f t="shared" ref="W42:W53" si="68">IF(R42&lt;0,W41+V42,W41+P42+T42-U42)</f>
        <v>0</v>
      </c>
      <c r="X42" s="970">
        <f>'4b-ADIT Projection Proration'!K42</f>
        <v>0</v>
      </c>
      <c r="Y42" s="546">
        <f t="shared" ref="Y42:Y53" si="69">$E42*X42</f>
        <v>0</v>
      </c>
      <c r="Z42" s="546">
        <f t="shared" ref="Z42:Z53" si="70">+Y42+Z41</f>
        <v>0</v>
      </c>
      <c r="AA42" s="540">
        <v>0</v>
      </c>
      <c r="AB42" s="546">
        <f t="shared" ref="AB42:AB53" si="71">AA42-X42</f>
        <v>0</v>
      </c>
      <c r="AC42" s="546">
        <f t="shared" ref="AC42:AC53" si="72">IF(AB42&gt;=0,+AB42,0)</f>
        <v>0</v>
      </c>
      <c r="AD42" s="546">
        <f t="shared" ref="AD42:AD53" si="73">IF(AC42&gt;0,0,IF(AA42&lt;0,0,(-(AB42)*($E42))))</f>
        <v>0</v>
      </c>
      <c r="AE42" s="546">
        <f t="shared" ref="AE42:AE53" si="74">IF(AC42&gt;0,0,IF(AA42&gt;0,0,(-(AB42)*($E42))))</f>
        <v>0</v>
      </c>
      <c r="AF42" s="971">
        <f t="shared" ref="AF42:AF53" si="75">IF(AA42&lt;0,AF41+AE42,AF41+Y42+AC42-AD42)</f>
        <v>0</v>
      </c>
    </row>
    <row r="43" spans="1:33">
      <c r="A43" s="854">
        <f t="shared" si="54"/>
        <v>31</v>
      </c>
      <c r="B43" s="852" t="s">
        <v>1019</v>
      </c>
      <c r="C43" s="853" t="s">
        <v>104</v>
      </c>
      <c r="D43" s="1005">
        <v>2022</v>
      </c>
      <c r="E43" s="969">
        <f>307/365</f>
        <v>0.84109589041095889</v>
      </c>
      <c r="F43" s="970">
        <f>'4b-ADIT Projection Proration'!G43</f>
        <v>0</v>
      </c>
      <c r="G43" s="546">
        <f t="shared" si="55"/>
        <v>0</v>
      </c>
      <c r="H43" s="546">
        <f t="shared" si="56"/>
        <v>0</v>
      </c>
      <c r="I43" s="540">
        <v>0</v>
      </c>
      <c r="J43" s="546">
        <f t="shared" si="57"/>
        <v>0</v>
      </c>
      <c r="K43" s="546">
        <f t="shared" si="58"/>
        <v>0</v>
      </c>
      <c r="L43" s="546">
        <f t="shared" si="59"/>
        <v>0</v>
      </c>
      <c r="M43" s="546">
        <f t="shared" si="60"/>
        <v>0</v>
      </c>
      <c r="N43" s="971">
        <f t="shared" si="61"/>
        <v>0</v>
      </c>
      <c r="O43" s="970">
        <f>'4b-ADIT Projection Proration'!I43</f>
        <v>0</v>
      </c>
      <c r="P43" s="546">
        <f t="shared" si="62"/>
        <v>0</v>
      </c>
      <c r="Q43" s="546">
        <f t="shared" si="63"/>
        <v>0</v>
      </c>
      <c r="R43" s="540">
        <v>0</v>
      </c>
      <c r="S43" s="546">
        <f t="shared" si="64"/>
        <v>0</v>
      </c>
      <c r="T43" s="546">
        <f t="shared" si="65"/>
        <v>0</v>
      </c>
      <c r="U43" s="546">
        <f t="shared" si="66"/>
        <v>0</v>
      </c>
      <c r="V43" s="546">
        <f t="shared" si="67"/>
        <v>0</v>
      </c>
      <c r="W43" s="971">
        <f t="shared" si="68"/>
        <v>0</v>
      </c>
      <c r="X43" s="970">
        <f>'4b-ADIT Projection Proration'!K43</f>
        <v>0</v>
      </c>
      <c r="Y43" s="546">
        <f t="shared" si="69"/>
        <v>0</v>
      </c>
      <c r="Z43" s="546">
        <f t="shared" si="70"/>
        <v>0</v>
      </c>
      <c r="AA43" s="540">
        <v>0</v>
      </c>
      <c r="AB43" s="546">
        <f t="shared" si="71"/>
        <v>0</v>
      </c>
      <c r="AC43" s="546">
        <f t="shared" si="72"/>
        <v>0</v>
      </c>
      <c r="AD43" s="546">
        <f t="shared" si="73"/>
        <v>0</v>
      </c>
      <c r="AE43" s="546">
        <f t="shared" si="74"/>
        <v>0</v>
      </c>
      <c r="AF43" s="971">
        <f t="shared" si="75"/>
        <v>0</v>
      </c>
    </row>
    <row r="44" spans="1:33">
      <c r="A44" s="854">
        <f t="shared" si="54"/>
        <v>32</v>
      </c>
      <c r="B44" s="852" t="s">
        <v>1019</v>
      </c>
      <c r="C44" s="853" t="s">
        <v>103</v>
      </c>
      <c r="D44" s="1005">
        <v>2022</v>
      </c>
      <c r="E44" s="969">
        <f>276/365</f>
        <v>0.75616438356164384</v>
      </c>
      <c r="F44" s="970">
        <f>'4b-ADIT Projection Proration'!G44</f>
        <v>0</v>
      </c>
      <c r="G44" s="546">
        <f t="shared" si="55"/>
        <v>0</v>
      </c>
      <c r="H44" s="546">
        <f t="shared" si="56"/>
        <v>0</v>
      </c>
      <c r="I44" s="540">
        <v>0</v>
      </c>
      <c r="J44" s="546">
        <f t="shared" si="57"/>
        <v>0</v>
      </c>
      <c r="K44" s="546">
        <f t="shared" si="58"/>
        <v>0</v>
      </c>
      <c r="L44" s="546">
        <f t="shared" si="59"/>
        <v>0</v>
      </c>
      <c r="M44" s="546">
        <f t="shared" si="60"/>
        <v>0</v>
      </c>
      <c r="N44" s="971">
        <f t="shared" si="61"/>
        <v>0</v>
      </c>
      <c r="O44" s="970">
        <f>'4b-ADIT Projection Proration'!I44</f>
        <v>0</v>
      </c>
      <c r="P44" s="546">
        <f t="shared" si="62"/>
        <v>0</v>
      </c>
      <c r="Q44" s="546">
        <f t="shared" si="63"/>
        <v>0</v>
      </c>
      <c r="R44" s="540">
        <v>0</v>
      </c>
      <c r="S44" s="546">
        <f t="shared" si="64"/>
        <v>0</v>
      </c>
      <c r="T44" s="546">
        <f t="shared" si="65"/>
        <v>0</v>
      </c>
      <c r="U44" s="546">
        <f t="shared" si="66"/>
        <v>0</v>
      </c>
      <c r="V44" s="546">
        <f t="shared" si="67"/>
        <v>0</v>
      </c>
      <c r="W44" s="971">
        <f t="shared" si="68"/>
        <v>0</v>
      </c>
      <c r="X44" s="970">
        <f>'4b-ADIT Projection Proration'!K44</f>
        <v>0</v>
      </c>
      <c r="Y44" s="546">
        <f t="shared" si="69"/>
        <v>0</v>
      </c>
      <c r="Z44" s="546">
        <f t="shared" si="70"/>
        <v>0</v>
      </c>
      <c r="AA44" s="540">
        <v>0</v>
      </c>
      <c r="AB44" s="546">
        <f t="shared" si="71"/>
        <v>0</v>
      </c>
      <c r="AC44" s="546">
        <f t="shared" si="72"/>
        <v>0</v>
      </c>
      <c r="AD44" s="546">
        <f t="shared" si="73"/>
        <v>0</v>
      </c>
      <c r="AE44" s="546">
        <f t="shared" si="74"/>
        <v>0</v>
      </c>
      <c r="AF44" s="971">
        <f t="shared" si="75"/>
        <v>0</v>
      </c>
    </row>
    <row r="45" spans="1:33">
      <c r="A45" s="854">
        <f t="shared" si="54"/>
        <v>33</v>
      </c>
      <c r="B45" s="852" t="s">
        <v>1019</v>
      </c>
      <c r="C45" s="853" t="s">
        <v>95</v>
      </c>
      <c r="D45" s="1005">
        <v>2022</v>
      </c>
      <c r="E45" s="969">
        <f>246/365</f>
        <v>0.67397260273972603</v>
      </c>
      <c r="F45" s="970">
        <f>'4b-ADIT Projection Proration'!G45</f>
        <v>0</v>
      </c>
      <c r="G45" s="546">
        <f t="shared" si="55"/>
        <v>0</v>
      </c>
      <c r="H45" s="546">
        <f t="shared" si="56"/>
        <v>0</v>
      </c>
      <c r="I45" s="540">
        <v>0</v>
      </c>
      <c r="J45" s="546">
        <f t="shared" si="57"/>
        <v>0</v>
      </c>
      <c r="K45" s="546">
        <f t="shared" si="58"/>
        <v>0</v>
      </c>
      <c r="L45" s="546">
        <f t="shared" si="59"/>
        <v>0</v>
      </c>
      <c r="M45" s="546">
        <f t="shared" si="60"/>
        <v>0</v>
      </c>
      <c r="N45" s="971">
        <f t="shared" si="61"/>
        <v>0</v>
      </c>
      <c r="O45" s="970">
        <f>'4b-ADIT Projection Proration'!I45</f>
        <v>0</v>
      </c>
      <c r="P45" s="546">
        <f t="shared" si="62"/>
        <v>0</v>
      </c>
      <c r="Q45" s="546">
        <f t="shared" si="63"/>
        <v>0</v>
      </c>
      <c r="R45" s="540">
        <v>0</v>
      </c>
      <c r="S45" s="546">
        <f t="shared" si="64"/>
        <v>0</v>
      </c>
      <c r="T45" s="546">
        <f t="shared" si="65"/>
        <v>0</v>
      </c>
      <c r="U45" s="546">
        <f t="shared" si="66"/>
        <v>0</v>
      </c>
      <c r="V45" s="546">
        <f t="shared" si="67"/>
        <v>0</v>
      </c>
      <c r="W45" s="971">
        <f t="shared" si="68"/>
        <v>0</v>
      </c>
      <c r="X45" s="970">
        <f>'4b-ADIT Projection Proration'!K45</f>
        <v>0</v>
      </c>
      <c r="Y45" s="546">
        <f t="shared" si="69"/>
        <v>0</v>
      </c>
      <c r="Z45" s="546">
        <f t="shared" si="70"/>
        <v>0</v>
      </c>
      <c r="AA45" s="540">
        <v>0</v>
      </c>
      <c r="AB45" s="546">
        <f t="shared" si="71"/>
        <v>0</v>
      </c>
      <c r="AC45" s="546">
        <f t="shared" si="72"/>
        <v>0</v>
      </c>
      <c r="AD45" s="546">
        <f t="shared" si="73"/>
        <v>0</v>
      </c>
      <c r="AE45" s="546">
        <f t="shared" si="74"/>
        <v>0</v>
      </c>
      <c r="AF45" s="971">
        <f t="shared" si="75"/>
        <v>0</v>
      </c>
    </row>
    <row r="46" spans="1:33">
      <c r="A46" s="854">
        <f t="shared" si="54"/>
        <v>34</v>
      </c>
      <c r="B46" s="852" t="s">
        <v>1019</v>
      </c>
      <c r="C46" s="853" t="s">
        <v>92</v>
      </c>
      <c r="D46" s="1005">
        <v>2022</v>
      </c>
      <c r="E46" s="969">
        <f>215/365</f>
        <v>0.58904109589041098</v>
      </c>
      <c r="F46" s="970">
        <f>'4b-ADIT Projection Proration'!G46</f>
        <v>0</v>
      </c>
      <c r="G46" s="546">
        <f t="shared" si="55"/>
        <v>0</v>
      </c>
      <c r="H46" s="546">
        <f t="shared" si="56"/>
        <v>0</v>
      </c>
      <c r="I46" s="540">
        <v>0</v>
      </c>
      <c r="J46" s="546">
        <f t="shared" si="57"/>
        <v>0</v>
      </c>
      <c r="K46" s="546">
        <f t="shared" si="58"/>
        <v>0</v>
      </c>
      <c r="L46" s="546">
        <f t="shared" si="59"/>
        <v>0</v>
      </c>
      <c r="M46" s="546">
        <f t="shared" si="60"/>
        <v>0</v>
      </c>
      <c r="N46" s="971">
        <f t="shared" si="61"/>
        <v>0</v>
      </c>
      <c r="O46" s="970">
        <f>'4b-ADIT Projection Proration'!I46</f>
        <v>0</v>
      </c>
      <c r="P46" s="546">
        <f t="shared" si="62"/>
        <v>0</v>
      </c>
      <c r="Q46" s="546">
        <f t="shared" si="63"/>
        <v>0</v>
      </c>
      <c r="R46" s="540">
        <v>0</v>
      </c>
      <c r="S46" s="546">
        <f t="shared" si="64"/>
        <v>0</v>
      </c>
      <c r="T46" s="546">
        <f t="shared" si="65"/>
        <v>0</v>
      </c>
      <c r="U46" s="546">
        <f t="shared" si="66"/>
        <v>0</v>
      </c>
      <c r="V46" s="546">
        <f t="shared" si="67"/>
        <v>0</v>
      </c>
      <c r="W46" s="971">
        <f t="shared" si="68"/>
        <v>0</v>
      </c>
      <c r="X46" s="970">
        <f>'4b-ADIT Projection Proration'!K46</f>
        <v>0</v>
      </c>
      <c r="Y46" s="546">
        <f t="shared" si="69"/>
        <v>0</v>
      </c>
      <c r="Z46" s="546">
        <f t="shared" si="70"/>
        <v>0</v>
      </c>
      <c r="AA46" s="540">
        <v>0</v>
      </c>
      <c r="AB46" s="546">
        <f t="shared" si="71"/>
        <v>0</v>
      </c>
      <c r="AC46" s="546">
        <f t="shared" si="72"/>
        <v>0</v>
      </c>
      <c r="AD46" s="546">
        <f t="shared" si="73"/>
        <v>0</v>
      </c>
      <c r="AE46" s="546">
        <f t="shared" si="74"/>
        <v>0</v>
      </c>
      <c r="AF46" s="971">
        <f t="shared" si="75"/>
        <v>0</v>
      </c>
    </row>
    <row r="47" spans="1:33">
      <c r="A47" s="854">
        <f t="shared" si="54"/>
        <v>35</v>
      </c>
      <c r="B47" s="852" t="s">
        <v>1019</v>
      </c>
      <c r="C47" s="853" t="s">
        <v>145</v>
      </c>
      <c r="D47" s="1005">
        <v>2022</v>
      </c>
      <c r="E47" s="969">
        <f>185/365</f>
        <v>0.50684931506849318</v>
      </c>
      <c r="F47" s="970">
        <f>'4b-ADIT Projection Proration'!G47</f>
        <v>0</v>
      </c>
      <c r="G47" s="546">
        <f t="shared" si="55"/>
        <v>0</v>
      </c>
      <c r="H47" s="546">
        <f t="shared" si="56"/>
        <v>0</v>
      </c>
      <c r="I47" s="540">
        <v>0</v>
      </c>
      <c r="J47" s="546">
        <f t="shared" si="57"/>
        <v>0</v>
      </c>
      <c r="K47" s="546">
        <f t="shared" si="58"/>
        <v>0</v>
      </c>
      <c r="L47" s="546">
        <f t="shared" si="59"/>
        <v>0</v>
      </c>
      <c r="M47" s="546">
        <f t="shared" si="60"/>
        <v>0</v>
      </c>
      <c r="N47" s="971">
        <f t="shared" si="61"/>
        <v>0</v>
      </c>
      <c r="O47" s="970">
        <f>'4b-ADIT Projection Proration'!I47</f>
        <v>0</v>
      </c>
      <c r="P47" s="546">
        <f t="shared" si="62"/>
        <v>0</v>
      </c>
      <c r="Q47" s="546">
        <f t="shared" si="63"/>
        <v>0</v>
      </c>
      <c r="R47" s="540">
        <v>0</v>
      </c>
      <c r="S47" s="546">
        <f t="shared" si="64"/>
        <v>0</v>
      </c>
      <c r="T47" s="546">
        <f t="shared" si="65"/>
        <v>0</v>
      </c>
      <c r="U47" s="546">
        <f t="shared" si="66"/>
        <v>0</v>
      </c>
      <c r="V47" s="546">
        <f t="shared" si="67"/>
        <v>0</v>
      </c>
      <c r="W47" s="971">
        <f t="shared" si="68"/>
        <v>0</v>
      </c>
      <c r="X47" s="970">
        <f>'4b-ADIT Projection Proration'!K47</f>
        <v>0</v>
      </c>
      <c r="Y47" s="546">
        <f t="shared" si="69"/>
        <v>0</v>
      </c>
      <c r="Z47" s="546">
        <f t="shared" si="70"/>
        <v>0</v>
      </c>
      <c r="AA47" s="540">
        <v>0</v>
      </c>
      <c r="AB47" s="546">
        <f t="shared" si="71"/>
        <v>0</v>
      </c>
      <c r="AC47" s="546">
        <f t="shared" si="72"/>
        <v>0</v>
      </c>
      <c r="AD47" s="546">
        <f t="shared" si="73"/>
        <v>0</v>
      </c>
      <c r="AE47" s="546">
        <f t="shared" si="74"/>
        <v>0</v>
      </c>
      <c r="AF47" s="971">
        <f t="shared" si="75"/>
        <v>0</v>
      </c>
    </row>
    <row r="48" spans="1:33">
      <c r="A48" s="854">
        <f t="shared" si="54"/>
        <v>36</v>
      </c>
      <c r="B48" s="852" t="s">
        <v>1019</v>
      </c>
      <c r="C48" s="853" t="s">
        <v>102</v>
      </c>
      <c r="D48" s="1005">
        <v>2022</v>
      </c>
      <c r="E48" s="969">
        <f>154/365</f>
        <v>0.42191780821917807</v>
      </c>
      <c r="F48" s="970">
        <f>'4b-ADIT Projection Proration'!G48</f>
        <v>0</v>
      </c>
      <c r="G48" s="546">
        <f t="shared" si="55"/>
        <v>0</v>
      </c>
      <c r="H48" s="546">
        <f t="shared" si="56"/>
        <v>0</v>
      </c>
      <c r="I48" s="540">
        <v>0</v>
      </c>
      <c r="J48" s="546">
        <f t="shared" si="57"/>
        <v>0</v>
      </c>
      <c r="K48" s="546">
        <f t="shared" si="58"/>
        <v>0</v>
      </c>
      <c r="L48" s="546">
        <f t="shared" si="59"/>
        <v>0</v>
      </c>
      <c r="M48" s="546">
        <f t="shared" si="60"/>
        <v>0</v>
      </c>
      <c r="N48" s="971">
        <f t="shared" si="61"/>
        <v>0</v>
      </c>
      <c r="O48" s="970">
        <f>'4b-ADIT Projection Proration'!I48</f>
        <v>0</v>
      </c>
      <c r="P48" s="546">
        <f t="shared" si="62"/>
        <v>0</v>
      </c>
      <c r="Q48" s="546">
        <f t="shared" si="63"/>
        <v>0</v>
      </c>
      <c r="R48" s="540">
        <v>0</v>
      </c>
      <c r="S48" s="546">
        <f t="shared" si="64"/>
        <v>0</v>
      </c>
      <c r="T48" s="546">
        <f t="shared" si="65"/>
        <v>0</v>
      </c>
      <c r="U48" s="546">
        <f t="shared" si="66"/>
        <v>0</v>
      </c>
      <c r="V48" s="546">
        <f t="shared" si="67"/>
        <v>0</v>
      </c>
      <c r="W48" s="971">
        <f t="shared" si="68"/>
        <v>0</v>
      </c>
      <c r="X48" s="970">
        <f>'4b-ADIT Projection Proration'!K48</f>
        <v>0</v>
      </c>
      <c r="Y48" s="546">
        <f t="shared" si="69"/>
        <v>0</v>
      </c>
      <c r="Z48" s="546">
        <f t="shared" si="70"/>
        <v>0</v>
      </c>
      <c r="AA48" s="540">
        <v>0</v>
      </c>
      <c r="AB48" s="546">
        <f t="shared" si="71"/>
        <v>0</v>
      </c>
      <c r="AC48" s="546">
        <f t="shared" si="72"/>
        <v>0</v>
      </c>
      <c r="AD48" s="546">
        <f t="shared" si="73"/>
        <v>0</v>
      </c>
      <c r="AE48" s="546">
        <f t="shared" si="74"/>
        <v>0</v>
      </c>
      <c r="AF48" s="971">
        <f t="shared" si="75"/>
        <v>0</v>
      </c>
    </row>
    <row r="49" spans="1:32" s="853" customFormat="1">
      <c r="A49" s="854">
        <f t="shared" si="54"/>
        <v>37</v>
      </c>
      <c r="B49" s="852" t="s">
        <v>1019</v>
      </c>
      <c r="C49" s="853" t="s">
        <v>101</v>
      </c>
      <c r="D49" s="1005">
        <v>2022</v>
      </c>
      <c r="E49" s="969">
        <f>123/365</f>
        <v>0.33698630136986302</v>
      </c>
      <c r="F49" s="970">
        <f>'4b-ADIT Projection Proration'!G49</f>
        <v>0</v>
      </c>
      <c r="G49" s="546">
        <f t="shared" si="55"/>
        <v>0</v>
      </c>
      <c r="H49" s="546">
        <f t="shared" si="56"/>
        <v>0</v>
      </c>
      <c r="I49" s="540">
        <v>0</v>
      </c>
      <c r="J49" s="546">
        <f t="shared" si="57"/>
        <v>0</v>
      </c>
      <c r="K49" s="546">
        <f t="shared" si="58"/>
        <v>0</v>
      </c>
      <c r="L49" s="546">
        <f t="shared" si="59"/>
        <v>0</v>
      </c>
      <c r="M49" s="546">
        <f t="shared" si="60"/>
        <v>0</v>
      </c>
      <c r="N49" s="971">
        <f t="shared" si="61"/>
        <v>0</v>
      </c>
      <c r="O49" s="970">
        <f>'4b-ADIT Projection Proration'!I49</f>
        <v>0</v>
      </c>
      <c r="P49" s="546">
        <f t="shared" si="62"/>
        <v>0</v>
      </c>
      <c r="Q49" s="546">
        <f t="shared" si="63"/>
        <v>0</v>
      </c>
      <c r="R49" s="540">
        <v>0</v>
      </c>
      <c r="S49" s="546">
        <f t="shared" si="64"/>
        <v>0</v>
      </c>
      <c r="T49" s="546">
        <f t="shared" si="65"/>
        <v>0</v>
      </c>
      <c r="U49" s="546">
        <f t="shared" si="66"/>
        <v>0</v>
      </c>
      <c r="V49" s="546">
        <f t="shared" si="67"/>
        <v>0</v>
      </c>
      <c r="W49" s="971">
        <f t="shared" si="68"/>
        <v>0</v>
      </c>
      <c r="X49" s="970">
        <f>'4b-ADIT Projection Proration'!K49</f>
        <v>0</v>
      </c>
      <c r="Y49" s="546">
        <f t="shared" si="69"/>
        <v>0</v>
      </c>
      <c r="Z49" s="546">
        <f t="shared" si="70"/>
        <v>0</v>
      </c>
      <c r="AA49" s="540">
        <v>0</v>
      </c>
      <c r="AB49" s="546">
        <f t="shared" si="71"/>
        <v>0</v>
      </c>
      <c r="AC49" s="546">
        <f t="shared" si="72"/>
        <v>0</v>
      </c>
      <c r="AD49" s="546">
        <f t="shared" si="73"/>
        <v>0</v>
      </c>
      <c r="AE49" s="546">
        <f t="shared" si="74"/>
        <v>0</v>
      </c>
      <c r="AF49" s="971">
        <f t="shared" si="75"/>
        <v>0</v>
      </c>
    </row>
    <row r="50" spans="1:32" s="853" customFormat="1">
      <c r="A50" s="854">
        <f t="shared" si="54"/>
        <v>38</v>
      </c>
      <c r="B50" s="852" t="s">
        <v>1019</v>
      </c>
      <c r="C50" s="853" t="s">
        <v>100</v>
      </c>
      <c r="D50" s="1005">
        <v>2022</v>
      </c>
      <c r="E50" s="969">
        <f>93/365</f>
        <v>0.25479452054794521</v>
      </c>
      <c r="F50" s="970">
        <f>'4b-ADIT Projection Proration'!G50</f>
        <v>0</v>
      </c>
      <c r="G50" s="546">
        <f t="shared" si="55"/>
        <v>0</v>
      </c>
      <c r="H50" s="546">
        <f t="shared" si="56"/>
        <v>0</v>
      </c>
      <c r="I50" s="540">
        <v>0</v>
      </c>
      <c r="J50" s="546">
        <f t="shared" si="57"/>
        <v>0</v>
      </c>
      <c r="K50" s="546">
        <f t="shared" si="58"/>
        <v>0</v>
      </c>
      <c r="L50" s="546">
        <f t="shared" si="59"/>
        <v>0</v>
      </c>
      <c r="M50" s="546">
        <f t="shared" si="60"/>
        <v>0</v>
      </c>
      <c r="N50" s="971">
        <f t="shared" si="61"/>
        <v>0</v>
      </c>
      <c r="O50" s="970">
        <f>'4b-ADIT Projection Proration'!I50</f>
        <v>0</v>
      </c>
      <c r="P50" s="546">
        <f t="shared" si="62"/>
        <v>0</v>
      </c>
      <c r="Q50" s="546">
        <f t="shared" si="63"/>
        <v>0</v>
      </c>
      <c r="R50" s="540">
        <v>0</v>
      </c>
      <c r="S50" s="546">
        <f t="shared" si="64"/>
        <v>0</v>
      </c>
      <c r="T50" s="546">
        <f t="shared" si="65"/>
        <v>0</v>
      </c>
      <c r="U50" s="546">
        <f t="shared" si="66"/>
        <v>0</v>
      </c>
      <c r="V50" s="546">
        <f t="shared" si="67"/>
        <v>0</v>
      </c>
      <c r="W50" s="971">
        <f t="shared" si="68"/>
        <v>0</v>
      </c>
      <c r="X50" s="970">
        <f>'4b-ADIT Projection Proration'!K50</f>
        <v>0</v>
      </c>
      <c r="Y50" s="546">
        <f t="shared" si="69"/>
        <v>0</v>
      </c>
      <c r="Z50" s="546">
        <f t="shared" si="70"/>
        <v>0</v>
      </c>
      <c r="AA50" s="540">
        <v>0</v>
      </c>
      <c r="AB50" s="546">
        <f t="shared" si="71"/>
        <v>0</v>
      </c>
      <c r="AC50" s="546">
        <f t="shared" si="72"/>
        <v>0</v>
      </c>
      <c r="AD50" s="546">
        <f t="shared" si="73"/>
        <v>0</v>
      </c>
      <c r="AE50" s="546">
        <f t="shared" si="74"/>
        <v>0</v>
      </c>
      <c r="AF50" s="971">
        <f t="shared" si="75"/>
        <v>0</v>
      </c>
    </row>
    <row r="51" spans="1:32">
      <c r="A51" s="854">
        <f t="shared" si="54"/>
        <v>39</v>
      </c>
      <c r="B51" s="852" t="s">
        <v>1019</v>
      </c>
      <c r="C51" s="853" t="s">
        <v>106</v>
      </c>
      <c r="D51" s="1005">
        <v>2022</v>
      </c>
      <c r="E51" s="969">
        <f>62/365</f>
        <v>0.16986301369863013</v>
      </c>
      <c r="F51" s="970">
        <f>'4b-ADIT Projection Proration'!G51</f>
        <v>0</v>
      </c>
      <c r="G51" s="546">
        <f t="shared" si="55"/>
        <v>0</v>
      </c>
      <c r="H51" s="546">
        <f t="shared" si="56"/>
        <v>0</v>
      </c>
      <c r="I51" s="540">
        <v>0</v>
      </c>
      <c r="J51" s="546">
        <f t="shared" si="57"/>
        <v>0</v>
      </c>
      <c r="K51" s="546">
        <f t="shared" si="58"/>
        <v>0</v>
      </c>
      <c r="L51" s="546">
        <f t="shared" si="59"/>
        <v>0</v>
      </c>
      <c r="M51" s="546">
        <f t="shared" si="60"/>
        <v>0</v>
      </c>
      <c r="N51" s="971">
        <f t="shared" si="61"/>
        <v>0</v>
      </c>
      <c r="O51" s="970">
        <f>'4b-ADIT Projection Proration'!I51</f>
        <v>0</v>
      </c>
      <c r="P51" s="546">
        <f t="shared" si="62"/>
        <v>0</v>
      </c>
      <c r="Q51" s="546">
        <f t="shared" si="63"/>
        <v>0</v>
      </c>
      <c r="R51" s="540">
        <v>0</v>
      </c>
      <c r="S51" s="546">
        <f t="shared" si="64"/>
        <v>0</v>
      </c>
      <c r="T51" s="546">
        <f t="shared" si="65"/>
        <v>0</v>
      </c>
      <c r="U51" s="546">
        <f t="shared" si="66"/>
        <v>0</v>
      </c>
      <c r="V51" s="546">
        <f t="shared" si="67"/>
        <v>0</v>
      </c>
      <c r="W51" s="971">
        <f t="shared" si="68"/>
        <v>0</v>
      </c>
      <c r="X51" s="970">
        <f>'4b-ADIT Projection Proration'!K51</f>
        <v>0</v>
      </c>
      <c r="Y51" s="546">
        <f t="shared" si="69"/>
        <v>0</v>
      </c>
      <c r="Z51" s="546">
        <f t="shared" si="70"/>
        <v>0</v>
      </c>
      <c r="AA51" s="540">
        <v>0</v>
      </c>
      <c r="AB51" s="546">
        <f t="shared" si="71"/>
        <v>0</v>
      </c>
      <c r="AC51" s="546">
        <f t="shared" si="72"/>
        <v>0</v>
      </c>
      <c r="AD51" s="546">
        <f t="shared" si="73"/>
        <v>0</v>
      </c>
      <c r="AE51" s="546">
        <f t="shared" si="74"/>
        <v>0</v>
      </c>
      <c r="AF51" s="971">
        <f t="shared" si="75"/>
        <v>0</v>
      </c>
    </row>
    <row r="52" spans="1:32">
      <c r="A52" s="854">
        <f t="shared" si="54"/>
        <v>40</v>
      </c>
      <c r="B52" s="852" t="s">
        <v>1019</v>
      </c>
      <c r="C52" s="853" t="s">
        <v>99</v>
      </c>
      <c r="D52" s="1005">
        <v>2022</v>
      </c>
      <c r="E52" s="969">
        <f>32/365</f>
        <v>8.7671232876712329E-2</v>
      </c>
      <c r="F52" s="970">
        <f>'4b-ADIT Projection Proration'!G52</f>
        <v>0</v>
      </c>
      <c r="G52" s="546">
        <f t="shared" si="55"/>
        <v>0</v>
      </c>
      <c r="H52" s="546">
        <f t="shared" si="56"/>
        <v>0</v>
      </c>
      <c r="I52" s="540">
        <v>0</v>
      </c>
      <c r="J52" s="546">
        <f t="shared" si="57"/>
        <v>0</v>
      </c>
      <c r="K52" s="546">
        <f t="shared" si="58"/>
        <v>0</v>
      </c>
      <c r="L52" s="546">
        <f t="shared" si="59"/>
        <v>0</v>
      </c>
      <c r="M52" s="546">
        <f t="shared" si="60"/>
        <v>0</v>
      </c>
      <c r="N52" s="971">
        <f t="shared" si="61"/>
        <v>0</v>
      </c>
      <c r="O52" s="970">
        <f>'4b-ADIT Projection Proration'!I52</f>
        <v>0</v>
      </c>
      <c r="P52" s="546">
        <f t="shared" si="62"/>
        <v>0</v>
      </c>
      <c r="Q52" s="546">
        <f t="shared" si="63"/>
        <v>0</v>
      </c>
      <c r="R52" s="540">
        <v>0</v>
      </c>
      <c r="S52" s="546">
        <f t="shared" si="64"/>
        <v>0</v>
      </c>
      <c r="T52" s="546">
        <f t="shared" si="65"/>
        <v>0</v>
      </c>
      <c r="U52" s="546">
        <f t="shared" si="66"/>
        <v>0</v>
      </c>
      <c r="V52" s="546">
        <f t="shared" si="67"/>
        <v>0</v>
      </c>
      <c r="W52" s="971">
        <f t="shared" si="68"/>
        <v>0</v>
      </c>
      <c r="X52" s="970">
        <f>'4b-ADIT Projection Proration'!K52</f>
        <v>0</v>
      </c>
      <c r="Y52" s="546">
        <f t="shared" si="69"/>
        <v>0</v>
      </c>
      <c r="Z52" s="546">
        <f t="shared" si="70"/>
        <v>0</v>
      </c>
      <c r="AA52" s="540">
        <v>0</v>
      </c>
      <c r="AB52" s="546">
        <f t="shared" si="71"/>
        <v>0</v>
      </c>
      <c r="AC52" s="546">
        <f t="shared" si="72"/>
        <v>0</v>
      </c>
      <c r="AD52" s="546">
        <f t="shared" si="73"/>
        <v>0</v>
      </c>
      <c r="AE52" s="546">
        <f t="shared" si="74"/>
        <v>0</v>
      </c>
      <c r="AF52" s="971">
        <f t="shared" si="75"/>
        <v>0</v>
      </c>
    </row>
    <row r="53" spans="1:32">
      <c r="A53" s="854">
        <f t="shared" si="54"/>
        <v>41</v>
      </c>
      <c r="B53" s="852" t="s">
        <v>1019</v>
      </c>
      <c r="C53" s="853" t="s">
        <v>98</v>
      </c>
      <c r="D53" s="1005">
        <v>2022</v>
      </c>
      <c r="E53" s="969">
        <f>1/365</f>
        <v>2.7397260273972603E-3</v>
      </c>
      <c r="F53" s="972">
        <f>'4b-ADIT Projection Proration'!G53</f>
        <v>0</v>
      </c>
      <c r="G53" s="973">
        <f t="shared" si="55"/>
        <v>0</v>
      </c>
      <c r="H53" s="973">
        <f t="shared" si="56"/>
        <v>0</v>
      </c>
      <c r="I53" s="542">
        <v>0</v>
      </c>
      <c r="J53" s="973">
        <f t="shared" si="57"/>
        <v>0</v>
      </c>
      <c r="K53" s="973">
        <f t="shared" si="58"/>
        <v>0</v>
      </c>
      <c r="L53" s="973">
        <f t="shared" si="59"/>
        <v>0</v>
      </c>
      <c r="M53" s="973">
        <f t="shared" si="60"/>
        <v>0</v>
      </c>
      <c r="N53" s="974">
        <f t="shared" si="61"/>
        <v>0</v>
      </c>
      <c r="O53" s="972">
        <f>'4b-ADIT Projection Proration'!I53</f>
        <v>0</v>
      </c>
      <c r="P53" s="973">
        <f t="shared" si="62"/>
        <v>0</v>
      </c>
      <c r="Q53" s="973">
        <f t="shared" si="63"/>
        <v>0</v>
      </c>
      <c r="R53" s="542">
        <v>0</v>
      </c>
      <c r="S53" s="973">
        <f t="shared" si="64"/>
        <v>0</v>
      </c>
      <c r="T53" s="973">
        <f t="shared" si="65"/>
        <v>0</v>
      </c>
      <c r="U53" s="973">
        <f t="shared" si="66"/>
        <v>0</v>
      </c>
      <c r="V53" s="973">
        <f t="shared" si="67"/>
        <v>0</v>
      </c>
      <c r="W53" s="974">
        <f t="shared" si="68"/>
        <v>0</v>
      </c>
      <c r="X53" s="972">
        <f>'4b-ADIT Projection Proration'!K53</f>
        <v>0</v>
      </c>
      <c r="Y53" s="973">
        <f t="shared" si="69"/>
        <v>0</v>
      </c>
      <c r="Z53" s="973">
        <f t="shared" si="70"/>
        <v>0</v>
      </c>
      <c r="AA53" s="542">
        <v>0</v>
      </c>
      <c r="AB53" s="973">
        <f t="shared" si="71"/>
        <v>0</v>
      </c>
      <c r="AC53" s="973">
        <f t="shared" si="72"/>
        <v>0</v>
      </c>
      <c r="AD53" s="973">
        <f t="shared" si="73"/>
        <v>0</v>
      </c>
      <c r="AE53" s="973">
        <f t="shared" si="74"/>
        <v>0</v>
      </c>
      <c r="AF53" s="974">
        <f t="shared" si="75"/>
        <v>0</v>
      </c>
    </row>
    <row r="54" spans="1:32" ht="13.8" thickBot="1">
      <c r="A54" s="854">
        <f t="shared" si="54"/>
        <v>42</v>
      </c>
      <c r="B54" s="855" t="s">
        <v>1026</v>
      </c>
      <c r="C54" s="853"/>
      <c r="D54" s="853"/>
      <c r="E54" s="853"/>
      <c r="F54" s="976">
        <f t="shared" ref="F54:M54" si="76">SUM(F41:F53)</f>
        <v>0</v>
      </c>
      <c r="G54" s="977">
        <f t="shared" si="76"/>
        <v>0</v>
      </c>
      <c r="H54" s="977"/>
      <c r="I54" s="977">
        <f t="shared" si="76"/>
        <v>0</v>
      </c>
      <c r="J54" s="977">
        <f t="shared" si="76"/>
        <v>0</v>
      </c>
      <c r="K54" s="977">
        <f t="shared" si="76"/>
        <v>0</v>
      </c>
      <c r="L54" s="977">
        <f t="shared" si="76"/>
        <v>0</v>
      </c>
      <c r="M54" s="977">
        <f t="shared" si="76"/>
        <v>0</v>
      </c>
      <c r="N54" s="978"/>
      <c r="O54" s="976">
        <f t="shared" ref="O54:P54" si="77">SUM(O41:O53)</f>
        <v>0</v>
      </c>
      <c r="P54" s="977">
        <f t="shared" si="77"/>
        <v>0</v>
      </c>
      <c r="Q54" s="977"/>
      <c r="R54" s="977">
        <f t="shared" ref="R54:V54" si="78">SUM(R41:R53)</f>
        <v>0</v>
      </c>
      <c r="S54" s="977">
        <f t="shared" si="78"/>
        <v>0</v>
      </c>
      <c r="T54" s="977">
        <f t="shared" si="78"/>
        <v>0</v>
      </c>
      <c r="U54" s="977">
        <f t="shared" si="78"/>
        <v>0</v>
      </c>
      <c r="V54" s="977">
        <f t="shared" si="78"/>
        <v>0</v>
      </c>
      <c r="W54" s="978"/>
      <c r="X54" s="976">
        <f t="shared" ref="X54:Y54" si="79">SUM(X41:X53)</f>
        <v>0</v>
      </c>
      <c r="Y54" s="977">
        <f t="shared" si="79"/>
        <v>0</v>
      </c>
      <c r="Z54" s="977"/>
      <c r="AA54" s="977">
        <f t="shared" ref="AA54:AE54" si="80">SUM(AA41:AA53)</f>
        <v>0</v>
      </c>
      <c r="AB54" s="977">
        <f t="shared" si="80"/>
        <v>0</v>
      </c>
      <c r="AC54" s="977">
        <f t="shared" si="80"/>
        <v>0</v>
      </c>
      <c r="AD54" s="977">
        <f t="shared" si="80"/>
        <v>0</v>
      </c>
      <c r="AE54" s="977">
        <f t="shared" si="80"/>
        <v>0</v>
      </c>
      <c r="AF54" s="978"/>
    </row>
    <row r="55" spans="1:32">
      <c r="B55" s="861"/>
      <c r="C55" s="861"/>
      <c r="D55" s="861"/>
      <c r="E55" s="861"/>
      <c r="F55" s="546"/>
      <c r="G55" s="546"/>
      <c r="H55" s="546"/>
      <c r="I55" s="546"/>
      <c r="J55" s="546"/>
      <c r="K55" s="546"/>
      <c r="L55" s="546"/>
      <c r="M55" s="546"/>
      <c r="N55" s="546"/>
      <c r="O55" s="767"/>
      <c r="P55" s="1018"/>
      <c r="Q55" s="767"/>
      <c r="R55" s="1018"/>
      <c r="S55" s="1018"/>
      <c r="T55" s="1018"/>
      <c r="U55" s="1018"/>
      <c r="V55" s="1018"/>
      <c r="W55" s="1018"/>
      <c r="X55" s="767"/>
      <c r="Y55" s="1018"/>
      <c r="Z55" s="853"/>
      <c r="AA55" s="845"/>
      <c r="AB55" s="845"/>
      <c r="AC55" s="845"/>
      <c r="AD55" s="845"/>
      <c r="AE55" s="845"/>
      <c r="AF55" s="845"/>
    </row>
    <row r="56" spans="1:32">
      <c r="B56" s="861"/>
      <c r="C56" s="861"/>
      <c r="D56" s="861"/>
      <c r="E56" s="861"/>
      <c r="F56" s="861"/>
      <c r="G56" s="861"/>
      <c r="H56" s="861"/>
      <c r="I56" s="861"/>
      <c r="J56" s="861"/>
      <c r="K56" s="861"/>
      <c r="L56" s="861"/>
      <c r="M56" s="861"/>
      <c r="N56" s="861"/>
      <c r="O56" s="853"/>
      <c r="P56" s="845"/>
      <c r="Q56" s="853"/>
      <c r="R56" s="845"/>
      <c r="S56" s="845"/>
      <c r="T56" s="845"/>
      <c r="U56" s="845"/>
      <c r="V56" s="845"/>
      <c r="W56" s="845"/>
      <c r="X56" s="853"/>
      <c r="Y56" s="845"/>
      <c r="Z56" s="853"/>
      <c r="AA56" s="845"/>
      <c r="AB56" s="845"/>
      <c r="AC56" s="845"/>
      <c r="AD56" s="845"/>
      <c r="AE56" s="845"/>
      <c r="AF56" s="845"/>
    </row>
    <row r="57" spans="1:32">
      <c r="A57" s="979" t="s">
        <v>1027</v>
      </c>
      <c r="B57" s="861" t="s">
        <v>1028</v>
      </c>
      <c r="C57" s="861"/>
      <c r="D57" s="861"/>
      <c r="E57" s="861"/>
      <c r="F57" s="861"/>
      <c r="G57" s="861"/>
      <c r="H57" s="861"/>
      <c r="I57" s="861"/>
      <c r="J57" s="861"/>
      <c r="K57" s="861"/>
      <c r="L57" s="861"/>
      <c r="M57" s="861"/>
      <c r="N57" s="861"/>
      <c r="O57" s="853"/>
      <c r="P57" s="845"/>
      <c r="Q57" s="853"/>
      <c r="R57" s="845"/>
      <c r="S57" s="845"/>
      <c r="T57" s="845"/>
      <c r="U57" s="845"/>
      <c r="V57" s="845"/>
      <c r="W57" s="845"/>
      <c r="X57" s="853"/>
      <c r="Y57" s="845"/>
      <c r="Z57" s="853"/>
      <c r="AA57" s="845"/>
      <c r="AB57" s="845"/>
      <c r="AC57" s="845"/>
      <c r="AD57" s="845"/>
      <c r="AE57" s="845"/>
      <c r="AF57" s="845"/>
    </row>
    <row r="58" spans="1:32">
      <c r="A58" s="979" t="s">
        <v>1029</v>
      </c>
      <c r="B58" s="861" t="s">
        <v>1030</v>
      </c>
      <c r="C58" s="861"/>
      <c r="D58" s="863"/>
      <c r="E58" s="863"/>
      <c r="F58" s="863"/>
      <c r="G58" s="863"/>
      <c r="H58" s="863"/>
      <c r="I58" s="863"/>
      <c r="J58" s="863"/>
      <c r="K58" s="863"/>
      <c r="L58" s="863"/>
      <c r="M58" s="863"/>
      <c r="N58" s="863"/>
      <c r="O58" s="853"/>
      <c r="P58" s="845"/>
      <c r="Q58" s="853"/>
      <c r="R58" s="845"/>
      <c r="S58" s="845"/>
      <c r="T58" s="845"/>
      <c r="U58" s="845"/>
      <c r="V58" s="845"/>
      <c r="W58" s="845"/>
      <c r="X58" s="853"/>
      <c r="Y58" s="845"/>
      <c r="Z58" s="853"/>
      <c r="AA58" s="845"/>
      <c r="AB58" s="845"/>
      <c r="AC58" s="845"/>
      <c r="AD58" s="845"/>
      <c r="AE58" s="845"/>
      <c r="AF58" s="845"/>
    </row>
    <row r="59" spans="1:32">
      <c r="A59" s="980" t="s">
        <v>75</v>
      </c>
      <c r="B59" s="861" t="s">
        <v>1031</v>
      </c>
      <c r="C59" s="861"/>
      <c r="D59" s="863"/>
      <c r="E59" s="863"/>
      <c r="F59" s="863"/>
      <c r="G59" s="863"/>
      <c r="H59" s="863"/>
      <c r="I59" s="863"/>
      <c r="J59" s="863"/>
      <c r="K59" s="863"/>
      <c r="L59" s="863"/>
      <c r="M59" s="863"/>
      <c r="N59" s="863"/>
      <c r="O59" s="853"/>
      <c r="P59" s="845"/>
      <c r="Q59" s="853"/>
      <c r="R59" s="845"/>
      <c r="S59" s="845"/>
      <c r="T59" s="845"/>
      <c r="U59" s="845"/>
      <c r="V59" s="845"/>
      <c r="W59" s="845"/>
      <c r="X59" s="853"/>
      <c r="Y59" s="845"/>
      <c r="Z59" s="853"/>
      <c r="AA59" s="845"/>
      <c r="AB59" s="845"/>
      <c r="AC59" s="845"/>
      <c r="AD59" s="845"/>
      <c r="AE59" s="845"/>
      <c r="AF59" s="845"/>
    </row>
    <row r="60" spans="1:32">
      <c r="A60" s="980" t="s">
        <v>76</v>
      </c>
      <c r="B60" s="861" t="s">
        <v>1032</v>
      </c>
      <c r="C60" s="861"/>
      <c r="D60" s="863"/>
      <c r="E60" s="863"/>
      <c r="F60" s="863"/>
      <c r="G60" s="863"/>
      <c r="H60" s="863"/>
      <c r="I60" s="863"/>
      <c r="J60" s="863"/>
      <c r="K60" s="863"/>
      <c r="L60" s="863"/>
      <c r="M60" s="863"/>
      <c r="N60" s="863"/>
      <c r="O60" s="853"/>
      <c r="P60" s="845"/>
      <c r="Q60" s="853"/>
      <c r="R60" s="845"/>
      <c r="S60" s="845"/>
      <c r="T60" s="845"/>
      <c r="U60" s="845"/>
      <c r="V60" s="845"/>
      <c r="W60" s="845"/>
      <c r="X60" s="853"/>
      <c r="Y60" s="845"/>
      <c r="Z60" s="853"/>
      <c r="AA60" s="845"/>
      <c r="AB60" s="845"/>
      <c r="AC60" s="845"/>
      <c r="AD60" s="845"/>
      <c r="AE60" s="845"/>
      <c r="AF60" s="845"/>
    </row>
    <row r="61" spans="1:32">
      <c r="A61" s="980" t="s">
        <v>77</v>
      </c>
      <c r="B61" s="865" t="s">
        <v>1033</v>
      </c>
      <c r="C61" s="861"/>
      <c r="D61" s="959"/>
      <c r="E61" s="959"/>
      <c r="F61" s="861"/>
      <c r="G61" s="861"/>
      <c r="H61" s="861"/>
      <c r="I61" s="861"/>
      <c r="J61" s="861"/>
      <c r="K61" s="861"/>
      <c r="L61" s="861"/>
      <c r="M61" s="861"/>
      <c r="N61" s="861"/>
      <c r="O61" s="853"/>
      <c r="P61" s="845"/>
      <c r="Q61" s="853"/>
      <c r="R61" s="845"/>
      <c r="S61" s="845"/>
      <c r="T61" s="845"/>
      <c r="U61" s="845"/>
      <c r="V61" s="845"/>
      <c r="W61" s="845"/>
      <c r="X61" s="853"/>
      <c r="Y61" s="845"/>
      <c r="Z61" s="853"/>
      <c r="AA61" s="845"/>
      <c r="AB61" s="845"/>
      <c r="AC61" s="845"/>
      <c r="AD61" s="845"/>
      <c r="AE61" s="845"/>
      <c r="AF61" s="845"/>
    </row>
    <row r="62" spans="1:32">
      <c r="B62" s="865"/>
      <c r="C62" s="861"/>
      <c r="D62" s="546"/>
      <c r="E62" s="546"/>
      <c r="F62" s="861"/>
      <c r="G62" s="861"/>
      <c r="H62" s="861"/>
      <c r="I62" s="861"/>
      <c r="J62" s="861"/>
      <c r="K62" s="861"/>
      <c r="L62" s="861"/>
      <c r="M62" s="861"/>
      <c r="N62" s="861"/>
    </row>
    <row r="63" spans="1:32">
      <c r="B63" s="865"/>
      <c r="C63" s="861"/>
      <c r="D63" s="546"/>
      <c r="E63" s="546"/>
      <c r="F63" s="861"/>
      <c r="G63" s="861"/>
      <c r="H63" s="861"/>
      <c r="I63" s="861"/>
      <c r="J63" s="861"/>
      <c r="K63" s="861"/>
      <c r="L63" s="861"/>
      <c r="M63" s="861"/>
      <c r="N63" s="861"/>
    </row>
    <row r="64" spans="1:32">
      <c r="B64" s="865"/>
      <c r="C64" s="861"/>
      <c r="D64" s="546"/>
      <c r="E64" s="546"/>
      <c r="F64" s="861"/>
      <c r="G64" s="861"/>
      <c r="H64" s="861"/>
      <c r="I64" s="861"/>
      <c r="J64" s="861"/>
      <c r="K64" s="861"/>
      <c r="L64" s="861"/>
      <c r="M64" s="861"/>
      <c r="N64" s="861"/>
    </row>
    <row r="65" spans="2:24">
      <c r="B65" s="865"/>
      <c r="C65" s="861"/>
      <c r="D65" s="546"/>
      <c r="E65" s="546"/>
      <c r="F65" s="861"/>
      <c r="G65" s="861"/>
      <c r="H65" s="861"/>
      <c r="I65" s="861"/>
      <c r="J65" s="861"/>
      <c r="K65" s="861"/>
      <c r="L65" s="861"/>
      <c r="M65" s="861"/>
      <c r="N65" s="861"/>
    </row>
    <row r="66" spans="2:24">
      <c r="B66" s="865"/>
      <c r="C66" s="861"/>
      <c r="D66" s="546"/>
      <c r="E66" s="546"/>
      <c r="F66" s="861"/>
      <c r="G66" s="861"/>
      <c r="H66" s="861"/>
      <c r="I66" s="861"/>
      <c r="J66" s="861"/>
      <c r="K66" s="861"/>
      <c r="L66" s="861"/>
      <c r="M66" s="861"/>
      <c r="N66" s="861"/>
      <c r="O66" s="1012"/>
      <c r="P66" s="1012"/>
      <c r="Q66" s="1012"/>
      <c r="R66" s="1012"/>
      <c r="S66" s="1012"/>
      <c r="T66" s="1012"/>
      <c r="U66" s="1012"/>
      <c r="V66" s="1012"/>
      <c r="W66" s="1012"/>
      <c r="X66" s="1012"/>
    </row>
    <row r="67" spans="2:24">
      <c r="B67" s="865"/>
      <c r="C67" s="861"/>
      <c r="D67" s="546"/>
      <c r="E67" s="546"/>
      <c r="F67" s="861"/>
      <c r="G67" s="861"/>
      <c r="H67" s="861"/>
      <c r="I67" s="861"/>
      <c r="J67" s="861"/>
      <c r="K67" s="861"/>
      <c r="L67" s="861"/>
      <c r="M67" s="861"/>
      <c r="N67" s="861"/>
    </row>
    <row r="68" spans="2:24">
      <c r="B68" s="865"/>
      <c r="C68" s="861"/>
      <c r="D68" s="546"/>
      <c r="E68" s="546"/>
      <c r="F68" s="861"/>
      <c r="G68" s="861"/>
      <c r="H68" s="861"/>
      <c r="I68" s="861"/>
      <c r="J68" s="861"/>
      <c r="K68" s="861"/>
      <c r="L68" s="861"/>
      <c r="M68" s="861"/>
      <c r="N68" s="861"/>
    </row>
    <row r="69" spans="2:24">
      <c r="B69" s="865"/>
      <c r="C69" s="861"/>
      <c r="D69" s="546"/>
      <c r="E69" s="546"/>
      <c r="F69" s="861"/>
      <c r="G69" s="861"/>
      <c r="H69" s="861"/>
      <c r="I69" s="861"/>
      <c r="J69" s="861"/>
      <c r="K69" s="861"/>
      <c r="L69" s="861"/>
      <c r="M69" s="861"/>
      <c r="N69" s="861"/>
    </row>
    <row r="70" spans="2:24">
      <c r="B70" s="865"/>
      <c r="C70" s="861"/>
      <c r="D70" s="546"/>
      <c r="E70" s="546"/>
      <c r="F70" s="861"/>
      <c r="G70" s="861"/>
      <c r="H70" s="861"/>
      <c r="I70" s="861"/>
      <c r="J70" s="861"/>
      <c r="K70" s="861"/>
      <c r="L70" s="861"/>
      <c r="M70" s="861"/>
      <c r="N70" s="861"/>
    </row>
    <row r="71" spans="2:24">
      <c r="B71" s="865"/>
      <c r="C71" s="861"/>
      <c r="D71" s="546"/>
      <c r="E71" s="546"/>
      <c r="F71" s="861"/>
      <c r="G71" s="861"/>
      <c r="H71" s="861"/>
      <c r="I71" s="861"/>
      <c r="J71" s="861"/>
      <c r="K71" s="861"/>
      <c r="L71" s="861"/>
      <c r="M71" s="861"/>
      <c r="N71" s="861"/>
    </row>
    <row r="72" spans="2:24">
      <c r="B72" s="861"/>
      <c r="C72" s="861"/>
      <c r="D72" s="546"/>
      <c r="E72" s="546"/>
      <c r="F72" s="861"/>
      <c r="G72" s="861"/>
      <c r="H72" s="861"/>
      <c r="I72" s="861"/>
      <c r="J72" s="861"/>
      <c r="K72" s="861"/>
      <c r="L72" s="861"/>
      <c r="M72" s="861"/>
      <c r="N72" s="861"/>
    </row>
    <row r="73" spans="2:24">
      <c r="B73" s="865"/>
      <c r="C73" s="861"/>
      <c r="D73" s="546"/>
      <c r="E73" s="546"/>
      <c r="F73" s="861"/>
      <c r="G73" s="861"/>
      <c r="H73" s="861"/>
      <c r="I73" s="861"/>
      <c r="J73" s="861"/>
      <c r="K73" s="861"/>
      <c r="L73" s="861"/>
      <c r="M73" s="861"/>
      <c r="N73" s="861"/>
    </row>
    <row r="74" spans="2:24">
      <c r="B74" s="861"/>
      <c r="C74" s="861"/>
      <c r="D74" s="546"/>
      <c r="E74" s="546"/>
      <c r="F74" s="861"/>
      <c r="G74" s="861"/>
      <c r="H74" s="861"/>
      <c r="I74" s="861"/>
      <c r="J74" s="861"/>
      <c r="K74" s="861"/>
      <c r="L74" s="861"/>
      <c r="M74" s="861"/>
      <c r="N74" s="861"/>
    </row>
    <row r="75" spans="2:24">
      <c r="B75" s="865"/>
      <c r="C75" s="861"/>
      <c r="D75" s="861"/>
      <c r="E75" s="861"/>
      <c r="F75" s="861"/>
      <c r="G75" s="861"/>
      <c r="H75" s="861"/>
      <c r="I75" s="861"/>
      <c r="J75" s="861"/>
      <c r="K75" s="861"/>
      <c r="L75" s="861"/>
      <c r="M75" s="861"/>
      <c r="N75" s="861"/>
    </row>
    <row r="76" spans="2:24">
      <c r="B76" s="865"/>
      <c r="C76" s="861"/>
      <c r="D76" s="861"/>
      <c r="E76" s="861"/>
      <c r="F76" s="861"/>
      <c r="G76" s="861"/>
      <c r="H76" s="861"/>
      <c r="I76" s="861"/>
      <c r="J76" s="861"/>
      <c r="K76" s="861"/>
      <c r="L76" s="861"/>
      <c r="M76" s="861"/>
      <c r="N76" s="861"/>
    </row>
    <row r="77" spans="2:24">
      <c r="B77" s="865"/>
      <c r="C77" s="861"/>
      <c r="D77" s="861"/>
      <c r="E77" s="861"/>
      <c r="F77" s="861"/>
      <c r="G77" s="861"/>
      <c r="H77" s="861"/>
      <c r="I77" s="861"/>
      <c r="J77" s="861"/>
      <c r="K77" s="861"/>
      <c r="L77" s="861"/>
      <c r="M77" s="861"/>
      <c r="N77" s="861"/>
    </row>
    <row r="78" spans="2:24">
      <c r="B78" s="865"/>
      <c r="C78" s="861"/>
      <c r="D78" s="861"/>
      <c r="E78" s="861"/>
      <c r="F78" s="861"/>
      <c r="G78" s="861"/>
      <c r="H78" s="861"/>
      <c r="I78" s="861"/>
      <c r="J78" s="861"/>
      <c r="K78" s="861"/>
      <c r="L78" s="861"/>
      <c r="M78" s="861"/>
      <c r="N78" s="861"/>
    </row>
    <row r="79" spans="2:24">
      <c r="B79" s="865"/>
      <c r="C79" s="861"/>
      <c r="D79" s="861"/>
      <c r="E79" s="861"/>
      <c r="F79" s="861"/>
      <c r="G79" s="861"/>
      <c r="H79" s="861"/>
      <c r="I79" s="861"/>
      <c r="J79" s="861"/>
      <c r="K79" s="861"/>
      <c r="L79" s="861"/>
      <c r="M79" s="861"/>
      <c r="N79" s="861"/>
    </row>
    <row r="80" spans="2:24">
      <c r="B80" s="865"/>
      <c r="C80" s="861"/>
      <c r="D80" s="861"/>
      <c r="E80" s="861"/>
      <c r="F80" s="861"/>
      <c r="G80" s="861"/>
      <c r="H80" s="861"/>
      <c r="I80" s="861"/>
      <c r="J80" s="861"/>
      <c r="K80" s="861"/>
      <c r="L80" s="861"/>
      <c r="M80" s="861"/>
      <c r="N80" s="861"/>
    </row>
    <row r="81" spans="2:14">
      <c r="B81" s="865"/>
      <c r="C81" s="861"/>
      <c r="D81" s="861"/>
      <c r="E81" s="861"/>
      <c r="F81" s="861"/>
      <c r="G81" s="861"/>
      <c r="H81" s="861"/>
      <c r="I81" s="861"/>
      <c r="J81" s="861"/>
      <c r="K81" s="861"/>
      <c r="L81" s="861"/>
      <c r="M81" s="861"/>
      <c r="N81" s="861"/>
    </row>
    <row r="82" spans="2:14">
      <c r="B82" s="865"/>
      <c r="C82" s="861"/>
      <c r="D82" s="861"/>
      <c r="E82" s="861"/>
      <c r="F82" s="861"/>
      <c r="G82" s="861"/>
      <c r="H82" s="861"/>
      <c r="I82" s="861"/>
      <c r="J82" s="861"/>
      <c r="K82" s="861"/>
      <c r="L82" s="861"/>
      <c r="M82" s="861"/>
      <c r="N82" s="861"/>
    </row>
    <row r="83" spans="2:14">
      <c r="B83" s="865"/>
      <c r="C83" s="861"/>
      <c r="D83" s="861"/>
      <c r="E83" s="861"/>
      <c r="F83" s="861"/>
      <c r="G83" s="861"/>
      <c r="H83" s="861"/>
      <c r="I83" s="861"/>
      <c r="J83" s="861"/>
      <c r="K83" s="861"/>
      <c r="L83" s="861"/>
      <c r="M83" s="861"/>
      <c r="N83" s="861"/>
    </row>
    <row r="84" spans="2:14">
      <c r="B84" s="865"/>
      <c r="C84" s="861"/>
      <c r="D84" s="861"/>
      <c r="E84" s="861"/>
      <c r="F84" s="861"/>
      <c r="G84" s="861"/>
      <c r="H84" s="861"/>
      <c r="I84" s="861"/>
      <c r="J84" s="861"/>
      <c r="K84" s="861"/>
      <c r="L84" s="861"/>
      <c r="M84" s="861"/>
      <c r="N84" s="861"/>
    </row>
    <row r="85" spans="2:14">
      <c r="B85" s="865"/>
      <c r="C85" s="861"/>
      <c r="D85" s="861"/>
      <c r="E85" s="861"/>
      <c r="F85" s="861"/>
      <c r="G85" s="861"/>
      <c r="H85" s="861"/>
      <c r="I85" s="861"/>
      <c r="J85" s="861"/>
      <c r="K85" s="861"/>
      <c r="L85" s="861"/>
      <c r="M85" s="861"/>
      <c r="N85" s="861"/>
    </row>
    <row r="86" spans="2:14">
      <c r="B86" s="865"/>
      <c r="C86" s="861"/>
      <c r="D86" s="861"/>
      <c r="E86" s="861"/>
      <c r="F86" s="861"/>
      <c r="G86" s="861"/>
      <c r="H86" s="861"/>
      <c r="I86" s="861"/>
      <c r="J86" s="861"/>
      <c r="K86" s="861"/>
      <c r="L86" s="861"/>
      <c r="M86" s="861"/>
      <c r="N86" s="861"/>
    </row>
    <row r="87" spans="2:14">
      <c r="B87" s="865"/>
      <c r="C87" s="861"/>
      <c r="D87" s="861"/>
      <c r="E87" s="861"/>
      <c r="F87" s="861"/>
      <c r="G87" s="861"/>
      <c r="H87" s="861"/>
      <c r="I87" s="861"/>
      <c r="J87" s="861"/>
      <c r="K87" s="861"/>
      <c r="L87" s="861"/>
      <c r="M87" s="861"/>
      <c r="N87" s="861"/>
    </row>
    <row r="88" spans="2:14">
      <c r="B88" s="865"/>
      <c r="C88" s="861"/>
      <c r="D88" s="861"/>
      <c r="E88" s="861"/>
      <c r="F88" s="861"/>
      <c r="G88" s="861"/>
      <c r="H88" s="861"/>
      <c r="I88" s="861"/>
      <c r="J88" s="861"/>
      <c r="K88" s="861"/>
      <c r="L88" s="861"/>
      <c r="M88" s="861"/>
      <c r="N88" s="861"/>
    </row>
    <row r="89" spans="2:14">
      <c r="B89" s="865"/>
      <c r="C89" s="861"/>
      <c r="D89" s="861"/>
      <c r="E89" s="861"/>
      <c r="F89" s="861"/>
      <c r="G89" s="861"/>
      <c r="H89" s="861"/>
      <c r="I89" s="861"/>
      <c r="J89" s="861"/>
      <c r="K89" s="861"/>
      <c r="L89" s="861"/>
      <c r="M89" s="861"/>
      <c r="N89" s="861"/>
    </row>
    <row r="90" spans="2:14">
      <c r="B90" s="865"/>
      <c r="C90" s="861"/>
      <c r="D90" s="861"/>
      <c r="E90" s="861"/>
      <c r="F90" s="861"/>
      <c r="G90" s="861"/>
      <c r="H90" s="861"/>
      <c r="I90" s="861"/>
      <c r="J90" s="861"/>
      <c r="K90" s="861"/>
      <c r="L90" s="861"/>
      <c r="M90" s="861"/>
      <c r="N90" s="861"/>
    </row>
    <row r="91" spans="2:14">
      <c r="B91" s="865"/>
      <c r="C91" s="861"/>
      <c r="D91" s="861"/>
      <c r="E91" s="861"/>
      <c r="F91" s="861"/>
      <c r="G91" s="861"/>
      <c r="H91" s="861"/>
      <c r="I91" s="861"/>
      <c r="J91" s="861"/>
      <c r="K91" s="861"/>
      <c r="L91" s="861"/>
      <c r="M91" s="861"/>
      <c r="N91" s="861"/>
    </row>
    <row r="92" spans="2:14">
      <c r="B92" s="865"/>
      <c r="C92" s="861"/>
      <c r="D92" s="861"/>
      <c r="E92" s="861"/>
      <c r="F92" s="861"/>
      <c r="G92" s="861"/>
      <c r="H92" s="861"/>
      <c r="I92" s="861"/>
      <c r="J92" s="861"/>
      <c r="K92" s="861"/>
      <c r="L92" s="861"/>
      <c r="M92" s="861"/>
      <c r="N92" s="861"/>
    </row>
    <row r="93" spans="2:14">
      <c r="B93" s="865"/>
      <c r="C93" s="861"/>
      <c r="D93" s="861"/>
      <c r="E93" s="861"/>
      <c r="F93" s="861"/>
      <c r="G93" s="861"/>
      <c r="H93" s="861"/>
      <c r="I93" s="861"/>
      <c r="J93" s="861"/>
      <c r="K93" s="861"/>
      <c r="L93" s="861"/>
      <c r="M93" s="861"/>
      <c r="N93" s="861"/>
    </row>
    <row r="94" spans="2:14">
      <c r="B94" s="865"/>
      <c r="C94" s="861"/>
      <c r="D94" s="861"/>
      <c r="E94" s="861"/>
      <c r="F94" s="861"/>
      <c r="G94" s="861"/>
      <c r="H94" s="861"/>
      <c r="I94" s="861"/>
      <c r="J94" s="861"/>
      <c r="K94" s="861"/>
      <c r="L94" s="861"/>
      <c r="M94" s="861"/>
      <c r="N94" s="861"/>
    </row>
    <row r="95" spans="2:14">
      <c r="B95" s="865"/>
      <c r="C95" s="861"/>
      <c r="D95" s="861"/>
      <c r="E95" s="861"/>
      <c r="F95" s="861"/>
      <c r="G95" s="861"/>
      <c r="H95" s="861"/>
      <c r="I95" s="861"/>
      <c r="J95" s="861"/>
      <c r="K95" s="861"/>
      <c r="L95" s="861"/>
      <c r="M95" s="861"/>
      <c r="N95" s="861"/>
    </row>
    <row r="96" spans="2:14">
      <c r="B96" s="865"/>
      <c r="C96" s="861"/>
      <c r="D96" s="861"/>
      <c r="E96" s="861"/>
      <c r="F96" s="861"/>
      <c r="G96" s="861"/>
      <c r="H96" s="861"/>
      <c r="I96" s="861"/>
      <c r="J96" s="861"/>
      <c r="K96" s="861"/>
      <c r="L96" s="861"/>
      <c r="M96" s="861"/>
      <c r="N96" s="861"/>
    </row>
    <row r="97" spans="2:14">
      <c r="B97" s="865"/>
      <c r="C97" s="861"/>
      <c r="D97" s="861"/>
      <c r="E97" s="861"/>
      <c r="F97" s="861"/>
      <c r="G97" s="861"/>
      <c r="H97" s="861"/>
      <c r="I97" s="861"/>
      <c r="J97" s="861"/>
      <c r="K97" s="861"/>
      <c r="L97" s="861"/>
      <c r="M97" s="861"/>
      <c r="N97" s="861"/>
    </row>
    <row r="98" spans="2:14">
      <c r="B98" s="865"/>
      <c r="C98" s="861"/>
      <c r="D98" s="861"/>
      <c r="E98" s="861"/>
      <c r="F98" s="861"/>
      <c r="G98" s="861"/>
      <c r="H98" s="861"/>
      <c r="I98" s="861"/>
      <c r="J98" s="861"/>
      <c r="K98" s="861"/>
      <c r="L98" s="861"/>
      <c r="M98" s="861"/>
      <c r="N98" s="861"/>
    </row>
    <row r="99" spans="2:14">
      <c r="B99" s="865"/>
      <c r="C99" s="861"/>
      <c r="D99" s="861"/>
      <c r="E99" s="861"/>
      <c r="F99" s="861"/>
      <c r="G99" s="861"/>
      <c r="H99" s="861"/>
      <c r="I99" s="861"/>
      <c r="J99" s="861"/>
      <c r="K99" s="861"/>
      <c r="L99" s="861"/>
      <c r="M99" s="861"/>
      <c r="N99" s="861"/>
    </row>
    <row r="100" spans="2:14">
      <c r="B100" s="865"/>
      <c r="C100" s="861"/>
      <c r="D100" s="861"/>
      <c r="E100" s="861"/>
      <c r="F100" s="861"/>
      <c r="G100" s="861"/>
      <c r="H100" s="861"/>
      <c r="I100" s="861"/>
      <c r="J100" s="861"/>
      <c r="K100" s="861"/>
      <c r="L100" s="861"/>
      <c r="M100" s="861"/>
      <c r="N100" s="861"/>
    </row>
    <row r="101" spans="2:14">
      <c r="B101" s="865"/>
      <c r="C101" s="861"/>
      <c r="D101" s="861"/>
      <c r="E101" s="861"/>
      <c r="F101" s="861"/>
      <c r="G101" s="861"/>
      <c r="H101" s="861"/>
      <c r="I101" s="861"/>
      <c r="J101" s="861"/>
      <c r="K101" s="861"/>
      <c r="L101" s="861"/>
      <c r="M101" s="861"/>
      <c r="N101" s="861"/>
    </row>
    <row r="102" spans="2:14">
      <c r="B102" s="865"/>
      <c r="C102" s="861"/>
      <c r="D102" s="861"/>
      <c r="E102" s="861"/>
      <c r="F102" s="861"/>
      <c r="G102" s="861"/>
      <c r="H102" s="861"/>
      <c r="I102" s="861"/>
      <c r="J102" s="861"/>
      <c r="K102" s="861"/>
      <c r="L102" s="861"/>
      <c r="M102" s="861"/>
      <c r="N102" s="861"/>
    </row>
    <row r="103" spans="2:14">
      <c r="B103" s="865"/>
      <c r="C103" s="861"/>
      <c r="D103" s="861"/>
      <c r="E103" s="861"/>
      <c r="F103" s="861"/>
      <c r="G103" s="861"/>
      <c r="H103" s="861"/>
      <c r="I103" s="861"/>
      <c r="J103" s="861"/>
      <c r="K103" s="861"/>
      <c r="L103" s="861"/>
      <c r="M103" s="861"/>
      <c r="N103" s="861"/>
    </row>
    <row r="104" spans="2:14">
      <c r="B104" s="865"/>
      <c r="C104" s="861"/>
      <c r="D104" s="861"/>
      <c r="E104" s="861"/>
      <c r="F104" s="861"/>
      <c r="G104" s="861"/>
      <c r="H104" s="861"/>
      <c r="I104" s="861"/>
      <c r="J104" s="861"/>
      <c r="K104" s="861"/>
      <c r="L104" s="861"/>
      <c r="M104" s="861"/>
      <c r="N104" s="861"/>
    </row>
    <row r="105" spans="2:14">
      <c r="B105" s="865"/>
      <c r="C105" s="861"/>
      <c r="D105" s="861"/>
      <c r="E105" s="861"/>
      <c r="F105" s="861"/>
      <c r="G105" s="861"/>
      <c r="H105" s="861"/>
      <c r="I105" s="861"/>
      <c r="J105" s="861"/>
      <c r="K105" s="861"/>
      <c r="L105" s="861"/>
      <c r="M105" s="861"/>
      <c r="N105" s="861"/>
    </row>
    <row r="106" spans="2:14">
      <c r="B106" s="865"/>
      <c r="C106" s="861"/>
      <c r="D106" s="861"/>
      <c r="E106" s="861"/>
      <c r="F106" s="861"/>
      <c r="G106" s="861"/>
      <c r="H106" s="861"/>
      <c r="I106" s="861"/>
      <c r="J106" s="861"/>
      <c r="K106" s="861"/>
      <c r="L106" s="861"/>
      <c r="M106" s="861"/>
      <c r="N106" s="861"/>
    </row>
    <row r="107" spans="2:14">
      <c r="B107" s="865"/>
      <c r="C107" s="861"/>
      <c r="D107" s="861"/>
      <c r="E107" s="861"/>
      <c r="F107" s="861"/>
      <c r="G107" s="861"/>
      <c r="H107" s="861"/>
      <c r="I107" s="861"/>
      <c r="J107" s="861"/>
      <c r="K107" s="861"/>
      <c r="L107" s="861"/>
      <c r="M107" s="861"/>
      <c r="N107" s="861"/>
    </row>
    <row r="108" spans="2:14">
      <c r="B108" s="865"/>
      <c r="C108" s="861"/>
      <c r="D108" s="861"/>
      <c r="E108" s="861"/>
      <c r="F108" s="861"/>
      <c r="G108" s="861"/>
      <c r="H108" s="861"/>
      <c r="I108" s="861"/>
      <c r="J108" s="861"/>
      <c r="K108" s="861"/>
      <c r="L108" s="861"/>
      <c r="M108" s="861"/>
      <c r="N108" s="861"/>
    </row>
    <row r="109" spans="2:14">
      <c r="B109" s="865"/>
      <c r="C109" s="861"/>
      <c r="D109" s="861"/>
      <c r="E109" s="861"/>
      <c r="F109" s="861"/>
      <c r="G109" s="861"/>
      <c r="H109" s="861"/>
      <c r="I109" s="861"/>
      <c r="J109" s="861"/>
      <c r="K109" s="861"/>
      <c r="L109" s="861"/>
      <c r="M109" s="861"/>
      <c r="N109" s="861"/>
    </row>
    <row r="110" spans="2:14">
      <c r="B110" s="865"/>
      <c r="C110" s="861"/>
      <c r="D110" s="861"/>
      <c r="E110" s="861"/>
      <c r="F110" s="861"/>
      <c r="G110" s="861"/>
      <c r="H110" s="861"/>
      <c r="I110" s="861"/>
      <c r="J110" s="861"/>
      <c r="K110" s="861"/>
      <c r="L110" s="861"/>
      <c r="M110" s="861"/>
      <c r="N110" s="861"/>
    </row>
    <row r="111" spans="2:14">
      <c r="B111" s="865"/>
      <c r="C111" s="861"/>
      <c r="D111" s="861"/>
      <c r="E111" s="861"/>
      <c r="F111" s="861"/>
      <c r="G111" s="861"/>
      <c r="H111" s="861"/>
      <c r="I111" s="861"/>
      <c r="J111" s="861"/>
      <c r="K111" s="861"/>
      <c r="L111" s="861"/>
      <c r="M111" s="861"/>
      <c r="N111" s="861"/>
    </row>
    <row r="112" spans="2:14">
      <c r="B112" s="865"/>
      <c r="C112" s="861"/>
      <c r="D112" s="861"/>
      <c r="E112" s="861"/>
      <c r="F112" s="861"/>
      <c r="G112" s="861"/>
      <c r="H112" s="861"/>
      <c r="I112" s="861"/>
      <c r="J112" s="861"/>
      <c r="K112" s="861"/>
      <c r="L112" s="861"/>
      <c r="M112" s="861"/>
      <c r="N112" s="861"/>
    </row>
    <row r="113" spans="2:14">
      <c r="B113" s="865"/>
      <c r="C113" s="861"/>
      <c r="D113" s="861"/>
      <c r="E113" s="861"/>
      <c r="F113" s="861"/>
      <c r="G113" s="861"/>
      <c r="H113" s="861"/>
      <c r="I113" s="861"/>
      <c r="J113" s="861"/>
      <c r="K113" s="861"/>
      <c r="L113" s="861"/>
      <c r="M113" s="861"/>
      <c r="N113" s="861"/>
    </row>
    <row r="114" spans="2:14">
      <c r="B114" s="865"/>
      <c r="C114" s="861"/>
      <c r="D114" s="861"/>
      <c r="E114" s="861"/>
      <c r="F114" s="861"/>
      <c r="G114" s="861"/>
      <c r="H114" s="861"/>
      <c r="I114" s="861"/>
      <c r="J114" s="861"/>
      <c r="K114" s="861"/>
      <c r="L114" s="861"/>
      <c r="M114" s="861"/>
      <c r="N114" s="861"/>
    </row>
    <row r="115" spans="2:14">
      <c r="B115" s="865"/>
      <c r="C115" s="861"/>
      <c r="D115" s="861"/>
      <c r="E115" s="861"/>
      <c r="F115" s="861"/>
      <c r="G115" s="861"/>
      <c r="H115" s="861"/>
      <c r="I115" s="861"/>
      <c r="J115" s="861"/>
      <c r="K115" s="861"/>
      <c r="L115" s="861"/>
      <c r="M115" s="861"/>
      <c r="N115" s="861"/>
    </row>
    <row r="116" spans="2:14">
      <c r="B116" s="865"/>
      <c r="C116" s="861"/>
      <c r="D116" s="861"/>
      <c r="E116" s="861"/>
      <c r="F116" s="861"/>
      <c r="G116" s="861"/>
      <c r="H116" s="861"/>
      <c r="I116" s="861"/>
      <c r="J116" s="861"/>
      <c r="K116" s="861"/>
      <c r="L116" s="861"/>
      <c r="M116" s="861"/>
      <c r="N116" s="861"/>
    </row>
    <row r="117" spans="2:14">
      <c r="B117" s="865"/>
      <c r="C117" s="861"/>
      <c r="D117" s="861"/>
      <c r="E117" s="861"/>
      <c r="F117" s="861"/>
      <c r="G117" s="861"/>
      <c r="H117" s="861"/>
      <c r="I117" s="861"/>
      <c r="J117" s="861"/>
      <c r="K117" s="861"/>
      <c r="L117" s="861"/>
      <c r="M117" s="861"/>
      <c r="N117" s="861"/>
    </row>
    <row r="118" spans="2:14">
      <c r="B118" s="865"/>
      <c r="C118" s="861"/>
      <c r="D118" s="861"/>
      <c r="E118" s="861"/>
      <c r="F118" s="861"/>
      <c r="G118" s="861"/>
      <c r="H118" s="861"/>
      <c r="I118" s="861"/>
      <c r="J118" s="861"/>
      <c r="K118" s="861"/>
      <c r="L118" s="861"/>
      <c r="M118" s="861"/>
      <c r="N118" s="861"/>
    </row>
    <row r="119" spans="2:14">
      <c r="B119" s="865"/>
      <c r="C119" s="861"/>
      <c r="D119" s="861"/>
      <c r="E119" s="861"/>
      <c r="F119" s="861"/>
      <c r="G119" s="861"/>
      <c r="H119" s="861"/>
      <c r="I119" s="861"/>
      <c r="J119" s="861"/>
      <c r="K119" s="861"/>
      <c r="L119" s="861"/>
      <c r="M119" s="861"/>
      <c r="N119" s="861"/>
    </row>
    <row r="120" spans="2:14">
      <c r="B120" s="865"/>
      <c r="C120" s="861"/>
      <c r="D120" s="861"/>
      <c r="E120" s="861"/>
      <c r="F120" s="861"/>
      <c r="G120" s="861"/>
      <c r="H120" s="861"/>
      <c r="I120" s="861"/>
      <c r="J120" s="861"/>
      <c r="K120" s="861"/>
      <c r="L120" s="861"/>
      <c r="M120" s="861"/>
      <c r="N120" s="861"/>
    </row>
    <row r="121" spans="2:14">
      <c r="B121" s="865"/>
      <c r="C121" s="861"/>
      <c r="D121" s="861"/>
      <c r="E121" s="861"/>
      <c r="F121" s="861"/>
      <c r="G121" s="861"/>
      <c r="H121" s="861"/>
      <c r="I121" s="861"/>
      <c r="J121" s="861"/>
      <c r="K121" s="861"/>
      <c r="L121" s="861"/>
      <c r="M121" s="861"/>
      <c r="N121" s="861"/>
    </row>
    <row r="122" spans="2:14">
      <c r="B122" s="865"/>
      <c r="C122" s="861"/>
      <c r="D122" s="861"/>
      <c r="E122" s="861"/>
      <c r="F122" s="861"/>
      <c r="G122" s="861"/>
      <c r="H122" s="861"/>
      <c r="I122" s="861"/>
      <c r="J122" s="861"/>
      <c r="K122" s="861"/>
      <c r="L122" s="861"/>
      <c r="M122" s="861"/>
      <c r="N122" s="861"/>
    </row>
    <row r="123" spans="2:14">
      <c r="B123" s="865"/>
      <c r="C123" s="861"/>
      <c r="D123" s="861"/>
      <c r="E123" s="861"/>
      <c r="F123" s="861"/>
      <c r="G123" s="861"/>
      <c r="H123" s="861"/>
      <c r="I123" s="861"/>
      <c r="J123" s="861"/>
      <c r="K123" s="861"/>
      <c r="L123" s="861"/>
      <c r="M123" s="861"/>
      <c r="N123" s="861"/>
    </row>
    <row r="124" spans="2:14">
      <c r="B124" s="865"/>
      <c r="C124" s="861"/>
      <c r="D124" s="861"/>
      <c r="E124" s="861"/>
      <c r="F124" s="861"/>
      <c r="G124" s="861"/>
      <c r="H124" s="861"/>
      <c r="I124" s="861"/>
      <c r="J124" s="861"/>
      <c r="K124" s="861"/>
      <c r="L124" s="861"/>
      <c r="M124" s="861"/>
      <c r="N124" s="861"/>
    </row>
    <row r="125" spans="2:14">
      <c r="B125" s="865"/>
      <c r="C125" s="861"/>
      <c r="D125" s="861"/>
      <c r="E125" s="861"/>
      <c r="F125" s="861"/>
      <c r="G125" s="861"/>
      <c r="H125" s="861"/>
      <c r="I125" s="861"/>
      <c r="J125" s="861"/>
      <c r="K125" s="861"/>
      <c r="L125" s="861"/>
      <c r="M125" s="861"/>
      <c r="N125" s="861"/>
    </row>
    <row r="126" spans="2:14">
      <c r="B126" s="865"/>
      <c r="C126" s="861"/>
      <c r="D126" s="861"/>
      <c r="E126" s="861"/>
      <c r="F126" s="861"/>
      <c r="G126" s="861"/>
      <c r="H126" s="861"/>
      <c r="I126" s="861"/>
      <c r="J126" s="861"/>
      <c r="K126" s="861"/>
      <c r="L126" s="861"/>
      <c r="M126" s="861"/>
      <c r="N126" s="861"/>
    </row>
    <row r="127" spans="2:14">
      <c r="B127" s="865"/>
      <c r="C127" s="861"/>
      <c r="D127" s="861"/>
      <c r="E127" s="861"/>
      <c r="F127" s="861"/>
      <c r="G127" s="861"/>
      <c r="H127" s="861"/>
      <c r="I127" s="861"/>
      <c r="J127" s="861"/>
      <c r="K127" s="861"/>
      <c r="L127" s="861"/>
      <c r="M127" s="861"/>
      <c r="N127" s="861"/>
    </row>
    <row r="128" spans="2:14">
      <c r="B128" s="865"/>
      <c r="C128" s="861"/>
      <c r="D128" s="861"/>
      <c r="E128" s="861"/>
      <c r="F128" s="861"/>
      <c r="G128" s="861"/>
      <c r="H128" s="861"/>
      <c r="I128" s="861"/>
      <c r="J128" s="861"/>
      <c r="K128" s="861"/>
      <c r="L128" s="861"/>
      <c r="M128" s="861"/>
      <c r="N128" s="861"/>
    </row>
    <row r="129" spans="2:14">
      <c r="B129" s="865"/>
      <c r="C129" s="861"/>
      <c r="D129" s="861"/>
      <c r="E129" s="861"/>
      <c r="F129" s="861"/>
      <c r="G129" s="861"/>
      <c r="H129" s="861"/>
      <c r="I129" s="861"/>
      <c r="J129" s="861"/>
      <c r="K129" s="861"/>
      <c r="L129" s="861"/>
      <c r="M129" s="861"/>
      <c r="N129" s="861"/>
    </row>
    <row r="130" spans="2:14">
      <c r="B130" s="865"/>
      <c r="C130" s="861"/>
      <c r="D130" s="861"/>
      <c r="E130" s="861"/>
      <c r="F130" s="861"/>
      <c r="G130" s="861"/>
      <c r="H130" s="861"/>
      <c r="I130" s="861"/>
      <c r="J130" s="861"/>
      <c r="K130" s="861"/>
      <c r="L130" s="861"/>
      <c r="M130" s="861"/>
      <c r="N130" s="861"/>
    </row>
    <row r="131" spans="2:14">
      <c r="B131" s="865"/>
      <c r="C131" s="861"/>
      <c r="D131" s="861"/>
      <c r="E131" s="861"/>
      <c r="F131" s="861"/>
      <c r="G131" s="861"/>
      <c r="H131" s="861"/>
      <c r="I131" s="861"/>
      <c r="J131" s="861"/>
      <c r="K131" s="861"/>
      <c r="L131" s="861"/>
      <c r="M131" s="861"/>
      <c r="N131" s="861"/>
    </row>
    <row r="132" spans="2:14">
      <c r="B132" s="865"/>
      <c r="C132" s="861"/>
      <c r="D132" s="861"/>
      <c r="E132" s="861"/>
      <c r="F132" s="861"/>
      <c r="G132" s="861"/>
      <c r="H132" s="861"/>
      <c r="I132" s="861"/>
      <c r="J132" s="861"/>
      <c r="K132" s="861"/>
      <c r="L132" s="861"/>
      <c r="M132" s="861"/>
      <c r="N132" s="861"/>
    </row>
    <row r="133" spans="2:14">
      <c r="B133" s="865"/>
      <c r="C133" s="861"/>
      <c r="D133" s="861"/>
      <c r="E133" s="861"/>
      <c r="F133" s="861"/>
      <c r="G133" s="861"/>
      <c r="H133" s="861"/>
      <c r="I133" s="861"/>
      <c r="J133" s="861"/>
      <c r="K133" s="861"/>
      <c r="L133" s="861"/>
      <c r="M133" s="861"/>
      <c r="N133" s="861"/>
    </row>
    <row r="134" spans="2:14">
      <c r="B134" s="865"/>
      <c r="C134" s="861"/>
      <c r="D134" s="861"/>
      <c r="E134" s="861"/>
      <c r="F134" s="861"/>
      <c r="G134" s="861"/>
      <c r="H134" s="861"/>
      <c r="I134" s="861"/>
      <c r="J134" s="861"/>
      <c r="K134" s="861"/>
      <c r="L134" s="861"/>
      <c r="M134" s="861"/>
      <c r="N134" s="861"/>
    </row>
    <row r="135" spans="2:14">
      <c r="B135" s="865"/>
      <c r="C135" s="861"/>
      <c r="D135" s="861"/>
      <c r="E135" s="861"/>
      <c r="F135" s="861"/>
      <c r="G135" s="861"/>
      <c r="H135" s="861"/>
      <c r="I135" s="861"/>
      <c r="J135" s="861"/>
      <c r="K135" s="861"/>
      <c r="L135" s="861"/>
      <c r="M135" s="861"/>
      <c r="N135" s="861"/>
    </row>
    <row r="136" spans="2:14">
      <c r="B136" s="865"/>
      <c r="C136" s="861"/>
      <c r="D136" s="861"/>
      <c r="E136" s="861"/>
      <c r="F136" s="861"/>
      <c r="G136" s="861"/>
      <c r="H136" s="861"/>
      <c r="I136" s="861"/>
      <c r="J136" s="861"/>
      <c r="K136" s="861"/>
      <c r="L136" s="861"/>
      <c r="M136" s="861"/>
      <c r="N136" s="861"/>
    </row>
    <row r="137" spans="2:14">
      <c r="B137" s="865"/>
      <c r="C137" s="861"/>
      <c r="D137" s="861"/>
      <c r="E137" s="861"/>
      <c r="F137" s="861"/>
      <c r="G137" s="861"/>
      <c r="H137" s="861"/>
      <c r="I137" s="861"/>
      <c r="J137" s="861"/>
      <c r="K137" s="861"/>
      <c r="L137" s="861"/>
      <c r="M137" s="861"/>
      <c r="N137" s="861"/>
    </row>
    <row r="138" spans="2:14">
      <c r="B138" s="865"/>
      <c r="C138" s="861"/>
      <c r="D138" s="861"/>
      <c r="E138" s="861"/>
      <c r="F138" s="861"/>
      <c r="G138" s="861"/>
      <c r="H138" s="861"/>
      <c r="I138" s="861"/>
      <c r="J138" s="861"/>
      <c r="K138" s="861"/>
      <c r="L138" s="861"/>
      <c r="M138" s="861"/>
      <c r="N138" s="861"/>
    </row>
    <row r="139" spans="2:14">
      <c r="B139" s="865"/>
      <c r="C139" s="861"/>
      <c r="D139" s="861"/>
      <c r="E139" s="861"/>
      <c r="F139" s="861"/>
      <c r="G139" s="861"/>
      <c r="H139" s="861"/>
      <c r="I139" s="861"/>
      <c r="J139" s="861"/>
      <c r="K139" s="861"/>
      <c r="L139" s="861"/>
      <c r="M139" s="861"/>
      <c r="N139" s="861"/>
    </row>
    <row r="140" spans="2:14">
      <c r="B140" s="865"/>
      <c r="C140" s="861"/>
      <c r="D140" s="861"/>
      <c r="E140" s="861"/>
      <c r="F140" s="861"/>
      <c r="G140" s="861"/>
      <c r="H140" s="861"/>
      <c r="I140" s="861"/>
      <c r="J140" s="861"/>
      <c r="K140" s="861"/>
      <c r="L140" s="861"/>
      <c r="M140" s="861"/>
      <c r="N140" s="861"/>
    </row>
    <row r="141" spans="2:14">
      <c r="B141" s="865"/>
      <c r="C141" s="861"/>
      <c r="D141" s="861"/>
      <c r="E141" s="861"/>
      <c r="F141" s="861"/>
      <c r="G141" s="861"/>
      <c r="H141" s="861"/>
      <c r="I141" s="861"/>
      <c r="J141" s="861"/>
      <c r="K141" s="861"/>
      <c r="L141" s="861"/>
      <c r="M141" s="861"/>
      <c r="N141" s="861"/>
    </row>
    <row r="142" spans="2:14">
      <c r="B142" s="865"/>
      <c r="C142" s="861"/>
      <c r="D142" s="861"/>
      <c r="E142" s="861"/>
      <c r="F142" s="861"/>
      <c r="G142" s="861"/>
      <c r="H142" s="861"/>
      <c r="I142" s="861"/>
      <c r="J142" s="861"/>
      <c r="K142" s="861"/>
      <c r="L142" s="861"/>
      <c r="M142" s="861"/>
      <c r="N142" s="861"/>
    </row>
    <row r="143" spans="2:14">
      <c r="B143" s="865"/>
      <c r="C143" s="861"/>
      <c r="D143" s="861"/>
      <c r="E143" s="861"/>
      <c r="F143" s="861"/>
      <c r="G143" s="861"/>
      <c r="H143" s="861"/>
      <c r="I143" s="861"/>
      <c r="J143" s="861"/>
      <c r="K143" s="861"/>
      <c r="L143" s="861"/>
      <c r="M143" s="861"/>
      <c r="N143" s="861"/>
    </row>
    <row r="144" spans="2:14">
      <c r="B144" s="865"/>
      <c r="C144" s="861"/>
      <c r="D144" s="861"/>
      <c r="E144" s="861"/>
      <c r="F144" s="861"/>
      <c r="G144" s="861"/>
      <c r="H144" s="861"/>
      <c r="I144" s="861"/>
      <c r="J144" s="861"/>
      <c r="K144" s="861"/>
      <c r="L144" s="861"/>
      <c r="M144" s="861"/>
      <c r="N144" s="861"/>
    </row>
    <row r="145" spans="2:14">
      <c r="B145" s="865"/>
      <c r="C145" s="861"/>
      <c r="D145" s="861"/>
      <c r="E145" s="861"/>
      <c r="F145" s="861"/>
      <c r="G145" s="861"/>
      <c r="H145" s="861"/>
      <c r="I145" s="861"/>
      <c r="J145" s="861"/>
      <c r="K145" s="861"/>
      <c r="L145" s="861"/>
      <c r="M145" s="861"/>
      <c r="N145" s="861"/>
    </row>
    <row r="146" spans="2:14">
      <c r="B146" s="865"/>
      <c r="C146" s="861"/>
      <c r="D146" s="861"/>
      <c r="E146" s="861"/>
      <c r="F146" s="861"/>
      <c r="G146" s="861"/>
      <c r="H146" s="861"/>
      <c r="I146" s="861"/>
      <c r="J146" s="861"/>
      <c r="K146" s="861"/>
      <c r="L146" s="861"/>
      <c r="M146" s="861"/>
      <c r="N146" s="861"/>
    </row>
    <row r="147" spans="2:14">
      <c r="B147" s="865"/>
      <c r="C147" s="861"/>
      <c r="D147" s="861"/>
      <c r="E147" s="861"/>
      <c r="F147" s="861"/>
      <c r="G147" s="861"/>
      <c r="H147" s="861"/>
      <c r="I147" s="861"/>
      <c r="J147" s="861"/>
      <c r="K147" s="861"/>
      <c r="L147" s="861"/>
      <c r="M147" s="861"/>
      <c r="N147" s="861"/>
    </row>
    <row r="148" spans="2:14">
      <c r="B148" s="865"/>
      <c r="C148" s="861"/>
      <c r="D148" s="861"/>
      <c r="E148" s="861"/>
      <c r="F148" s="861"/>
      <c r="G148" s="861"/>
      <c r="H148" s="861"/>
      <c r="I148" s="861"/>
      <c r="J148" s="861"/>
      <c r="K148" s="861"/>
      <c r="L148" s="861"/>
      <c r="M148" s="861"/>
      <c r="N148" s="861"/>
    </row>
    <row r="149" spans="2:14">
      <c r="B149" s="865"/>
      <c r="C149" s="861"/>
      <c r="D149" s="861"/>
      <c r="E149" s="861"/>
      <c r="F149" s="861"/>
      <c r="G149" s="861"/>
      <c r="H149" s="861"/>
      <c r="I149" s="861"/>
      <c r="J149" s="861"/>
      <c r="K149" s="861"/>
      <c r="L149" s="861"/>
      <c r="M149" s="861"/>
      <c r="N149" s="861"/>
    </row>
    <row r="150" spans="2:14">
      <c r="B150" s="865"/>
      <c r="C150" s="861"/>
      <c r="D150" s="861"/>
      <c r="E150" s="861"/>
      <c r="F150" s="861"/>
      <c r="G150" s="861"/>
      <c r="H150" s="861"/>
      <c r="I150" s="861"/>
      <c r="J150" s="861"/>
      <c r="K150" s="861"/>
      <c r="L150" s="861"/>
      <c r="M150" s="861"/>
      <c r="N150" s="861"/>
    </row>
    <row r="151" spans="2:14">
      <c r="B151" s="865"/>
      <c r="C151" s="861"/>
      <c r="D151" s="861"/>
      <c r="E151" s="861"/>
      <c r="F151" s="861"/>
      <c r="G151" s="861"/>
      <c r="H151" s="861"/>
      <c r="I151" s="861"/>
      <c r="J151" s="861"/>
      <c r="K151" s="861"/>
      <c r="L151" s="861"/>
      <c r="M151" s="861"/>
      <c r="N151" s="861"/>
    </row>
    <row r="152" spans="2:14">
      <c r="B152" s="865"/>
      <c r="C152" s="861"/>
      <c r="D152" s="861"/>
      <c r="E152" s="861"/>
      <c r="F152" s="861"/>
      <c r="G152" s="861"/>
      <c r="H152" s="861"/>
      <c r="I152" s="861"/>
      <c r="J152" s="861"/>
      <c r="K152" s="861"/>
      <c r="L152" s="861"/>
      <c r="M152" s="861"/>
      <c r="N152" s="861"/>
    </row>
    <row r="153" spans="2:14">
      <c r="B153" s="865"/>
      <c r="C153" s="861"/>
      <c r="D153" s="861"/>
      <c r="E153" s="861"/>
      <c r="F153" s="861"/>
      <c r="G153" s="861"/>
      <c r="H153" s="861"/>
      <c r="I153" s="861"/>
      <c r="J153" s="861"/>
      <c r="K153" s="861"/>
      <c r="L153" s="861"/>
      <c r="M153" s="861"/>
      <c r="N153" s="861"/>
    </row>
    <row r="154" spans="2:14">
      <c r="B154" s="865"/>
      <c r="C154" s="861"/>
      <c r="D154" s="861"/>
      <c r="E154" s="861"/>
      <c r="F154" s="861"/>
      <c r="G154" s="861"/>
      <c r="H154" s="861"/>
      <c r="I154" s="861"/>
      <c r="J154" s="861"/>
      <c r="K154" s="861"/>
      <c r="L154" s="861"/>
      <c r="M154" s="861"/>
      <c r="N154" s="861"/>
    </row>
    <row r="155" spans="2:14">
      <c r="B155" s="865"/>
      <c r="C155" s="861"/>
      <c r="D155" s="861"/>
      <c r="E155" s="861"/>
      <c r="F155" s="861"/>
      <c r="G155" s="861"/>
      <c r="H155" s="861"/>
      <c r="I155" s="861"/>
      <c r="J155" s="861"/>
      <c r="K155" s="861"/>
      <c r="L155" s="861"/>
      <c r="M155" s="861"/>
      <c r="N155" s="861"/>
    </row>
    <row r="156" spans="2:14">
      <c r="B156" s="865"/>
      <c r="C156" s="861"/>
      <c r="D156" s="861"/>
      <c r="E156" s="861"/>
      <c r="F156" s="861"/>
      <c r="G156" s="861"/>
      <c r="H156" s="861"/>
      <c r="I156" s="861"/>
      <c r="J156" s="861"/>
      <c r="K156" s="861"/>
      <c r="L156" s="861"/>
      <c r="M156" s="861"/>
      <c r="N156" s="861"/>
    </row>
    <row r="157" spans="2:14">
      <c r="B157" s="865"/>
      <c r="C157" s="861"/>
      <c r="D157" s="861"/>
      <c r="E157" s="861"/>
      <c r="F157" s="861"/>
      <c r="G157" s="861"/>
      <c r="H157" s="861"/>
      <c r="I157" s="861"/>
      <c r="J157" s="861"/>
      <c r="K157" s="861"/>
      <c r="L157" s="861"/>
      <c r="M157" s="861"/>
      <c r="N157" s="861"/>
    </row>
    <row r="158" spans="2:14">
      <c r="B158" s="865"/>
      <c r="C158" s="861"/>
      <c r="D158" s="861"/>
      <c r="E158" s="861"/>
      <c r="F158" s="861"/>
      <c r="G158" s="861"/>
      <c r="H158" s="861"/>
      <c r="I158" s="861"/>
      <c r="J158" s="861"/>
      <c r="K158" s="861"/>
      <c r="L158" s="861"/>
      <c r="M158" s="861"/>
      <c r="N158" s="861"/>
    </row>
    <row r="159" spans="2:14">
      <c r="B159" s="865"/>
      <c r="C159" s="861"/>
      <c r="D159" s="861"/>
      <c r="E159" s="861"/>
      <c r="F159" s="861"/>
      <c r="G159" s="861"/>
      <c r="H159" s="861"/>
      <c r="I159" s="861"/>
      <c r="J159" s="861"/>
      <c r="K159" s="861"/>
      <c r="L159" s="861"/>
      <c r="M159" s="861"/>
      <c r="N159" s="861"/>
    </row>
    <row r="160" spans="2:14">
      <c r="B160" s="865"/>
      <c r="C160" s="861"/>
      <c r="D160" s="861"/>
      <c r="E160" s="861"/>
      <c r="F160" s="861"/>
      <c r="G160" s="861"/>
      <c r="H160" s="861"/>
      <c r="I160" s="861"/>
      <c r="J160" s="861"/>
      <c r="K160" s="861"/>
      <c r="L160" s="861"/>
      <c r="M160" s="861"/>
      <c r="N160" s="861"/>
    </row>
    <row r="161" spans="2:14">
      <c r="B161" s="865"/>
      <c r="C161" s="861"/>
      <c r="D161" s="861"/>
      <c r="E161" s="861"/>
      <c r="F161" s="861"/>
      <c r="G161" s="861"/>
      <c r="H161" s="861"/>
      <c r="I161" s="861"/>
      <c r="J161" s="861"/>
      <c r="K161" s="861"/>
      <c r="L161" s="861"/>
      <c r="M161" s="861"/>
      <c r="N161" s="861"/>
    </row>
    <row r="162" spans="2:14">
      <c r="B162" s="865"/>
      <c r="C162" s="861"/>
      <c r="D162" s="861"/>
      <c r="E162" s="861"/>
      <c r="F162" s="861"/>
      <c r="G162" s="861"/>
      <c r="H162" s="861"/>
      <c r="I162" s="861"/>
      <c r="J162" s="861"/>
      <c r="K162" s="861"/>
      <c r="L162" s="861"/>
      <c r="M162" s="861"/>
      <c r="N162" s="861"/>
    </row>
    <row r="163" spans="2:14">
      <c r="B163" s="865"/>
      <c r="C163" s="861"/>
      <c r="D163" s="861"/>
      <c r="E163" s="861"/>
      <c r="F163" s="861"/>
      <c r="G163" s="861"/>
      <c r="H163" s="861"/>
      <c r="I163" s="861"/>
      <c r="J163" s="861"/>
      <c r="K163" s="861"/>
      <c r="L163" s="861"/>
      <c r="M163" s="861"/>
      <c r="N163" s="861"/>
    </row>
    <row r="164" spans="2:14">
      <c r="B164" s="865"/>
      <c r="C164" s="861"/>
      <c r="D164" s="861"/>
      <c r="E164" s="861"/>
      <c r="F164" s="861"/>
      <c r="G164" s="861"/>
      <c r="H164" s="861"/>
      <c r="I164" s="861"/>
      <c r="J164" s="861"/>
      <c r="K164" s="861"/>
      <c r="L164" s="861"/>
      <c r="M164" s="861"/>
      <c r="N164" s="861"/>
    </row>
    <row r="165" spans="2:14">
      <c r="B165" s="865"/>
      <c r="C165" s="861"/>
      <c r="D165" s="861"/>
      <c r="E165" s="861"/>
      <c r="F165" s="861"/>
      <c r="G165" s="861"/>
      <c r="H165" s="861"/>
      <c r="I165" s="861"/>
      <c r="J165" s="861"/>
      <c r="K165" s="861"/>
      <c r="L165" s="861"/>
      <c r="M165" s="861"/>
      <c r="N165" s="861"/>
    </row>
    <row r="166" spans="2:14">
      <c r="B166" s="865"/>
      <c r="C166" s="861"/>
      <c r="D166" s="861"/>
      <c r="E166" s="861"/>
      <c r="F166" s="861"/>
      <c r="G166" s="861"/>
      <c r="H166" s="861"/>
      <c r="I166" s="861"/>
      <c r="J166" s="861"/>
      <c r="K166" s="861"/>
      <c r="L166" s="861"/>
      <c r="M166" s="861"/>
      <c r="N166" s="861"/>
    </row>
    <row r="167" spans="2:14">
      <c r="B167" s="865"/>
      <c r="C167" s="861"/>
      <c r="D167" s="861"/>
      <c r="E167" s="861"/>
      <c r="F167" s="861"/>
      <c r="G167" s="861"/>
      <c r="H167" s="861"/>
      <c r="I167" s="861"/>
      <c r="J167" s="861"/>
      <c r="K167" s="861"/>
      <c r="L167" s="861"/>
      <c r="M167" s="861"/>
      <c r="N167" s="861"/>
    </row>
    <row r="168" spans="2:14">
      <c r="B168" s="865"/>
      <c r="C168" s="861"/>
      <c r="D168" s="861"/>
      <c r="E168" s="861"/>
      <c r="F168" s="861"/>
      <c r="G168" s="861"/>
      <c r="H168" s="861"/>
      <c r="I168" s="861"/>
      <c r="J168" s="861"/>
      <c r="K168" s="861"/>
      <c r="L168" s="861"/>
      <c r="M168" s="861"/>
      <c r="N168" s="861"/>
    </row>
    <row r="169" spans="2:14">
      <c r="B169" s="865"/>
      <c r="C169" s="861"/>
      <c r="D169" s="861"/>
      <c r="E169" s="861"/>
      <c r="F169" s="861"/>
      <c r="G169" s="861"/>
      <c r="H169" s="861"/>
      <c r="I169" s="861"/>
      <c r="J169" s="861"/>
      <c r="K169" s="861"/>
      <c r="L169" s="861"/>
      <c r="M169" s="861"/>
      <c r="N169" s="861"/>
    </row>
    <row r="170" spans="2:14">
      <c r="B170" s="865"/>
      <c r="C170" s="861"/>
      <c r="D170" s="861"/>
      <c r="E170" s="861"/>
      <c r="F170" s="861"/>
      <c r="G170" s="861"/>
      <c r="H170" s="861"/>
      <c r="I170" s="861"/>
      <c r="J170" s="861"/>
      <c r="K170" s="861"/>
      <c r="L170" s="861"/>
      <c r="M170" s="861"/>
      <c r="N170" s="861"/>
    </row>
    <row r="171" spans="2:14">
      <c r="B171" s="865"/>
      <c r="C171" s="861"/>
      <c r="D171" s="861"/>
      <c r="E171" s="861"/>
      <c r="F171" s="861"/>
      <c r="G171" s="861"/>
      <c r="H171" s="861"/>
      <c r="I171" s="861"/>
      <c r="J171" s="861"/>
      <c r="K171" s="861"/>
      <c r="L171" s="861"/>
      <c r="M171" s="861"/>
      <c r="N171" s="861"/>
    </row>
    <row r="172" spans="2:14">
      <c r="B172" s="865"/>
      <c r="C172" s="861"/>
      <c r="D172" s="861"/>
      <c r="E172" s="861"/>
      <c r="F172" s="861"/>
      <c r="G172" s="861"/>
      <c r="H172" s="861"/>
      <c r="I172" s="861"/>
      <c r="J172" s="861"/>
      <c r="K172" s="861"/>
      <c r="L172" s="861"/>
      <c r="M172" s="861"/>
      <c r="N172" s="861"/>
    </row>
    <row r="173" spans="2:14">
      <c r="B173" s="865"/>
      <c r="C173" s="861"/>
      <c r="D173" s="861"/>
      <c r="E173" s="861"/>
      <c r="F173" s="861"/>
      <c r="G173" s="861"/>
      <c r="H173" s="861"/>
      <c r="I173" s="861"/>
      <c r="J173" s="861"/>
      <c r="K173" s="861"/>
      <c r="L173" s="861"/>
      <c r="M173" s="861"/>
      <c r="N173" s="861"/>
    </row>
    <row r="174" spans="2:14">
      <c r="B174" s="865"/>
      <c r="C174" s="861"/>
      <c r="D174" s="861"/>
      <c r="E174" s="861"/>
      <c r="F174" s="861"/>
      <c r="G174" s="861"/>
      <c r="H174" s="861"/>
      <c r="I174" s="861"/>
      <c r="J174" s="861"/>
      <c r="K174" s="861"/>
      <c r="L174" s="861"/>
      <c r="M174" s="861"/>
      <c r="N174" s="861"/>
    </row>
    <row r="175" spans="2:14">
      <c r="B175" s="865"/>
      <c r="C175" s="861"/>
      <c r="D175" s="861"/>
      <c r="E175" s="861"/>
      <c r="F175" s="861"/>
      <c r="G175" s="861"/>
      <c r="H175" s="861"/>
      <c r="I175" s="861"/>
      <c r="J175" s="861"/>
      <c r="K175" s="861"/>
      <c r="L175" s="861"/>
      <c r="M175" s="861"/>
      <c r="N175" s="861"/>
    </row>
    <row r="176" spans="2:14">
      <c r="B176" s="865"/>
      <c r="C176" s="861"/>
      <c r="D176" s="861"/>
      <c r="E176" s="861"/>
      <c r="F176" s="861"/>
      <c r="G176" s="861"/>
      <c r="H176" s="861"/>
      <c r="I176" s="861"/>
      <c r="J176" s="861"/>
      <c r="K176" s="861"/>
      <c r="L176" s="861"/>
      <c r="M176" s="861"/>
      <c r="N176" s="861"/>
    </row>
    <row r="177" spans="2:14">
      <c r="B177" s="865"/>
      <c r="C177" s="861"/>
      <c r="D177" s="861"/>
      <c r="E177" s="861"/>
      <c r="F177" s="861"/>
      <c r="G177" s="861"/>
      <c r="H177" s="861"/>
      <c r="I177" s="861"/>
      <c r="J177" s="861"/>
      <c r="K177" s="861"/>
      <c r="L177" s="861"/>
      <c r="M177" s="861"/>
      <c r="N177" s="861"/>
    </row>
    <row r="178" spans="2:14">
      <c r="B178" s="865"/>
      <c r="C178" s="861"/>
      <c r="D178" s="861"/>
      <c r="E178" s="861"/>
      <c r="F178" s="861"/>
      <c r="G178" s="861"/>
      <c r="H178" s="861"/>
      <c r="I178" s="861"/>
      <c r="J178" s="861"/>
      <c r="K178" s="861"/>
      <c r="L178" s="861"/>
      <c r="M178" s="861"/>
      <c r="N178" s="861"/>
    </row>
    <row r="179" spans="2:14">
      <c r="B179" s="865"/>
      <c r="C179" s="861"/>
      <c r="D179" s="861"/>
      <c r="E179" s="861"/>
      <c r="F179" s="861"/>
      <c r="G179" s="861"/>
      <c r="H179" s="861"/>
      <c r="I179" s="861"/>
      <c r="J179" s="861"/>
      <c r="K179" s="861"/>
      <c r="L179" s="861"/>
      <c r="M179" s="861"/>
      <c r="N179" s="861"/>
    </row>
    <row r="180" spans="2:14">
      <c r="B180" s="865"/>
      <c r="C180" s="861"/>
      <c r="D180" s="861"/>
      <c r="E180" s="861"/>
      <c r="F180" s="861"/>
      <c r="G180" s="861"/>
      <c r="H180" s="861"/>
      <c r="I180" s="861"/>
      <c r="J180" s="861"/>
      <c r="K180" s="861"/>
      <c r="L180" s="861"/>
      <c r="M180" s="861"/>
      <c r="N180" s="861"/>
    </row>
    <row r="181" spans="2:14">
      <c r="B181" s="865"/>
      <c r="C181" s="861"/>
      <c r="D181" s="861"/>
      <c r="E181" s="861"/>
      <c r="F181" s="861"/>
      <c r="G181" s="861"/>
      <c r="H181" s="861"/>
      <c r="I181" s="861"/>
      <c r="J181" s="861"/>
      <c r="K181" s="861"/>
      <c r="L181" s="861"/>
      <c r="M181" s="861"/>
      <c r="N181" s="861"/>
    </row>
    <row r="182" spans="2:14">
      <c r="B182" s="865"/>
      <c r="C182" s="861"/>
      <c r="D182" s="861"/>
      <c r="E182" s="861"/>
      <c r="F182" s="861"/>
      <c r="G182" s="861"/>
      <c r="H182" s="861"/>
      <c r="I182" s="861"/>
      <c r="J182" s="861"/>
      <c r="K182" s="861"/>
      <c r="L182" s="861"/>
      <c r="M182" s="861"/>
      <c r="N182" s="861"/>
    </row>
    <row r="183" spans="2:14">
      <c r="B183" s="865"/>
      <c r="C183" s="861"/>
      <c r="D183" s="861"/>
      <c r="E183" s="861"/>
      <c r="F183" s="861"/>
      <c r="G183" s="861"/>
      <c r="H183" s="861"/>
      <c r="I183" s="861"/>
      <c r="J183" s="861"/>
      <c r="K183" s="861"/>
      <c r="L183" s="861"/>
      <c r="M183" s="861"/>
      <c r="N183" s="861"/>
    </row>
    <row r="184" spans="2:14">
      <c r="B184" s="865"/>
      <c r="C184" s="861"/>
      <c r="D184" s="861"/>
      <c r="E184" s="861"/>
      <c r="F184" s="861"/>
      <c r="G184" s="861"/>
      <c r="H184" s="861"/>
      <c r="I184" s="861"/>
      <c r="J184" s="861"/>
      <c r="K184" s="861"/>
      <c r="L184" s="861"/>
      <c r="M184" s="861"/>
      <c r="N184" s="861"/>
    </row>
    <row r="185" spans="2:14">
      <c r="B185" s="865"/>
      <c r="C185" s="861"/>
      <c r="D185" s="861"/>
      <c r="E185" s="861"/>
      <c r="F185" s="861"/>
      <c r="G185" s="861"/>
      <c r="H185" s="861"/>
      <c r="I185" s="861"/>
      <c r="J185" s="861"/>
      <c r="K185" s="861"/>
      <c r="L185" s="861"/>
      <c r="M185" s="861"/>
      <c r="N185" s="861"/>
    </row>
    <row r="186" spans="2:14">
      <c r="B186" s="865"/>
      <c r="C186" s="861"/>
      <c r="D186" s="861"/>
      <c r="E186" s="861"/>
      <c r="F186" s="861"/>
      <c r="G186" s="861"/>
      <c r="H186" s="861"/>
      <c r="I186" s="861"/>
      <c r="J186" s="861"/>
      <c r="K186" s="861"/>
      <c r="L186" s="861"/>
      <c r="M186" s="861"/>
      <c r="N186" s="861"/>
    </row>
    <row r="187" spans="2:14">
      <c r="B187" s="865"/>
      <c r="C187" s="861"/>
      <c r="D187" s="861"/>
      <c r="E187" s="861"/>
      <c r="F187" s="861"/>
      <c r="G187" s="861"/>
      <c r="H187" s="861"/>
      <c r="I187" s="861"/>
      <c r="J187" s="861"/>
      <c r="K187" s="861"/>
      <c r="L187" s="861"/>
      <c r="M187" s="861"/>
      <c r="N187" s="861"/>
    </row>
    <row r="188" spans="2:14">
      <c r="B188" s="865"/>
      <c r="C188" s="861"/>
      <c r="D188" s="861"/>
      <c r="E188" s="861"/>
      <c r="F188" s="861"/>
      <c r="G188" s="861"/>
      <c r="H188" s="861"/>
      <c r="I188" s="861"/>
      <c r="J188" s="861"/>
      <c r="K188" s="861"/>
      <c r="L188" s="861"/>
      <c r="M188" s="861"/>
      <c r="N188" s="861"/>
    </row>
    <row r="189" spans="2:14">
      <c r="B189" s="865"/>
      <c r="C189" s="861"/>
      <c r="D189" s="861"/>
      <c r="E189" s="861"/>
      <c r="F189" s="861"/>
      <c r="G189" s="861"/>
      <c r="H189" s="861"/>
      <c r="I189" s="861"/>
      <c r="J189" s="861"/>
      <c r="K189" s="861"/>
      <c r="L189" s="861"/>
      <c r="M189" s="861"/>
      <c r="N189" s="861"/>
    </row>
    <row r="190" spans="2:14">
      <c r="B190" s="865"/>
      <c r="C190" s="861"/>
      <c r="D190" s="861"/>
      <c r="E190" s="861"/>
      <c r="F190" s="861"/>
      <c r="G190" s="861"/>
      <c r="H190" s="861"/>
      <c r="I190" s="861"/>
      <c r="J190" s="861"/>
      <c r="K190" s="861"/>
      <c r="L190" s="861"/>
      <c r="M190" s="861"/>
      <c r="N190" s="861"/>
    </row>
    <row r="191" spans="2:14">
      <c r="B191" s="865"/>
      <c r="C191" s="861"/>
      <c r="D191" s="861"/>
      <c r="E191" s="861"/>
      <c r="F191" s="861"/>
      <c r="G191" s="861"/>
      <c r="H191" s="861"/>
      <c r="I191" s="861"/>
      <c r="J191" s="861"/>
      <c r="K191" s="861"/>
      <c r="L191" s="861"/>
      <c r="M191" s="861"/>
      <c r="N191" s="861"/>
    </row>
    <row r="192" spans="2:14">
      <c r="B192" s="865"/>
      <c r="C192" s="861"/>
      <c r="D192" s="861"/>
      <c r="E192" s="861"/>
      <c r="F192" s="861"/>
      <c r="G192" s="861"/>
      <c r="H192" s="861"/>
      <c r="I192" s="861"/>
      <c r="J192" s="861"/>
      <c r="K192" s="861"/>
      <c r="L192" s="861"/>
      <c r="M192" s="861"/>
      <c r="N192" s="861"/>
    </row>
    <row r="193" spans="2:14">
      <c r="B193" s="865"/>
      <c r="C193" s="861"/>
      <c r="D193" s="861"/>
      <c r="E193" s="861"/>
      <c r="F193" s="861"/>
      <c r="G193" s="861"/>
      <c r="H193" s="861"/>
      <c r="I193" s="861"/>
      <c r="J193" s="861"/>
      <c r="K193" s="861"/>
      <c r="L193" s="861"/>
      <c r="M193" s="861"/>
      <c r="N193" s="861"/>
    </row>
    <row r="194" spans="2:14">
      <c r="B194" s="865"/>
      <c r="C194" s="861"/>
      <c r="D194" s="861"/>
      <c r="E194" s="861"/>
      <c r="F194" s="861"/>
      <c r="G194" s="861"/>
      <c r="H194" s="861"/>
      <c r="I194" s="861"/>
      <c r="J194" s="861"/>
      <c r="K194" s="861"/>
      <c r="L194" s="861"/>
      <c r="M194" s="861"/>
      <c r="N194" s="861"/>
    </row>
    <row r="195" spans="2:14">
      <c r="B195" s="865"/>
      <c r="C195" s="861"/>
      <c r="D195" s="861"/>
      <c r="E195" s="861"/>
      <c r="F195" s="861"/>
      <c r="G195" s="861"/>
      <c r="H195" s="861"/>
      <c r="I195" s="861"/>
      <c r="J195" s="861"/>
      <c r="K195" s="861"/>
      <c r="L195" s="861"/>
      <c r="M195" s="861"/>
      <c r="N195" s="861"/>
    </row>
    <row r="196" spans="2:14">
      <c r="B196" s="865"/>
      <c r="C196" s="861"/>
      <c r="D196" s="861"/>
      <c r="E196" s="861"/>
      <c r="F196" s="861"/>
      <c r="G196" s="861"/>
      <c r="H196" s="861"/>
      <c r="I196" s="861"/>
      <c r="J196" s="861"/>
      <c r="K196" s="861"/>
      <c r="L196" s="861"/>
      <c r="M196" s="861"/>
      <c r="N196" s="861"/>
    </row>
    <row r="197" spans="2:14">
      <c r="B197" s="865"/>
      <c r="C197" s="861"/>
      <c r="D197" s="861"/>
      <c r="E197" s="861"/>
      <c r="F197" s="861"/>
      <c r="G197" s="861"/>
      <c r="H197" s="861"/>
      <c r="I197" s="861"/>
      <c r="J197" s="861"/>
      <c r="K197" s="861"/>
      <c r="L197" s="861"/>
      <c r="M197" s="861"/>
      <c r="N197" s="861"/>
    </row>
    <row r="198" spans="2:14">
      <c r="B198" s="865"/>
      <c r="C198" s="861"/>
      <c r="D198" s="861"/>
      <c r="E198" s="861"/>
      <c r="F198" s="861"/>
      <c r="G198" s="861"/>
      <c r="H198" s="861"/>
      <c r="I198" s="861"/>
      <c r="J198" s="861"/>
      <c r="K198" s="861"/>
      <c r="L198" s="861"/>
      <c r="M198" s="861"/>
      <c r="N198" s="861"/>
    </row>
    <row r="199" spans="2:14">
      <c r="B199" s="865"/>
      <c r="C199" s="861"/>
      <c r="D199" s="861"/>
      <c r="E199" s="861"/>
      <c r="F199" s="861"/>
      <c r="G199" s="861"/>
      <c r="H199" s="861"/>
      <c r="I199" s="861"/>
      <c r="J199" s="861"/>
      <c r="K199" s="861"/>
      <c r="L199" s="861"/>
      <c r="M199" s="861"/>
      <c r="N199" s="861"/>
    </row>
    <row r="200" spans="2:14">
      <c r="B200" s="865"/>
      <c r="C200" s="861"/>
      <c r="D200" s="861"/>
      <c r="E200" s="861"/>
      <c r="F200" s="861"/>
      <c r="G200" s="861"/>
      <c r="H200" s="861"/>
      <c r="I200" s="861"/>
      <c r="J200" s="861"/>
      <c r="K200" s="861"/>
      <c r="L200" s="861"/>
      <c r="M200" s="861"/>
      <c r="N200" s="861"/>
    </row>
    <row r="201" spans="2:14">
      <c r="B201" s="865"/>
      <c r="C201" s="861"/>
      <c r="D201" s="861"/>
      <c r="E201" s="861"/>
      <c r="F201" s="861"/>
      <c r="G201" s="861"/>
      <c r="H201" s="861"/>
      <c r="I201" s="861"/>
      <c r="J201" s="861"/>
      <c r="K201" s="861"/>
      <c r="L201" s="861"/>
      <c r="M201" s="861"/>
      <c r="N201" s="861"/>
    </row>
    <row r="202" spans="2:14">
      <c r="B202" s="865"/>
      <c r="C202" s="861"/>
      <c r="D202" s="861"/>
      <c r="E202" s="861"/>
      <c r="F202" s="861"/>
      <c r="G202" s="861"/>
      <c r="H202" s="861"/>
      <c r="I202" s="861"/>
      <c r="J202" s="861"/>
      <c r="K202" s="861"/>
      <c r="L202" s="861"/>
      <c r="M202" s="861"/>
      <c r="N202" s="861"/>
    </row>
    <row r="203" spans="2:14">
      <c r="B203" s="865"/>
      <c r="C203" s="861"/>
      <c r="D203" s="861"/>
      <c r="E203" s="861"/>
      <c r="F203" s="861"/>
      <c r="G203" s="861"/>
      <c r="H203" s="861"/>
      <c r="I203" s="861"/>
      <c r="J203" s="861"/>
      <c r="K203" s="861"/>
      <c r="L203" s="861"/>
      <c r="M203" s="861"/>
      <c r="N203" s="861"/>
    </row>
    <row r="204" spans="2:14">
      <c r="B204" s="865"/>
      <c r="C204" s="861"/>
      <c r="D204" s="861"/>
      <c r="E204" s="861"/>
      <c r="F204" s="861"/>
      <c r="G204" s="861"/>
      <c r="H204" s="861"/>
      <c r="I204" s="861"/>
      <c r="J204" s="861"/>
      <c r="K204" s="861"/>
      <c r="L204" s="861"/>
      <c r="M204" s="861"/>
      <c r="N204" s="861"/>
    </row>
    <row r="205" spans="2:14">
      <c r="B205" s="865"/>
      <c r="C205" s="861"/>
      <c r="D205" s="861"/>
      <c r="E205" s="861"/>
      <c r="F205" s="861"/>
      <c r="G205" s="861"/>
      <c r="H205" s="861"/>
      <c r="I205" s="861"/>
      <c r="J205" s="861"/>
      <c r="K205" s="861"/>
      <c r="L205" s="861"/>
      <c r="M205" s="861"/>
      <c r="N205" s="861"/>
    </row>
    <row r="206" spans="2:14">
      <c r="B206" s="865"/>
      <c r="C206" s="861"/>
      <c r="D206" s="861"/>
      <c r="E206" s="861"/>
      <c r="F206" s="861"/>
      <c r="G206" s="861"/>
      <c r="H206" s="861"/>
      <c r="I206" s="861"/>
      <c r="J206" s="861"/>
      <c r="K206" s="861"/>
      <c r="L206" s="861"/>
      <c r="M206" s="861"/>
      <c r="N206" s="861"/>
    </row>
    <row r="207" spans="2:14">
      <c r="B207" s="865"/>
      <c r="C207" s="861"/>
      <c r="D207" s="861"/>
      <c r="E207" s="861"/>
      <c r="F207" s="861"/>
      <c r="G207" s="861"/>
      <c r="H207" s="861"/>
      <c r="I207" s="861"/>
      <c r="J207" s="861"/>
      <c r="K207" s="861"/>
      <c r="L207" s="861"/>
      <c r="M207" s="861"/>
      <c r="N207" s="861"/>
    </row>
    <row r="208" spans="2:14">
      <c r="B208" s="865"/>
      <c r="C208" s="861"/>
      <c r="D208" s="861"/>
      <c r="E208" s="861"/>
      <c r="F208" s="861"/>
      <c r="G208" s="861"/>
      <c r="H208" s="861"/>
      <c r="I208" s="861"/>
      <c r="J208" s="861"/>
      <c r="K208" s="861"/>
      <c r="L208" s="861"/>
      <c r="M208" s="861"/>
      <c r="N208" s="861"/>
    </row>
    <row r="209" spans="2:14">
      <c r="B209" s="865"/>
      <c r="C209" s="861"/>
      <c r="D209" s="861"/>
      <c r="E209" s="861"/>
      <c r="F209" s="861"/>
      <c r="G209" s="861"/>
      <c r="H209" s="861"/>
      <c r="I209" s="861"/>
      <c r="J209" s="861"/>
      <c r="K209" s="861"/>
      <c r="L209" s="861"/>
      <c r="M209" s="861"/>
      <c r="N209" s="861"/>
    </row>
    <row r="210" spans="2:14">
      <c r="B210" s="865"/>
      <c r="C210" s="861"/>
      <c r="D210" s="861"/>
      <c r="E210" s="861"/>
      <c r="F210" s="861"/>
      <c r="G210" s="861"/>
      <c r="H210" s="861"/>
      <c r="I210" s="861"/>
      <c r="J210" s="861"/>
      <c r="K210" s="861"/>
      <c r="L210" s="861"/>
      <c r="M210" s="861"/>
      <c r="N210" s="861"/>
    </row>
    <row r="211" spans="2:14">
      <c r="B211" s="865"/>
      <c r="C211" s="861"/>
      <c r="D211" s="861"/>
      <c r="E211" s="861"/>
      <c r="F211" s="861"/>
      <c r="G211" s="861"/>
      <c r="H211" s="861"/>
      <c r="I211" s="861"/>
      <c r="J211" s="861"/>
      <c r="K211" s="861"/>
      <c r="L211" s="861"/>
      <c r="M211" s="861"/>
      <c r="N211" s="861"/>
    </row>
    <row r="212" spans="2:14">
      <c r="B212" s="865"/>
      <c r="C212" s="861"/>
      <c r="D212" s="861"/>
      <c r="E212" s="861"/>
      <c r="F212" s="861"/>
      <c r="G212" s="861"/>
      <c r="H212" s="861"/>
      <c r="I212" s="861"/>
      <c r="J212" s="861"/>
      <c r="K212" s="861"/>
      <c r="L212" s="861"/>
      <c r="M212" s="861"/>
      <c r="N212" s="861"/>
    </row>
    <row r="213" spans="2:14">
      <c r="B213" s="865"/>
      <c r="C213" s="861"/>
      <c r="D213" s="861"/>
      <c r="E213" s="861"/>
      <c r="F213" s="861"/>
      <c r="G213" s="861"/>
      <c r="H213" s="861"/>
      <c r="I213" s="861"/>
      <c r="J213" s="861"/>
      <c r="K213" s="861"/>
      <c r="L213" s="861"/>
      <c r="M213" s="861"/>
      <c r="N213" s="861"/>
    </row>
    <row r="214" spans="2:14">
      <c r="B214" s="865"/>
      <c r="C214" s="861"/>
      <c r="D214" s="861"/>
      <c r="E214" s="861"/>
      <c r="F214" s="861"/>
      <c r="G214" s="861"/>
      <c r="H214" s="861"/>
      <c r="I214" s="861"/>
      <c r="J214" s="861"/>
      <c r="K214" s="861"/>
      <c r="L214" s="861"/>
      <c r="M214" s="861"/>
      <c r="N214" s="861"/>
    </row>
    <row r="215" spans="2:14">
      <c r="B215" s="865"/>
      <c r="C215" s="861"/>
      <c r="D215" s="861"/>
      <c r="E215" s="861"/>
      <c r="F215" s="861"/>
      <c r="G215" s="861"/>
      <c r="H215" s="861"/>
      <c r="I215" s="861"/>
      <c r="J215" s="861"/>
      <c r="K215" s="861"/>
      <c r="L215" s="861"/>
      <c r="M215" s="861"/>
      <c r="N215" s="861"/>
    </row>
    <row r="216" spans="2:14">
      <c r="B216" s="865"/>
      <c r="C216" s="861"/>
      <c r="D216" s="861"/>
      <c r="E216" s="861"/>
      <c r="F216" s="861"/>
      <c r="G216" s="861"/>
      <c r="H216" s="861"/>
      <c r="I216" s="861"/>
      <c r="J216" s="861"/>
      <c r="K216" s="861"/>
      <c r="L216" s="861"/>
      <c r="M216" s="861"/>
      <c r="N216" s="861"/>
    </row>
    <row r="217" spans="2:14">
      <c r="B217" s="865"/>
      <c r="C217" s="861"/>
      <c r="D217" s="861"/>
      <c r="E217" s="861"/>
      <c r="F217" s="861"/>
      <c r="G217" s="861"/>
      <c r="H217" s="861"/>
      <c r="I217" s="861"/>
      <c r="J217" s="861"/>
      <c r="K217" s="861"/>
      <c r="L217" s="861"/>
      <c r="M217" s="861"/>
      <c r="N217" s="861"/>
    </row>
    <row r="218" spans="2:14">
      <c r="B218" s="865"/>
      <c r="C218" s="861"/>
      <c r="D218" s="861"/>
      <c r="E218" s="861"/>
      <c r="F218" s="861"/>
      <c r="G218" s="861"/>
      <c r="H218" s="861"/>
      <c r="I218" s="861"/>
      <c r="J218" s="861"/>
      <c r="K218" s="861"/>
      <c r="L218" s="861"/>
      <c r="M218" s="861"/>
      <c r="N218" s="861"/>
    </row>
    <row r="219" spans="2:14">
      <c r="B219" s="865"/>
      <c r="C219" s="861"/>
      <c r="D219" s="861"/>
      <c r="E219" s="861"/>
      <c r="F219" s="861"/>
      <c r="G219" s="861"/>
      <c r="H219" s="861"/>
      <c r="I219" s="861"/>
      <c r="J219" s="861"/>
      <c r="K219" s="861"/>
      <c r="L219" s="861"/>
      <c r="M219" s="861"/>
      <c r="N219" s="861"/>
    </row>
    <row r="220" spans="2:14">
      <c r="B220" s="865"/>
      <c r="C220" s="861"/>
      <c r="D220" s="861"/>
      <c r="E220" s="861"/>
      <c r="F220" s="861"/>
      <c r="G220" s="861"/>
      <c r="H220" s="861"/>
      <c r="I220" s="861"/>
      <c r="J220" s="861"/>
      <c r="K220" s="861"/>
      <c r="L220" s="861"/>
      <c r="M220" s="861"/>
      <c r="N220" s="861"/>
    </row>
    <row r="221" spans="2:14">
      <c r="B221" s="865"/>
      <c r="C221" s="861"/>
      <c r="D221" s="861"/>
      <c r="E221" s="861"/>
      <c r="F221" s="861"/>
      <c r="G221" s="861"/>
      <c r="H221" s="861"/>
      <c r="I221" s="861"/>
      <c r="J221" s="861"/>
      <c r="K221" s="861"/>
      <c r="L221" s="861"/>
      <c r="M221" s="861"/>
      <c r="N221" s="861"/>
    </row>
    <row r="222" spans="2:14">
      <c r="B222" s="865"/>
      <c r="C222" s="861"/>
      <c r="D222" s="861"/>
      <c r="E222" s="861"/>
      <c r="F222" s="861"/>
      <c r="G222" s="861"/>
      <c r="H222" s="861"/>
      <c r="I222" s="861"/>
      <c r="J222" s="861"/>
      <c r="K222" s="861"/>
      <c r="L222" s="861"/>
      <c r="M222" s="861"/>
      <c r="N222" s="861"/>
    </row>
    <row r="223" spans="2:14">
      <c r="B223" s="865"/>
      <c r="C223" s="861"/>
      <c r="D223" s="861"/>
      <c r="E223" s="861"/>
      <c r="F223" s="861"/>
      <c r="G223" s="861"/>
      <c r="H223" s="861"/>
      <c r="I223" s="861"/>
      <c r="J223" s="861"/>
      <c r="K223" s="861"/>
      <c r="L223" s="861"/>
      <c r="M223" s="861"/>
      <c r="N223" s="861"/>
    </row>
    <row r="224" spans="2:14">
      <c r="B224" s="865"/>
      <c r="C224" s="861"/>
      <c r="D224" s="861"/>
      <c r="E224" s="861"/>
      <c r="F224" s="861"/>
      <c r="G224" s="861"/>
      <c r="H224" s="861"/>
      <c r="I224" s="861"/>
      <c r="J224" s="861"/>
      <c r="K224" s="861"/>
      <c r="L224" s="861"/>
      <c r="M224" s="861"/>
      <c r="N224" s="861"/>
    </row>
    <row r="225" spans="2:14">
      <c r="B225" s="865"/>
      <c r="C225" s="861"/>
      <c r="D225" s="861"/>
      <c r="E225" s="861"/>
      <c r="F225" s="861"/>
      <c r="G225" s="861"/>
      <c r="H225" s="861"/>
      <c r="I225" s="861"/>
      <c r="J225" s="861"/>
      <c r="K225" s="861"/>
      <c r="L225" s="861"/>
      <c r="M225" s="861"/>
      <c r="N225" s="861"/>
    </row>
    <row r="226" spans="2:14">
      <c r="B226" s="865"/>
      <c r="C226" s="861"/>
      <c r="D226" s="861"/>
      <c r="E226" s="861"/>
      <c r="F226" s="861"/>
      <c r="G226" s="861"/>
      <c r="H226" s="861"/>
      <c r="I226" s="861"/>
      <c r="J226" s="861"/>
      <c r="K226" s="861"/>
      <c r="L226" s="861"/>
      <c r="M226" s="861"/>
      <c r="N226" s="861"/>
    </row>
    <row r="227" spans="2:14">
      <c r="B227" s="865"/>
      <c r="C227" s="861"/>
      <c r="D227" s="861"/>
      <c r="E227" s="861"/>
      <c r="F227" s="861"/>
      <c r="G227" s="861"/>
      <c r="H227" s="861"/>
      <c r="I227" s="861"/>
      <c r="J227" s="861"/>
      <c r="K227" s="861"/>
      <c r="L227" s="861"/>
      <c r="M227" s="861"/>
      <c r="N227" s="861"/>
    </row>
    <row r="228" spans="2:14">
      <c r="B228" s="865"/>
      <c r="C228" s="861"/>
      <c r="D228" s="861"/>
      <c r="E228" s="861"/>
      <c r="F228" s="861"/>
      <c r="G228" s="861"/>
      <c r="H228" s="861"/>
      <c r="I228" s="861"/>
      <c r="J228" s="861"/>
      <c r="K228" s="861"/>
      <c r="L228" s="861"/>
      <c r="M228" s="861"/>
      <c r="N228" s="861"/>
    </row>
    <row r="229" spans="2:14">
      <c r="B229" s="865"/>
      <c r="C229" s="861"/>
      <c r="D229" s="861"/>
      <c r="E229" s="861"/>
      <c r="F229" s="861"/>
      <c r="G229" s="861"/>
      <c r="H229" s="861"/>
      <c r="I229" s="861"/>
      <c r="J229" s="861"/>
      <c r="K229" s="861"/>
      <c r="L229" s="861"/>
      <c r="M229" s="861"/>
      <c r="N229" s="861"/>
    </row>
    <row r="230" spans="2:14">
      <c r="B230" s="865"/>
      <c r="C230" s="861"/>
      <c r="D230" s="861"/>
      <c r="E230" s="861"/>
      <c r="F230" s="861"/>
      <c r="G230" s="861"/>
      <c r="H230" s="861"/>
      <c r="I230" s="861"/>
      <c r="J230" s="861"/>
      <c r="K230" s="861"/>
      <c r="L230" s="861"/>
      <c r="M230" s="861"/>
      <c r="N230" s="861"/>
    </row>
    <row r="231" spans="2:14">
      <c r="B231" s="865"/>
      <c r="C231" s="861"/>
      <c r="D231" s="861"/>
      <c r="E231" s="861"/>
      <c r="F231" s="861"/>
      <c r="G231" s="861"/>
      <c r="H231" s="861"/>
      <c r="I231" s="861"/>
      <c r="J231" s="861"/>
      <c r="K231" s="861"/>
      <c r="L231" s="861"/>
      <c r="M231" s="861"/>
      <c r="N231" s="861"/>
    </row>
    <row r="232" spans="2:14">
      <c r="B232" s="865"/>
      <c r="C232" s="861"/>
      <c r="D232" s="861"/>
      <c r="E232" s="861"/>
      <c r="F232" s="861"/>
      <c r="G232" s="861"/>
      <c r="H232" s="861"/>
      <c r="I232" s="861"/>
      <c r="J232" s="861"/>
      <c r="K232" s="861"/>
      <c r="L232" s="861"/>
      <c r="M232" s="861"/>
      <c r="N232" s="861"/>
    </row>
    <row r="233" spans="2:14">
      <c r="B233" s="865"/>
      <c r="C233" s="861"/>
      <c r="D233" s="861"/>
      <c r="E233" s="861"/>
      <c r="F233" s="861"/>
      <c r="G233" s="861"/>
      <c r="H233" s="861"/>
      <c r="I233" s="861"/>
      <c r="J233" s="861"/>
      <c r="K233" s="861"/>
      <c r="L233" s="861"/>
      <c r="M233" s="861"/>
      <c r="N233" s="861"/>
    </row>
    <row r="234" spans="2:14">
      <c r="B234" s="865"/>
      <c r="C234" s="861"/>
      <c r="D234" s="861"/>
      <c r="E234" s="861"/>
      <c r="F234" s="861"/>
      <c r="G234" s="861"/>
      <c r="H234" s="861"/>
      <c r="I234" s="861"/>
      <c r="J234" s="861"/>
      <c r="K234" s="861"/>
      <c r="L234" s="861"/>
      <c r="M234" s="861"/>
      <c r="N234" s="861"/>
    </row>
    <row r="235" spans="2:14">
      <c r="B235" s="865"/>
      <c r="C235" s="861"/>
      <c r="D235" s="861"/>
      <c r="E235" s="861"/>
      <c r="F235" s="861"/>
      <c r="G235" s="861"/>
      <c r="H235" s="861"/>
      <c r="I235" s="861"/>
      <c r="J235" s="861"/>
      <c r="K235" s="861"/>
      <c r="L235" s="861"/>
      <c r="M235" s="861"/>
      <c r="N235" s="861"/>
    </row>
    <row r="236" spans="2:14">
      <c r="B236" s="865"/>
      <c r="C236" s="861"/>
      <c r="D236" s="861"/>
      <c r="E236" s="861"/>
      <c r="F236" s="861"/>
      <c r="G236" s="861"/>
      <c r="H236" s="861"/>
      <c r="I236" s="861"/>
      <c r="J236" s="861"/>
      <c r="K236" s="861"/>
      <c r="L236" s="861"/>
      <c r="M236" s="861"/>
      <c r="N236" s="861"/>
    </row>
    <row r="237" spans="2:14">
      <c r="B237" s="865"/>
      <c r="C237" s="861"/>
      <c r="D237" s="861"/>
      <c r="E237" s="861"/>
      <c r="F237" s="861"/>
      <c r="G237" s="861"/>
      <c r="H237" s="861"/>
      <c r="I237" s="861"/>
      <c r="J237" s="861"/>
      <c r="K237" s="861"/>
      <c r="L237" s="861"/>
      <c r="M237" s="861"/>
      <c r="N237" s="861"/>
    </row>
    <row r="238" spans="2:14">
      <c r="B238" s="865"/>
      <c r="C238" s="861"/>
      <c r="D238" s="861"/>
      <c r="E238" s="861"/>
      <c r="F238" s="861"/>
      <c r="G238" s="861"/>
      <c r="H238" s="861"/>
      <c r="I238" s="861"/>
      <c r="J238" s="861"/>
      <c r="K238" s="861"/>
      <c r="L238" s="861"/>
      <c r="M238" s="861"/>
      <c r="N238" s="861"/>
    </row>
    <row r="239" spans="2:14">
      <c r="B239" s="865"/>
      <c r="C239" s="861"/>
      <c r="D239" s="861"/>
      <c r="E239" s="861"/>
      <c r="F239" s="861"/>
      <c r="G239" s="861"/>
      <c r="H239" s="861"/>
      <c r="I239" s="861"/>
      <c r="J239" s="861"/>
      <c r="K239" s="861"/>
      <c r="L239" s="861"/>
      <c r="M239" s="861"/>
      <c r="N239" s="861"/>
    </row>
    <row r="240" spans="2:14">
      <c r="B240" s="865"/>
      <c r="C240" s="861"/>
      <c r="D240" s="861"/>
      <c r="E240" s="861"/>
      <c r="F240" s="861"/>
      <c r="G240" s="861"/>
      <c r="H240" s="861"/>
      <c r="I240" s="861"/>
      <c r="J240" s="861"/>
      <c r="K240" s="861"/>
      <c r="L240" s="861"/>
      <c r="M240" s="861"/>
      <c r="N240" s="861"/>
    </row>
    <row r="241" spans="2:14">
      <c r="B241" s="865"/>
      <c r="C241" s="861"/>
      <c r="D241" s="861"/>
      <c r="E241" s="861"/>
      <c r="F241" s="861"/>
      <c r="G241" s="861"/>
      <c r="H241" s="861"/>
      <c r="I241" s="861"/>
      <c r="J241" s="861"/>
      <c r="K241" s="861"/>
      <c r="L241" s="861"/>
      <c r="M241" s="861"/>
      <c r="N241" s="861"/>
    </row>
    <row r="242" spans="2:14">
      <c r="B242" s="865"/>
      <c r="C242" s="861"/>
      <c r="D242" s="861"/>
      <c r="E242" s="861"/>
      <c r="F242" s="861"/>
      <c r="G242" s="861"/>
      <c r="H242" s="861"/>
      <c r="I242" s="861"/>
      <c r="J242" s="861"/>
      <c r="K242" s="861"/>
      <c r="L242" s="861"/>
      <c r="M242" s="861"/>
      <c r="N242" s="861"/>
    </row>
    <row r="243" spans="2:14">
      <c r="B243" s="865"/>
      <c r="C243" s="861"/>
      <c r="D243" s="861"/>
      <c r="E243" s="861"/>
      <c r="F243" s="861"/>
      <c r="G243" s="861"/>
      <c r="H243" s="861"/>
      <c r="I243" s="861"/>
      <c r="J243" s="861"/>
      <c r="K243" s="861"/>
      <c r="L243" s="861"/>
      <c r="M243" s="861"/>
      <c r="N243" s="861"/>
    </row>
    <row r="244" spans="2:14">
      <c r="B244" s="865"/>
      <c r="C244" s="861"/>
      <c r="D244" s="861"/>
      <c r="E244" s="861"/>
      <c r="F244" s="861"/>
      <c r="G244" s="861"/>
      <c r="H244" s="861"/>
      <c r="I244" s="861"/>
      <c r="J244" s="861"/>
      <c r="K244" s="861"/>
      <c r="L244" s="861"/>
      <c r="M244" s="861"/>
      <c r="N244" s="861"/>
    </row>
    <row r="245" spans="2:14">
      <c r="B245" s="865"/>
      <c r="C245" s="861"/>
      <c r="D245" s="861"/>
      <c r="E245" s="861"/>
      <c r="F245" s="861"/>
      <c r="G245" s="861"/>
      <c r="H245" s="861"/>
      <c r="I245" s="861"/>
      <c r="J245" s="861"/>
      <c r="K245" s="861"/>
      <c r="L245" s="861"/>
      <c r="M245" s="861"/>
      <c r="N245" s="861"/>
    </row>
    <row r="246" spans="2:14">
      <c r="B246" s="865"/>
      <c r="C246" s="861"/>
      <c r="D246" s="861"/>
      <c r="E246" s="861"/>
      <c r="F246" s="861"/>
      <c r="G246" s="861"/>
      <c r="H246" s="861"/>
      <c r="I246" s="861"/>
      <c r="J246" s="861"/>
      <c r="K246" s="861"/>
      <c r="L246" s="861"/>
      <c r="M246" s="861"/>
      <c r="N246" s="861"/>
    </row>
    <row r="247" spans="2:14">
      <c r="B247" s="865"/>
      <c r="C247" s="861"/>
      <c r="D247" s="861"/>
      <c r="E247" s="861"/>
      <c r="F247" s="861"/>
      <c r="G247" s="861"/>
      <c r="H247" s="861"/>
      <c r="I247" s="861"/>
      <c r="J247" s="861"/>
      <c r="K247" s="861"/>
      <c r="L247" s="861"/>
      <c r="M247" s="861"/>
      <c r="N247" s="861"/>
    </row>
    <row r="248" spans="2:14">
      <c r="B248" s="865"/>
      <c r="C248" s="861"/>
      <c r="D248" s="861"/>
      <c r="E248" s="861"/>
      <c r="F248" s="861"/>
      <c r="G248" s="861"/>
      <c r="H248" s="861"/>
      <c r="I248" s="861"/>
      <c r="J248" s="861"/>
      <c r="K248" s="861"/>
      <c r="L248" s="861"/>
      <c r="M248" s="861"/>
      <c r="N248" s="861"/>
    </row>
    <row r="249" spans="2:14">
      <c r="B249" s="865"/>
      <c r="C249" s="861"/>
      <c r="D249" s="861"/>
      <c r="E249" s="861"/>
      <c r="F249" s="861"/>
      <c r="G249" s="861"/>
      <c r="H249" s="861"/>
      <c r="I249" s="861"/>
      <c r="J249" s="861"/>
      <c r="K249" s="861"/>
      <c r="L249" s="861"/>
      <c r="M249" s="861"/>
      <c r="N249" s="861"/>
    </row>
    <row r="250" spans="2:14">
      <c r="B250" s="865"/>
      <c r="C250" s="861"/>
      <c r="D250" s="861"/>
      <c r="E250" s="861"/>
      <c r="F250" s="861"/>
      <c r="G250" s="861"/>
      <c r="H250" s="861"/>
      <c r="I250" s="861"/>
      <c r="J250" s="861"/>
      <c r="K250" s="861"/>
      <c r="L250" s="861"/>
      <c r="M250" s="861"/>
      <c r="N250" s="861"/>
    </row>
    <row r="251" spans="2:14">
      <c r="B251" s="865"/>
      <c r="C251" s="861"/>
      <c r="D251" s="861"/>
      <c r="E251" s="861"/>
      <c r="F251" s="861"/>
      <c r="G251" s="861"/>
      <c r="H251" s="861"/>
      <c r="I251" s="861"/>
      <c r="J251" s="861"/>
      <c r="K251" s="861"/>
      <c r="L251" s="861"/>
      <c r="M251" s="861"/>
      <c r="N251" s="861"/>
    </row>
    <row r="252" spans="2:14">
      <c r="B252" s="865"/>
      <c r="C252" s="861"/>
      <c r="D252" s="861"/>
      <c r="E252" s="861"/>
      <c r="F252" s="861"/>
      <c r="G252" s="861"/>
      <c r="H252" s="861"/>
      <c r="I252" s="861"/>
      <c r="J252" s="861"/>
      <c r="K252" s="861"/>
      <c r="L252" s="861"/>
      <c r="M252" s="861"/>
      <c r="N252" s="861"/>
    </row>
    <row r="253" spans="2:14">
      <c r="B253" s="865"/>
      <c r="C253" s="861"/>
      <c r="D253" s="861"/>
      <c r="E253" s="861"/>
      <c r="F253" s="861"/>
      <c r="G253" s="861"/>
      <c r="H253" s="861"/>
      <c r="I253" s="861"/>
      <c r="J253" s="861"/>
      <c r="K253" s="861"/>
      <c r="L253" s="861"/>
      <c r="M253" s="861"/>
      <c r="N253" s="861"/>
    </row>
    <row r="254" spans="2:14">
      <c r="B254" s="865"/>
      <c r="C254" s="861"/>
      <c r="D254" s="861"/>
      <c r="E254" s="861"/>
      <c r="F254" s="861"/>
      <c r="G254" s="861"/>
      <c r="H254" s="861"/>
      <c r="I254" s="861"/>
      <c r="J254" s="861"/>
      <c r="K254" s="861"/>
      <c r="L254" s="861"/>
      <c r="M254" s="861"/>
      <c r="N254" s="861"/>
    </row>
    <row r="255" spans="2:14">
      <c r="B255" s="865"/>
      <c r="C255" s="861"/>
      <c r="D255" s="861"/>
      <c r="E255" s="861"/>
      <c r="F255" s="861"/>
      <c r="G255" s="861"/>
      <c r="H255" s="861"/>
      <c r="I255" s="861"/>
      <c r="J255" s="861"/>
      <c r="K255" s="861"/>
      <c r="L255" s="861"/>
      <c r="M255" s="861"/>
      <c r="N255" s="861"/>
    </row>
    <row r="256" spans="2:14">
      <c r="B256" s="865"/>
      <c r="C256" s="861"/>
      <c r="D256" s="861"/>
      <c r="E256" s="861"/>
      <c r="F256" s="861"/>
      <c r="G256" s="861"/>
      <c r="H256" s="861"/>
      <c r="I256" s="861"/>
      <c r="J256" s="861"/>
      <c r="K256" s="861"/>
      <c r="L256" s="861"/>
      <c r="M256" s="861"/>
      <c r="N256" s="861"/>
    </row>
    <row r="257" spans="2:14">
      <c r="B257" s="865"/>
      <c r="C257" s="861"/>
      <c r="D257" s="861"/>
      <c r="E257" s="861"/>
      <c r="F257" s="861"/>
      <c r="G257" s="861"/>
      <c r="H257" s="861"/>
      <c r="I257" s="861"/>
      <c r="J257" s="861"/>
      <c r="K257" s="861"/>
      <c r="L257" s="861"/>
      <c r="M257" s="861"/>
      <c r="N257" s="861"/>
    </row>
    <row r="258" spans="2:14">
      <c r="B258" s="865"/>
      <c r="C258" s="861"/>
      <c r="D258" s="861"/>
      <c r="E258" s="861"/>
      <c r="F258" s="861"/>
      <c r="G258" s="861"/>
      <c r="H258" s="861"/>
      <c r="I258" s="861"/>
      <c r="J258" s="861"/>
      <c r="K258" s="861"/>
      <c r="L258" s="861"/>
      <c r="M258" s="861"/>
      <c r="N258" s="861"/>
    </row>
    <row r="259" spans="2:14">
      <c r="B259" s="865"/>
      <c r="C259" s="861"/>
      <c r="D259" s="861"/>
      <c r="E259" s="861"/>
      <c r="F259" s="861"/>
      <c r="G259" s="861"/>
      <c r="H259" s="861"/>
      <c r="I259" s="861"/>
      <c r="J259" s="861"/>
      <c r="K259" s="861"/>
      <c r="L259" s="861"/>
      <c r="M259" s="861"/>
      <c r="N259" s="861"/>
    </row>
    <row r="260" spans="2:14">
      <c r="B260" s="865"/>
      <c r="C260" s="861"/>
      <c r="D260" s="861"/>
      <c r="E260" s="861"/>
      <c r="F260" s="861"/>
      <c r="G260" s="861"/>
      <c r="H260" s="861"/>
      <c r="I260" s="861"/>
      <c r="J260" s="861"/>
      <c r="K260" s="861"/>
      <c r="L260" s="861"/>
      <c r="M260" s="861"/>
      <c r="N260" s="861"/>
    </row>
    <row r="261" spans="2:14">
      <c r="B261" s="865"/>
      <c r="C261" s="861"/>
      <c r="D261" s="861"/>
      <c r="E261" s="861"/>
      <c r="F261" s="861"/>
      <c r="G261" s="861"/>
      <c r="H261" s="861"/>
      <c r="I261" s="861"/>
      <c r="J261" s="861"/>
      <c r="K261" s="861"/>
      <c r="L261" s="861"/>
      <c r="M261" s="861"/>
      <c r="N261" s="861"/>
    </row>
    <row r="262" spans="2:14">
      <c r="B262" s="865"/>
      <c r="C262" s="861"/>
      <c r="D262" s="861"/>
      <c r="E262" s="861"/>
      <c r="F262" s="861"/>
      <c r="G262" s="861"/>
      <c r="H262" s="861"/>
      <c r="I262" s="861"/>
      <c r="J262" s="861"/>
      <c r="K262" s="861"/>
      <c r="L262" s="861"/>
      <c r="M262" s="861"/>
      <c r="N262" s="861"/>
    </row>
    <row r="263" spans="2:14">
      <c r="B263" s="865"/>
      <c r="C263" s="861"/>
      <c r="D263" s="861"/>
      <c r="E263" s="861"/>
      <c r="F263" s="861"/>
      <c r="G263" s="861"/>
      <c r="H263" s="861"/>
      <c r="I263" s="861"/>
      <c r="J263" s="861"/>
      <c r="K263" s="861"/>
      <c r="L263" s="861"/>
      <c r="M263" s="861"/>
      <c r="N263" s="861"/>
    </row>
    <row r="264" spans="2:14">
      <c r="B264" s="865"/>
      <c r="C264" s="861"/>
      <c r="D264" s="861"/>
      <c r="E264" s="861"/>
      <c r="F264" s="861"/>
      <c r="G264" s="861"/>
      <c r="H264" s="861"/>
      <c r="I264" s="861"/>
      <c r="J264" s="861"/>
      <c r="K264" s="861"/>
      <c r="L264" s="861"/>
      <c r="M264" s="861"/>
      <c r="N264" s="861"/>
    </row>
    <row r="265" spans="2:14">
      <c r="B265" s="865"/>
      <c r="C265" s="861"/>
      <c r="D265" s="861"/>
      <c r="E265" s="861"/>
      <c r="F265" s="861"/>
      <c r="G265" s="861"/>
      <c r="H265" s="861"/>
      <c r="I265" s="861"/>
      <c r="J265" s="861"/>
      <c r="K265" s="861"/>
      <c r="L265" s="861"/>
      <c r="M265" s="861"/>
      <c r="N265" s="861"/>
    </row>
    <row r="266" spans="2:14">
      <c r="B266" s="865"/>
      <c r="C266" s="861"/>
      <c r="D266" s="861"/>
      <c r="E266" s="861"/>
      <c r="F266" s="861"/>
      <c r="G266" s="861"/>
      <c r="H266" s="861"/>
      <c r="I266" s="861"/>
      <c r="J266" s="861"/>
      <c r="K266" s="861"/>
      <c r="L266" s="861"/>
      <c r="M266" s="861"/>
      <c r="N266" s="861"/>
    </row>
    <row r="267" spans="2:14">
      <c r="B267" s="865"/>
      <c r="C267" s="861"/>
      <c r="D267" s="861"/>
      <c r="E267" s="861"/>
      <c r="F267" s="861"/>
      <c r="G267" s="861"/>
      <c r="H267" s="861"/>
      <c r="I267" s="861"/>
      <c r="J267" s="861"/>
      <c r="K267" s="861"/>
      <c r="L267" s="861"/>
      <c r="M267" s="861"/>
      <c r="N267" s="861"/>
    </row>
    <row r="268" spans="2:14">
      <c r="B268" s="865"/>
      <c r="C268" s="861"/>
      <c r="D268" s="861"/>
      <c r="E268" s="861"/>
      <c r="F268" s="861"/>
      <c r="G268" s="861"/>
      <c r="H268" s="861"/>
      <c r="I268" s="861"/>
      <c r="J268" s="861"/>
      <c r="K268" s="861"/>
      <c r="L268" s="861"/>
      <c r="M268" s="861"/>
      <c r="N268" s="861"/>
    </row>
    <row r="269" spans="2:14">
      <c r="B269" s="865"/>
      <c r="C269" s="861"/>
      <c r="D269" s="861"/>
      <c r="E269" s="861"/>
      <c r="F269" s="861"/>
      <c r="G269" s="861"/>
      <c r="H269" s="861"/>
      <c r="I269" s="861"/>
      <c r="J269" s="861"/>
      <c r="K269" s="861"/>
      <c r="L269" s="861"/>
      <c r="M269" s="861"/>
      <c r="N269" s="861"/>
    </row>
    <row r="270" spans="2:14">
      <c r="B270" s="865"/>
      <c r="C270" s="861"/>
      <c r="D270" s="861"/>
      <c r="E270" s="861"/>
      <c r="F270" s="861"/>
      <c r="G270" s="861"/>
      <c r="H270" s="861"/>
      <c r="I270" s="861"/>
      <c r="J270" s="861"/>
      <c r="K270" s="861"/>
      <c r="L270" s="861"/>
      <c r="M270" s="861"/>
      <c r="N270" s="861"/>
    </row>
    <row r="271" spans="2:14">
      <c r="B271" s="865"/>
      <c r="C271" s="861"/>
      <c r="D271" s="861"/>
      <c r="E271" s="861"/>
      <c r="F271" s="861"/>
      <c r="G271" s="861"/>
      <c r="H271" s="861"/>
      <c r="I271" s="861"/>
      <c r="J271" s="861"/>
      <c r="K271" s="861"/>
      <c r="L271" s="861"/>
      <c r="M271" s="861"/>
      <c r="N271" s="861"/>
    </row>
    <row r="272" spans="2:14">
      <c r="B272" s="865"/>
      <c r="C272" s="861"/>
      <c r="D272" s="861"/>
      <c r="E272" s="861"/>
      <c r="F272" s="861"/>
      <c r="G272" s="861"/>
      <c r="H272" s="861"/>
      <c r="I272" s="861"/>
      <c r="J272" s="861"/>
      <c r="K272" s="861"/>
      <c r="L272" s="861"/>
      <c r="M272" s="861"/>
      <c r="N272" s="861"/>
    </row>
    <row r="273" spans="2:14">
      <c r="B273" s="865"/>
      <c r="C273" s="861"/>
      <c r="D273" s="861"/>
      <c r="E273" s="861"/>
      <c r="F273" s="861"/>
      <c r="G273" s="861"/>
      <c r="H273" s="861"/>
      <c r="I273" s="861"/>
      <c r="J273" s="861"/>
      <c r="K273" s="861"/>
      <c r="L273" s="861"/>
      <c r="M273" s="861"/>
      <c r="N273" s="861"/>
    </row>
    <row r="274" spans="2:14">
      <c r="B274" s="865"/>
      <c r="C274" s="861"/>
      <c r="D274" s="861"/>
      <c r="E274" s="861"/>
      <c r="F274" s="861"/>
      <c r="G274" s="861"/>
      <c r="H274" s="861"/>
      <c r="I274" s="861"/>
      <c r="J274" s="861"/>
      <c r="K274" s="861"/>
      <c r="L274" s="861"/>
      <c r="M274" s="861"/>
      <c r="N274" s="861"/>
    </row>
    <row r="275" spans="2:14">
      <c r="B275" s="865"/>
      <c r="C275" s="861"/>
      <c r="D275" s="861"/>
      <c r="E275" s="861"/>
      <c r="F275" s="861"/>
      <c r="G275" s="861"/>
      <c r="H275" s="861"/>
      <c r="I275" s="861"/>
      <c r="J275" s="861"/>
      <c r="K275" s="861"/>
      <c r="L275" s="861"/>
      <c r="M275" s="861"/>
      <c r="N275" s="861"/>
    </row>
    <row r="276" spans="2:14">
      <c r="B276" s="865"/>
      <c r="C276" s="861"/>
      <c r="D276" s="861"/>
      <c r="E276" s="861"/>
      <c r="F276" s="861"/>
      <c r="G276" s="861"/>
      <c r="H276" s="861"/>
      <c r="I276" s="861"/>
      <c r="J276" s="861"/>
      <c r="K276" s="861"/>
      <c r="L276" s="861"/>
      <c r="M276" s="861"/>
      <c r="N276" s="861"/>
    </row>
    <row r="277" spans="2:14">
      <c r="B277" s="865"/>
      <c r="C277" s="861"/>
      <c r="D277" s="861"/>
      <c r="E277" s="861"/>
      <c r="F277" s="861"/>
      <c r="G277" s="861"/>
      <c r="H277" s="861"/>
      <c r="I277" s="861"/>
      <c r="J277" s="861"/>
      <c r="K277" s="861"/>
      <c r="L277" s="861"/>
      <c r="M277" s="861"/>
      <c r="N277" s="861"/>
    </row>
    <row r="278" spans="2:14">
      <c r="B278" s="865"/>
      <c r="C278" s="861"/>
      <c r="D278" s="861"/>
      <c r="E278" s="861"/>
      <c r="F278" s="861"/>
      <c r="G278" s="861"/>
      <c r="H278" s="861"/>
      <c r="I278" s="861"/>
      <c r="J278" s="861"/>
      <c r="K278" s="861"/>
      <c r="L278" s="861"/>
      <c r="M278" s="861"/>
      <c r="N278" s="861"/>
    </row>
    <row r="279" spans="2:14">
      <c r="B279" s="865"/>
      <c r="C279" s="861"/>
      <c r="D279" s="861"/>
      <c r="E279" s="861"/>
      <c r="F279" s="861"/>
      <c r="G279" s="861"/>
      <c r="H279" s="861"/>
      <c r="I279" s="861"/>
      <c r="J279" s="861"/>
      <c r="K279" s="861"/>
      <c r="L279" s="861"/>
      <c r="M279" s="861"/>
      <c r="N279" s="861"/>
    </row>
    <row r="280" spans="2:14">
      <c r="B280" s="865"/>
      <c r="C280" s="861"/>
      <c r="D280" s="861"/>
      <c r="E280" s="861"/>
      <c r="F280" s="861"/>
      <c r="G280" s="861"/>
      <c r="H280" s="861"/>
      <c r="I280" s="861"/>
      <c r="J280" s="861"/>
      <c r="K280" s="861"/>
      <c r="L280" s="861"/>
      <c r="M280" s="861"/>
      <c r="N280" s="861"/>
    </row>
    <row r="281" spans="2:14">
      <c r="B281" s="865"/>
      <c r="C281" s="861"/>
      <c r="D281" s="861"/>
      <c r="E281" s="861"/>
      <c r="F281" s="861"/>
      <c r="G281" s="861"/>
      <c r="H281" s="861"/>
      <c r="I281" s="861"/>
      <c r="J281" s="861"/>
      <c r="K281" s="861"/>
      <c r="L281" s="861"/>
      <c r="M281" s="861"/>
      <c r="N281" s="861"/>
    </row>
    <row r="282" spans="2:14">
      <c r="B282" s="865"/>
      <c r="C282" s="861"/>
      <c r="D282" s="861"/>
      <c r="E282" s="861"/>
      <c r="F282" s="861"/>
      <c r="G282" s="861"/>
      <c r="H282" s="861"/>
      <c r="I282" s="861"/>
      <c r="J282" s="861"/>
      <c r="K282" s="861"/>
      <c r="L282" s="861"/>
      <c r="M282" s="861"/>
      <c r="N282" s="861"/>
    </row>
    <row r="283" spans="2:14">
      <c r="B283" s="865"/>
      <c r="C283" s="861"/>
      <c r="D283" s="861"/>
      <c r="E283" s="861"/>
      <c r="F283" s="861"/>
      <c r="G283" s="861"/>
      <c r="H283" s="861"/>
      <c r="I283" s="861"/>
      <c r="J283" s="861"/>
      <c r="K283" s="861"/>
      <c r="L283" s="861"/>
      <c r="M283" s="861"/>
      <c r="N283" s="861"/>
    </row>
    <row r="284" spans="2:14">
      <c r="B284" s="865"/>
      <c r="C284" s="861"/>
      <c r="D284" s="861"/>
      <c r="E284" s="861"/>
      <c r="F284" s="861"/>
      <c r="G284" s="861"/>
      <c r="H284" s="861"/>
      <c r="I284" s="861"/>
      <c r="J284" s="861"/>
      <c r="K284" s="861"/>
      <c r="L284" s="861"/>
      <c r="M284" s="861"/>
      <c r="N284" s="861"/>
    </row>
    <row r="285" spans="2:14">
      <c r="B285" s="865"/>
      <c r="C285" s="861"/>
      <c r="D285" s="861"/>
      <c r="E285" s="861"/>
      <c r="F285" s="861"/>
      <c r="G285" s="861"/>
      <c r="H285" s="861"/>
      <c r="I285" s="861"/>
      <c r="J285" s="861"/>
      <c r="K285" s="861"/>
      <c r="L285" s="861"/>
      <c r="M285" s="861"/>
      <c r="N285" s="861"/>
    </row>
    <row r="286" spans="2:14">
      <c r="B286" s="865"/>
      <c r="C286" s="861"/>
      <c r="D286" s="861"/>
      <c r="E286" s="861"/>
      <c r="F286" s="861"/>
      <c r="G286" s="861"/>
      <c r="H286" s="861"/>
      <c r="I286" s="861"/>
      <c r="J286" s="861"/>
      <c r="K286" s="861"/>
      <c r="L286" s="861"/>
      <c r="M286" s="861"/>
      <c r="N286" s="861"/>
    </row>
    <row r="287" spans="2:14">
      <c r="B287" s="865"/>
      <c r="C287" s="861"/>
      <c r="D287" s="861"/>
      <c r="E287" s="861"/>
      <c r="F287" s="861"/>
      <c r="G287" s="861"/>
      <c r="H287" s="861"/>
      <c r="I287" s="861"/>
      <c r="J287" s="861"/>
      <c r="K287" s="861"/>
      <c r="L287" s="861"/>
      <c r="M287" s="861"/>
      <c r="N287" s="861"/>
    </row>
    <row r="288" spans="2:14">
      <c r="B288" s="865"/>
      <c r="C288" s="861"/>
      <c r="D288" s="861"/>
      <c r="E288" s="861"/>
      <c r="F288" s="861"/>
      <c r="G288" s="861"/>
      <c r="H288" s="861"/>
      <c r="I288" s="861"/>
      <c r="J288" s="861"/>
      <c r="K288" s="861"/>
      <c r="L288" s="861"/>
      <c r="M288" s="861"/>
      <c r="N288" s="861"/>
    </row>
    <row r="289" spans="2:14">
      <c r="B289" s="865"/>
      <c r="C289" s="861"/>
      <c r="D289" s="861"/>
      <c r="E289" s="861"/>
      <c r="F289" s="861"/>
      <c r="G289" s="861"/>
      <c r="H289" s="861"/>
      <c r="I289" s="861"/>
      <c r="J289" s="861"/>
      <c r="K289" s="861"/>
      <c r="L289" s="861"/>
      <c r="M289" s="861"/>
      <c r="N289" s="861"/>
    </row>
    <row r="290" spans="2:14">
      <c r="B290" s="865"/>
      <c r="C290" s="861"/>
      <c r="D290" s="861"/>
      <c r="E290" s="861"/>
      <c r="F290" s="861"/>
      <c r="G290" s="861"/>
      <c r="H290" s="861"/>
      <c r="I290" s="861"/>
      <c r="J290" s="861"/>
      <c r="K290" s="861"/>
      <c r="L290" s="861"/>
      <c r="M290" s="861"/>
      <c r="N290" s="861"/>
    </row>
    <row r="291" spans="2:14">
      <c r="B291" s="865"/>
      <c r="C291" s="861"/>
      <c r="D291" s="861"/>
      <c r="E291" s="861"/>
      <c r="F291" s="861"/>
      <c r="G291" s="861"/>
      <c r="H291" s="861"/>
      <c r="I291" s="861"/>
      <c r="J291" s="861"/>
      <c r="K291" s="861"/>
      <c r="L291" s="861"/>
      <c r="M291" s="861"/>
      <c r="N291" s="861"/>
    </row>
    <row r="292" spans="2:14">
      <c r="B292" s="865"/>
      <c r="C292" s="861"/>
      <c r="D292" s="861"/>
      <c r="E292" s="861"/>
      <c r="F292" s="861"/>
      <c r="G292" s="861"/>
      <c r="H292" s="861"/>
      <c r="I292" s="861"/>
      <c r="J292" s="861"/>
      <c r="K292" s="861"/>
      <c r="L292" s="861"/>
      <c r="M292" s="861"/>
      <c r="N292" s="861"/>
    </row>
    <row r="293" spans="2:14">
      <c r="B293" s="865"/>
      <c r="C293" s="861"/>
      <c r="D293" s="861"/>
      <c r="E293" s="861"/>
      <c r="F293" s="861"/>
      <c r="G293" s="861"/>
      <c r="H293" s="861"/>
      <c r="I293" s="861"/>
      <c r="J293" s="861"/>
      <c r="K293" s="861"/>
      <c r="L293" s="861"/>
      <c r="M293" s="861"/>
      <c r="N293" s="861"/>
    </row>
    <row r="294" spans="2:14">
      <c r="B294" s="865"/>
      <c r="C294" s="861"/>
      <c r="D294" s="861"/>
      <c r="E294" s="861"/>
      <c r="F294" s="861"/>
      <c r="G294" s="861"/>
      <c r="H294" s="861"/>
      <c r="I294" s="861"/>
      <c r="J294" s="861"/>
      <c r="K294" s="861"/>
      <c r="L294" s="861"/>
      <c r="M294" s="861"/>
      <c r="N294" s="861"/>
    </row>
    <row r="295" spans="2:14">
      <c r="B295" s="865"/>
      <c r="C295" s="861"/>
      <c r="D295" s="861"/>
      <c r="E295" s="861"/>
      <c r="F295" s="861"/>
      <c r="G295" s="861"/>
      <c r="H295" s="861"/>
      <c r="I295" s="861"/>
      <c r="J295" s="861"/>
      <c r="K295" s="861"/>
      <c r="L295" s="861"/>
      <c r="M295" s="861"/>
      <c r="N295" s="861"/>
    </row>
    <row r="296" spans="2:14">
      <c r="B296" s="865"/>
      <c r="C296" s="861"/>
      <c r="D296" s="861"/>
      <c r="E296" s="861"/>
      <c r="F296" s="861"/>
      <c r="G296" s="861"/>
      <c r="H296" s="861"/>
      <c r="I296" s="861"/>
      <c r="J296" s="861"/>
      <c r="K296" s="861"/>
      <c r="L296" s="861"/>
      <c r="M296" s="861"/>
      <c r="N296" s="861"/>
    </row>
    <row r="297" spans="2:14">
      <c r="B297" s="865"/>
      <c r="C297" s="861"/>
      <c r="D297" s="861"/>
      <c r="E297" s="861"/>
      <c r="F297" s="861"/>
      <c r="G297" s="861"/>
      <c r="H297" s="861"/>
      <c r="I297" s="861"/>
      <c r="J297" s="861"/>
      <c r="K297" s="861"/>
      <c r="L297" s="861"/>
      <c r="M297" s="861"/>
      <c r="N297" s="861"/>
    </row>
    <row r="298" spans="2:14">
      <c r="B298" s="865"/>
      <c r="C298" s="861"/>
      <c r="D298" s="861"/>
      <c r="E298" s="861"/>
      <c r="F298" s="861"/>
      <c r="G298" s="861"/>
      <c r="H298" s="861"/>
      <c r="I298" s="861"/>
      <c r="J298" s="861"/>
      <c r="K298" s="861"/>
      <c r="L298" s="861"/>
      <c r="M298" s="861"/>
      <c r="N298" s="861"/>
    </row>
    <row r="299" spans="2:14">
      <c r="B299" s="865"/>
      <c r="C299" s="861"/>
      <c r="D299" s="861"/>
      <c r="E299" s="861"/>
      <c r="F299" s="861"/>
      <c r="G299" s="861"/>
      <c r="H299" s="861"/>
      <c r="I299" s="861"/>
      <c r="J299" s="861"/>
      <c r="K299" s="861"/>
      <c r="L299" s="861"/>
      <c r="M299" s="861"/>
      <c r="N299" s="861"/>
    </row>
    <row r="300" spans="2:14">
      <c r="B300" s="865"/>
      <c r="C300" s="861"/>
      <c r="D300" s="861"/>
      <c r="E300" s="861"/>
      <c r="F300" s="861"/>
      <c r="G300" s="861"/>
      <c r="H300" s="861"/>
      <c r="I300" s="861"/>
      <c r="J300" s="861"/>
      <c r="K300" s="861"/>
      <c r="L300" s="861"/>
      <c r="M300" s="861"/>
      <c r="N300" s="861"/>
    </row>
    <row r="301" spans="2:14">
      <c r="B301" s="865"/>
      <c r="C301" s="861"/>
      <c r="D301" s="861"/>
      <c r="E301" s="861"/>
      <c r="F301" s="861"/>
      <c r="G301" s="861"/>
      <c r="H301" s="861"/>
      <c r="I301" s="861"/>
      <c r="J301" s="861"/>
      <c r="K301" s="861"/>
      <c r="L301" s="861"/>
      <c r="M301" s="861"/>
      <c r="N301" s="861"/>
    </row>
    <row r="302" spans="2:14">
      <c r="B302" s="865"/>
      <c r="C302" s="861"/>
      <c r="D302" s="861"/>
      <c r="E302" s="861"/>
      <c r="F302" s="861"/>
      <c r="G302" s="861"/>
      <c r="H302" s="861"/>
      <c r="I302" s="861"/>
      <c r="J302" s="861"/>
      <c r="K302" s="861"/>
      <c r="L302" s="861"/>
      <c r="M302" s="861"/>
      <c r="N302" s="861"/>
    </row>
    <row r="303" spans="2:14">
      <c r="B303" s="865"/>
      <c r="C303" s="861"/>
      <c r="D303" s="861"/>
      <c r="E303" s="861"/>
      <c r="F303" s="861"/>
      <c r="G303" s="861"/>
      <c r="H303" s="861"/>
      <c r="I303" s="861"/>
      <c r="J303" s="861"/>
      <c r="K303" s="861"/>
      <c r="L303" s="861"/>
      <c r="M303" s="861"/>
      <c r="N303" s="861"/>
    </row>
    <row r="304" spans="2:14">
      <c r="B304" s="865"/>
      <c r="C304" s="861"/>
      <c r="D304" s="861"/>
      <c r="E304" s="861"/>
      <c r="F304" s="861"/>
      <c r="G304" s="861"/>
      <c r="H304" s="861"/>
      <c r="I304" s="861"/>
      <c r="J304" s="861"/>
      <c r="K304" s="861"/>
      <c r="L304" s="861"/>
      <c r="M304" s="861"/>
      <c r="N304" s="861"/>
    </row>
    <row r="305" spans="2:14">
      <c r="B305" s="865"/>
      <c r="C305" s="861"/>
      <c r="D305" s="861"/>
      <c r="E305" s="861"/>
      <c r="F305" s="861"/>
      <c r="G305" s="861"/>
      <c r="H305" s="861"/>
      <c r="I305" s="861"/>
      <c r="J305" s="861"/>
      <c r="K305" s="861"/>
      <c r="L305" s="861"/>
      <c r="M305" s="861"/>
      <c r="N305" s="861"/>
    </row>
    <row r="306" spans="2:14">
      <c r="B306" s="865"/>
      <c r="C306" s="861"/>
      <c r="D306" s="861"/>
      <c r="E306" s="861"/>
      <c r="F306" s="861"/>
      <c r="G306" s="861"/>
      <c r="H306" s="861"/>
      <c r="I306" s="861"/>
      <c r="J306" s="861"/>
      <c r="K306" s="861"/>
      <c r="L306" s="861"/>
      <c r="M306" s="861"/>
      <c r="N306" s="861"/>
    </row>
    <row r="307" spans="2:14">
      <c r="B307" s="865"/>
      <c r="C307" s="861"/>
      <c r="D307" s="861"/>
      <c r="E307" s="861"/>
      <c r="F307" s="861"/>
      <c r="G307" s="861"/>
      <c r="H307" s="861"/>
      <c r="I307" s="861"/>
      <c r="J307" s="861"/>
      <c r="K307" s="861"/>
      <c r="L307" s="861"/>
      <c r="M307" s="861"/>
      <c r="N307" s="861"/>
    </row>
    <row r="308" spans="2:14">
      <c r="B308" s="865"/>
      <c r="C308" s="861"/>
      <c r="D308" s="861"/>
      <c r="E308" s="861"/>
      <c r="F308" s="861"/>
      <c r="G308" s="861"/>
      <c r="H308" s="861"/>
      <c r="I308" s="861"/>
      <c r="J308" s="861"/>
      <c r="K308" s="861"/>
      <c r="L308" s="861"/>
      <c r="M308" s="861"/>
      <c r="N308" s="861"/>
    </row>
    <row r="309" spans="2:14">
      <c r="B309" s="865"/>
      <c r="C309" s="861"/>
      <c r="D309" s="861"/>
      <c r="E309" s="861"/>
      <c r="F309" s="861"/>
      <c r="G309" s="861"/>
      <c r="H309" s="861"/>
      <c r="I309" s="861"/>
      <c r="J309" s="861"/>
      <c r="K309" s="861"/>
      <c r="L309" s="861"/>
      <c r="M309" s="861"/>
      <c r="N309" s="861"/>
    </row>
    <row r="310" spans="2:14">
      <c r="B310" s="865"/>
      <c r="C310" s="861"/>
      <c r="D310" s="861"/>
      <c r="E310" s="861"/>
      <c r="F310" s="861"/>
      <c r="G310" s="861"/>
      <c r="H310" s="861"/>
      <c r="I310" s="861"/>
      <c r="J310" s="861"/>
      <c r="K310" s="861"/>
      <c r="L310" s="861"/>
      <c r="M310" s="861"/>
      <c r="N310" s="861"/>
    </row>
    <row r="311" spans="2:14">
      <c r="B311" s="865"/>
      <c r="C311" s="861"/>
      <c r="D311" s="861"/>
      <c r="E311" s="861"/>
      <c r="F311" s="861"/>
      <c r="G311" s="861"/>
      <c r="H311" s="861"/>
      <c r="I311" s="861"/>
      <c r="J311" s="861"/>
      <c r="K311" s="861"/>
      <c r="L311" s="861"/>
      <c r="M311" s="861"/>
      <c r="N311" s="861"/>
    </row>
    <row r="312" spans="2:14">
      <c r="B312" s="865"/>
      <c r="C312" s="861"/>
      <c r="D312" s="861"/>
      <c r="E312" s="861"/>
      <c r="F312" s="861"/>
      <c r="G312" s="861"/>
      <c r="H312" s="861"/>
      <c r="I312" s="861"/>
      <c r="J312" s="861"/>
      <c r="K312" s="861"/>
      <c r="L312" s="861"/>
      <c r="M312" s="861"/>
      <c r="N312" s="861"/>
    </row>
    <row r="313" spans="2:14">
      <c r="B313" s="865"/>
      <c r="C313" s="861"/>
      <c r="D313" s="861"/>
      <c r="E313" s="861"/>
      <c r="F313" s="861"/>
      <c r="G313" s="861"/>
      <c r="H313" s="861"/>
      <c r="I313" s="861"/>
      <c r="J313" s="861"/>
      <c r="K313" s="861"/>
      <c r="L313" s="861"/>
      <c r="M313" s="861"/>
      <c r="N313" s="861"/>
    </row>
    <row r="314" spans="2:14">
      <c r="B314" s="865"/>
      <c r="C314" s="861"/>
      <c r="D314" s="861"/>
      <c r="E314" s="861"/>
      <c r="F314" s="861"/>
      <c r="G314" s="861"/>
      <c r="H314" s="861"/>
      <c r="I314" s="861"/>
      <c r="J314" s="861"/>
      <c r="K314" s="861"/>
      <c r="L314" s="861"/>
      <c r="M314" s="861"/>
      <c r="N314" s="861"/>
    </row>
    <row r="315" spans="2:14">
      <c r="B315" s="865"/>
      <c r="C315" s="861"/>
      <c r="D315" s="861"/>
      <c r="E315" s="861"/>
      <c r="F315" s="861"/>
      <c r="G315" s="861"/>
      <c r="H315" s="861"/>
      <c r="I315" s="861"/>
      <c r="J315" s="861"/>
      <c r="K315" s="861"/>
      <c r="L315" s="861"/>
      <c r="M315" s="861"/>
      <c r="N315" s="861"/>
    </row>
    <row r="316" spans="2:14">
      <c r="B316" s="865"/>
      <c r="C316" s="861"/>
      <c r="D316" s="861"/>
      <c r="E316" s="861"/>
      <c r="F316" s="861"/>
      <c r="G316" s="861"/>
      <c r="H316" s="861"/>
      <c r="I316" s="861"/>
      <c r="J316" s="861"/>
      <c r="K316" s="861"/>
      <c r="L316" s="861"/>
      <c r="M316" s="861"/>
      <c r="N316" s="861"/>
    </row>
    <row r="317" spans="2:14">
      <c r="B317" s="865"/>
      <c r="C317" s="861"/>
      <c r="D317" s="861"/>
      <c r="E317" s="861"/>
      <c r="F317" s="861"/>
      <c r="G317" s="861"/>
      <c r="H317" s="861"/>
      <c r="I317" s="861"/>
      <c r="J317" s="861"/>
      <c r="K317" s="861"/>
      <c r="L317" s="861"/>
      <c r="M317" s="861"/>
      <c r="N317" s="861"/>
    </row>
    <row r="318" spans="2:14">
      <c r="B318" s="865"/>
      <c r="C318" s="861"/>
      <c r="D318" s="861"/>
      <c r="E318" s="861"/>
      <c r="F318" s="861"/>
      <c r="G318" s="861"/>
      <c r="H318" s="861"/>
      <c r="I318" s="861"/>
      <c r="J318" s="861"/>
      <c r="K318" s="861"/>
      <c r="L318" s="861"/>
      <c r="M318" s="861"/>
      <c r="N318" s="861"/>
    </row>
    <row r="319" spans="2:14">
      <c r="B319" s="865"/>
      <c r="C319" s="861"/>
      <c r="D319" s="861"/>
      <c r="E319" s="861"/>
      <c r="F319" s="861"/>
      <c r="G319" s="861"/>
      <c r="H319" s="861"/>
      <c r="I319" s="861"/>
      <c r="J319" s="861"/>
      <c r="K319" s="861"/>
      <c r="L319" s="861"/>
      <c r="M319" s="861"/>
      <c r="N319" s="861"/>
    </row>
    <row r="320" spans="2:14">
      <c r="B320" s="865"/>
      <c r="C320" s="861"/>
      <c r="D320" s="861"/>
      <c r="E320" s="861"/>
      <c r="F320" s="861"/>
      <c r="G320" s="861"/>
      <c r="H320" s="861"/>
      <c r="I320" s="861"/>
      <c r="J320" s="861"/>
      <c r="K320" s="861"/>
      <c r="L320" s="861"/>
      <c r="M320" s="861"/>
      <c r="N320" s="861"/>
    </row>
    <row r="321" spans="2:14">
      <c r="B321" s="865"/>
      <c r="C321" s="861"/>
      <c r="D321" s="861"/>
      <c r="E321" s="861"/>
      <c r="F321" s="861"/>
      <c r="G321" s="861"/>
      <c r="H321" s="861"/>
      <c r="I321" s="861"/>
      <c r="J321" s="861"/>
      <c r="K321" s="861"/>
      <c r="L321" s="861"/>
      <c r="M321" s="861"/>
      <c r="N321" s="861"/>
    </row>
    <row r="322" spans="2:14">
      <c r="B322" s="865"/>
      <c r="C322" s="861"/>
      <c r="D322" s="861"/>
      <c r="E322" s="861"/>
      <c r="F322" s="861"/>
      <c r="G322" s="861"/>
      <c r="H322" s="861"/>
      <c r="I322" s="861"/>
      <c r="J322" s="861"/>
      <c r="K322" s="861"/>
      <c r="L322" s="861"/>
      <c r="M322" s="861"/>
      <c r="N322" s="861"/>
    </row>
    <row r="323" spans="2:14">
      <c r="B323" s="865"/>
      <c r="C323" s="861"/>
      <c r="D323" s="861"/>
      <c r="E323" s="861"/>
      <c r="F323" s="861"/>
      <c r="G323" s="861"/>
      <c r="H323" s="861"/>
      <c r="I323" s="861"/>
      <c r="J323" s="861"/>
      <c r="K323" s="861"/>
      <c r="L323" s="861"/>
      <c r="M323" s="861"/>
      <c r="N323" s="861"/>
    </row>
    <row r="324" spans="2:14">
      <c r="B324" s="865"/>
      <c r="C324" s="861"/>
      <c r="D324" s="861"/>
      <c r="E324" s="861"/>
      <c r="F324" s="861"/>
      <c r="G324" s="861"/>
      <c r="H324" s="861"/>
      <c r="I324" s="861"/>
      <c r="J324" s="861"/>
      <c r="K324" s="861"/>
      <c r="L324" s="861"/>
      <c r="M324" s="861"/>
      <c r="N324" s="861"/>
    </row>
    <row r="325" spans="2:14">
      <c r="B325" s="865"/>
      <c r="C325" s="861"/>
      <c r="D325" s="861"/>
      <c r="E325" s="861"/>
      <c r="F325" s="861"/>
      <c r="G325" s="861"/>
      <c r="H325" s="861"/>
      <c r="I325" s="861"/>
      <c r="J325" s="861"/>
      <c r="K325" s="861"/>
      <c r="L325" s="861"/>
      <c r="M325" s="861"/>
      <c r="N325" s="861"/>
    </row>
    <row r="326" spans="2:14">
      <c r="B326" s="865"/>
      <c r="C326" s="861"/>
      <c r="D326" s="861"/>
      <c r="E326" s="861"/>
      <c r="F326" s="861"/>
      <c r="G326" s="861"/>
      <c r="H326" s="861"/>
      <c r="I326" s="861"/>
      <c r="J326" s="861"/>
      <c r="K326" s="861"/>
      <c r="L326" s="861"/>
      <c r="M326" s="861"/>
      <c r="N326" s="861"/>
    </row>
    <row r="327" spans="2:14">
      <c r="B327" s="865"/>
      <c r="C327" s="861"/>
      <c r="D327" s="861"/>
      <c r="E327" s="861"/>
      <c r="F327" s="861"/>
      <c r="G327" s="861"/>
      <c r="H327" s="861"/>
      <c r="I327" s="861"/>
      <c r="J327" s="861"/>
      <c r="K327" s="861"/>
      <c r="L327" s="861"/>
      <c r="M327" s="861"/>
      <c r="N327" s="861"/>
    </row>
    <row r="328" spans="2:14">
      <c r="B328" s="865"/>
      <c r="C328" s="861"/>
      <c r="D328" s="861"/>
      <c r="E328" s="861"/>
      <c r="F328" s="861"/>
      <c r="G328" s="861"/>
      <c r="H328" s="861"/>
      <c r="I328" s="861"/>
      <c r="J328" s="861"/>
      <c r="K328" s="861"/>
      <c r="L328" s="861"/>
      <c r="M328" s="861"/>
      <c r="N328" s="861"/>
    </row>
    <row r="329" spans="2:14">
      <c r="B329" s="865"/>
      <c r="C329" s="861"/>
      <c r="D329" s="861"/>
      <c r="E329" s="861"/>
      <c r="F329" s="861"/>
      <c r="G329" s="861"/>
      <c r="H329" s="861"/>
      <c r="I329" s="861"/>
      <c r="J329" s="861"/>
      <c r="K329" s="861"/>
      <c r="L329" s="861"/>
      <c r="M329" s="861"/>
      <c r="N329" s="861"/>
    </row>
    <row r="330" spans="2:14">
      <c r="B330" s="865"/>
      <c r="C330" s="861"/>
      <c r="D330" s="861"/>
      <c r="E330" s="861"/>
      <c r="F330" s="861"/>
      <c r="G330" s="861"/>
      <c r="H330" s="861"/>
      <c r="I330" s="861"/>
      <c r="J330" s="861"/>
      <c r="K330" s="861"/>
      <c r="L330" s="861"/>
      <c r="M330" s="861"/>
      <c r="N330" s="861"/>
    </row>
    <row r="331" spans="2:14">
      <c r="B331" s="865"/>
      <c r="C331" s="861"/>
      <c r="D331" s="861"/>
      <c r="E331" s="861"/>
      <c r="F331" s="861"/>
      <c r="G331" s="861"/>
      <c r="H331" s="861"/>
      <c r="I331" s="861"/>
      <c r="J331" s="861"/>
      <c r="K331" s="861"/>
      <c r="L331" s="861"/>
      <c r="M331" s="861"/>
      <c r="N331" s="861"/>
    </row>
    <row r="332" spans="2:14">
      <c r="B332" s="865"/>
      <c r="C332" s="861"/>
      <c r="D332" s="861"/>
      <c r="E332" s="861"/>
      <c r="F332" s="861"/>
      <c r="G332" s="861"/>
      <c r="H332" s="861"/>
      <c r="I332" s="861"/>
      <c r="J332" s="861"/>
      <c r="K332" s="861"/>
      <c r="L332" s="861"/>
      <c r="M332" s="861"/>
      <c r="N332" s="861"/>
    </row>
    <row r="333" spans="2:14">
      <c r="B333" s="865"/>
      <c r="C333" s="861"/>
      <c r="D333" s="861"/>
      <c r="E333" s="861"/>
      <c r="F333" s="861"/>
      <c r="G333" s="861"/>
      <c r="H333" s="861"/>
      <c r="I333" s="861"/>
      <c r="J333" s="861"/>
      <c r="K333" s="861"/>
      <c r="L333" s="861"/>
      <c r="M333" s="861"/>
      <c r="N333" s="861"/>
    </row>
    <row r="334" spans="2:14">
      <c r="B334" s="865"/>
      <c r="C334" s="861"/>
      <c r="D334" s="861"/>
      <c r="E334" s="861"/>
      <c r="F334" s="861"/>
      <c r="G334" s="861"/>
      <c r="H334" s="861"/>
      <c r="I334" s="861"/>
      <c r="J334" s="861"/>
      <c r="K334" s="861"/>
      <c r="L334" s="861"/>
      <c r="M334" s="861"/>
      <c r="N334" s="861"/>
    </row>
    <row r="335" spans="2:14">
      <c r="B335" s="865"/>
      <c r="C335" s="861"/>
      <c r="D335" s="861"/>
      <c r="E335" s="861"/>
      <c r="F335" s="861"/>
      <c r="G335" s="861"/>
      <c r="H335" s="861"/>
      <c r="I335" s="861"/>
      <c r="J335" s="861"/>
      <c r="K335" s="861"/>
      <c r="L335" s="861"/>
      <c r="M335" s="861"/>
      <c r="N335" s="861"/>
    </row>
    <row r="336" spans="2:14">
      <c r="B336" s="865"/>
      <c r="C336" s="861"/>
      <c r="D336" s="861"/>
      <c r="E336" s="861"/>
      <c r="F336" s="861"/>
      <c r="G336" s="861"/>
      <c r="H336" s="861"/>
      <c r="I336" s="861"/>
      <c r="J336" s="861"/>
      <c r="K336" s="861"/>
      <c r="L336" s="861"/>
      <c r="M336" s="861"/>
      <c r="N336" s="861"/>
    </row>
    <row r="337" spans="2:14">
      <c r="B337" s="865"/>
      <c r="C337" s="861"/>
      <c r="D337" s="861"/>
      <c r="E337" s="861"/>
      <c r="F337" s="861"/>
      <c r="G337" s="861"/>
      <c r="H337" s="861"/>
      <c r="I337" s="861"/>
      <c r="J337" s="861"/>
      <c r="K337" s="861"/>
      <c r="L337" s="861"/>
      <c r="M337" s="861"/>
      <c r="N337" s="861"/>
    </row>
    <row r="338" spans="2:14">
      <c r="B338" s="865"/>
      <c r="C338" s="861"/>
      <c r="D338" s="861"/>
      <c r="E338" s="861"/>
      <c r="F338" s="861"/>
      <c r="G338" s="861"/>
      <c r="H338" s="861"/>
      <c r="I338" s="861"/>
      <c r="J338" s="861"/>
      <c r="K338" s="861"/>
      <c r="L338" s="861"/>
      <c r="M338" s="861"/>
      <c r="N338" s="861"/>
    </row>
    <row r="339" spans="2:14">
      <c r="B339" s="865"/>
      <c r="C339" s="861"/>
      <c r="D339" s="861"/>
      <c r="E339" s="861"/>
      <c r="F339" s="861"/>
      <c r="G339" s="861"/>
      <c r="H339" s="861"/>
      <c r="I339" s="861"/>
      <c r="J339" s="861"/>
      <c r="K339" s="861"/>
      <c r="L339" s="861"/>
      <c r="M339" s="861"/>
      <c r="N339" s="861"/>
    </row>
    <row r="340" spans="2:14">
      <c r="B340" s="865"/>
      <c r="C340" s="861"/>
      <c r="D340" s="861"/>
      <c r="E340" s="861"/>
      <c r="F340" s="861"/>
      <c r="G340" s="861"/>
      <c r="H340" s="861"/>
      <c r="I340" s="861"/>
      <c r="J340" s="861"/>
      <c r="K340" s="861"/>
      <c r="L340" s="861"/>
      <c r="M340" s="861"/>
      <c r="N340" s="861"/>
    </row>
    <row r="341" spans="2:14">
      <c r="B341" s="865"/>
      <c r="C341" s="861"/>
      <c r="D341" s="861"/>
      <c r="E341" s="861"/>
      <c r="F341" s="861"/>
      <c r="G341" s="861"/>
      <c r="H341" s="861"/>
      <c r="I341" s="861"/>
      <c r="J341" s="861"/>
      <c r="K341" s="861"/>
      <c r="L341" s="861"/>
      <c r="M341" s="861"/>
      <c r="N341" s="861"/>
    </row>
    <row r="342" spans="2:14">
      <c r="B342" s="865"/>
      <c r="C342" s="861"/>
      <c r="D342" s="861"/>
      <c r="E342" s="861"/>
      <c r="F342" s="861"/>
      <c r="G342" s="861"/>
      <c r="H342" s="861"/>
      <c r="I342" s="861"/>
      <c r="J342" s="861"/>
      <c r="K342" s="861"/>
      <c r="L342" s="861"/>
      <c r="M342" s="861"/>
      <c r="N342" s="861"/>
    </row>
    <row r="343" spans="2:14">
      <c r="B343" s="865"/>
      <c r="C343" s="861"/>
      <c r="D343" s="861"/>
      <c r="E343" s="861"/>
      <c r="F343" s="861"/>
      <c r="G343" s="861"/>
      <c r="H343" s="861"/>
      <c r="I343" s="861"/>
      <c r="J343" s="861"/>
      <c r="K343" s="861"/>
      <c r="L343" s="861"/>
      <c r="M343" s="861"/>
      <c r="N343" s="861"/>
    </row>
    <row r="344" spans="2:14">
      <c r="B344" s="865"/>
      <c r="C344" s="861"/>
      <c r="D344" s="861"/>
      <c r="E344" s="861"/>
      <c r="F344" s="861"/>
      <c r="G344" s="861"/>
      <c r="H344" s="861"/>
      <c r="I344" s="861"/>
      <c r="J344" s="861"/>
      <c r="K344" s="861"/>
      <c r="L344" s="861"/>
      <c r="M344" s="861"/>
      <c r="N344" s="861"/>
    </row>
    <row r="345" spans="2:14">
      <c r="B345" s="865"/>
      <c r="C345" s="861"/>
      <c r="D345" s="861"/>
      <c r="E345" s="861"/>
      <c r="F345" s="861"/>
      <c r="G345" s="861"/>
      <c r="H345" s="861"/>
      <c r="I345" s="861"/>
      <c r="J345" s="861"/>
      <c r="K345" s="861"/>
      <c r="L345" s="861"/>
      <c r="M345" s="861"/>
      <c r="N345" s="861"/>
    </row>
    <row r="346" spans="2:14">
      <c r="B346" s="865"/>
      <c r="C346" s="861"/>
      <c r="D346" s="861"/>
      <c r="E346" s="861"/>
      <c r="F346" s="861"/>
      <c r="G346" s="861"/>
      <c r="H346" s="861"/>
      <c r="I346" s="861"/>
      <c r="J346" s="861"/>
      <c r="K346" s="861"/>
      <c r="L346" s="861"/>
      <c r="M346" s="861"/>
      <c r="N346" s="861"/>
    </row>
    <row r="347" spans="2:14">
      <c r="B347" s="865"/>
      <c r="C347" s="861"/>
      <c r="D347" s="861"/>
      <c r="E347" s="861"/>
      <c r="F347" s="861"/>
      <c r="G347" s="861"/>
      <c r="H347" s="861"/>
      <c r="I347" s="861"/>
      <c r="J347" s="861"/>
      <c r="K347" s="861"/>
      <c r="L347" s="861"/>
      <c r="M347" s="861"/>
      <c r="N347" s="861"/>
    </row>
    <row r="348" spans="2:14">
      <c r="B348" s="865"/>
      <c r="C348" s="861"/>
      <c r="D348" s="861"/>
      <c r="E348" s="861"/>
      <c r="F348" s="861"/>
      <c r="G348" s="861"/>
      <c r="H348" s="861"/>
      <c r="I348" s="861"/>
      <c r="J348" s="861"/>
      <c r="K348" s="861"/>
      <c r="L348" s="861"/>
      <c r="M348" s="861"/>
      <c r="N348" s="861"/>
    </row>
    <row r="349" spans="2:14">
      <c r="B349" s="865"/>
      <c r="C349" s="861"/>
      <c r="D349" s="861"/>
      <c r="E349" s="861"/>
      <c r="F349" s="861"/>
      <c r="G349" s="861"/>
      <c r="H349" s="861"/>
      <c r="I349" s="861"/>
      <c r="J349" s="861"/>
      <c r="K349" s="861"/>
      <c r="L349" s="861"/>
      <c r="M349" s="861"/>
      <c r="N349" s="861"/>
    </row>
    <row r="350" spans="2:14">
      <c r="B350" s="865"/>
      <c r="C350" s="861"/>
      <c r="D350" s="861"/>
      <c r="E350" s="861"/>
      <c r="F350" s="861"/>
      <c r="G350" s="861"/>
      <c r="H350" s="861"/>
      <c r="I350" s="861"/>
      <c r="J350" s="861"/>
      <c r="K350" s="861"/>
      <c r="L350" s="861"/>
      <c r="M350" s="861"/>
      <c r="N350" s="861"/>
    </row>
    <row r="351" spans="2:14">
      <c r="B351" s="865"/>
      <c r="C351" s="861"/>
      <c r="D351" s="861"/>
      <c r="E351" s="861"/>
      <c r="F351" s="861"/>
      <c r="G351" s="861"/>
      <c r="H351" s="861"/>
      <c r="I351" s="861"/>
      <c r="J351" s="861"/>
      <c r="K351" s="861"/>
      <c r="L351" s="861"/>
      <c r="M351" s="861"/>
      <c r="N351" s="861"/>
    </row>
    <row r="352" spans="2:14">
      <c r="B352" s="865"/>
      <c r="C352" s="861"/>
      <c r="D352" s="861"/>
      <c r="E352" s="861"/>
      <c r="F352" s="861"/>
      <c r="G352" s="861"/>
      <c r="H352" s="861"/>
      <c r="I352" s="861"/>
      <c r="J352" s="861"/>
      <c r="K352" s="861"/>
      <c r="L352" s="861"/>
      <c r="M352" s="861"/>
      <c r="N352" s="861"/>
    </row>
    <row r="353" spans="2:14">
      <c r="B353" s="865"/>
      <c r="C353" s="861"/>
      <c r="D353" s="861"/>
      <c r="E353" s="861"/>
      <c r="F353" s="861"/>
      <c r="G353" s="861"/>
      <c r="H353" s="861"/>
      <c r="I353" s="861"/>
      <c r="J353" s="861"/>
      <c r="K353" s="861"/>
      <c r="L353" s="861"/>
      <c r="M353" s="861"/>
      <c r="N353" s="861"/>
    </row>
    <row r="354" spans="2:14">
      <c r="B354" s="865"/>
      <c r="C354" s="861"/>
      <c r="D354" s="861"/>
      <c r="E354" s="861"/>
      <c r="F354" s="861"/>
      <c r="G354" s="861"/>
      <c r="H354" s="861"/>
      <c r="I354" s="861"/>
      <c r="J354" s="861"/>
      <c r="K354" s="861"/>
      <c r="L354" s="861"/>
      <c r="M354" s="861"/>
      <c r="N354" s="861"/>
    </row>
    <row r="355" spans="2:14">
      <c r="B355" s="865"/>
      <c r="C355" s="861"/>
      <c r="D355" s="861"/>
      <c r="E355" s="861"/>
      <c r="F355" s="861"/>
      <c r="G355" s="861"/>
      <c r="H355" s="861"/>
      <c r="I355" s="861"/>
      <c r="J355" s="861"/>
      <c r="K355" s="861"/>
      <c r="L355" s="861"/>
      <c r="M355" s="861"/>
      <c r="N355" s="861"/>
    </row>
    <row r="356" spans="2:14">
      <c r="B356" s="865"/>
      <c r="C356" s="861"/>
      <c r="D356" s="861"/>
      <c r="E356" s="861"/>
      <c r="F356" s="861"/>
      <c r="G356" s="861"/>
      <c r="H356" s="861"/>
      <c r="I356" s="861"/>
      <c r="J356" s="861"/>
      <c r="K356" s="861"/>
      <c r="L356" s="861"/>
      <c r="M356" s="861"/>
      <c r="N356" s="861"/>
    </row>
    <row r="357" spans="2:14">
      <c r="B357" s="865"/>
      <c r="C357" s="861"/>
      <c r="D357" s="861"/>
      <c r="E357" s="861"/>
      <c r="F357" s="861"/>
      <c r="G357" s="861"/>
      <c r="H357" s="861"/>
      <c r="I357" s="861"/>
      <c r="J357" s="861"/>
      <c r="K357" s="861"/>
      <c r="L357" s="861"/>
      <c r="M357" s="861"/>
      <c r="N357" s="861"/>
    </row>
    <row r="358" spans="2:14">
      <c r="B358" s="865"/>
      <c r="C358" s="861"/>
      <c r="D358" s="861"/>
      <c r="E358" s="861"/>
      <c r="F358" s="861"/>
      <c r="G358" s="861"/>
      <c r="H358" s="861"/>
      <c r="I358" s="861"/>
      <c r="J358" s="861"/>
      <c r="K358" s="861"/>
      <c r="L358" s="861"/>
      <c r="M358" s="861"/>
      <c r="N358" s="861"/>
    </row>
    <row r="359" spans="2:14">
      <c r="B359" s="865"/>
      <c r="C359" s="861"/>
      <c r="D359" s="861"/>
      <c r="E359" s="861"/>
      <c r="F359" s="861"/>
      <c r="G359" s="861"/>
      <c r="H359" s="861"/>
      <c r="I359" s="861"/>
      <c r="J359" s="861"/>
      <c r="K359" s="861"/>
      <c r="L359" s="861"/>
      <c r="M359" s="861"/>
      <c r="N359" s="861"/>
    </row>
    <row r="360" spans="2:14">
      <c r="B360" s="865"/>
      <c r="C360" s="861"/>
      <c r="D360" s="861"/>
      <c r="E360" s="861"/>
      <c r="F360" s="861"/>
      <c r="G360" s="861"/>
      <c r="H360" s="861"/>
      <c r="I360" s="861"/>
      <c r="J360" s="861"/>
      <c r="K360" s="861"/>
      <c r="L360" s="861"/>
      <c r="M360" s="861"/>
      <c r="N360" s="861"/>
    </row>
    <row r="361" spans="2:14">
      <c r="B361" s="865"/>
      <c r="C361" s="861"/>
      <c r="D361" s="861"/>
      <c r="E361" s="861"/>
      <c r="F361" s="861"/>
      <c r="G361" s="861"/>
      <c r="H361" s="861"/>
      <c r="I361" s="861"/>
      <c r="J361" s="861"/>
      <c r="K361" s="861"/>
      <c r="L361" s="861"/>
      <c r="M361" s="861"/>
      <c r="N361" s="861"/>
    </row>
    <row r="362" spans="2:14">
      <c r="B362" s="865"/>
      <c r="C362" s="861"/>
      <c r="D362" s="861"/>
      <c r="E362" s="861"/>
      <c r="F362" s="861"/>
      <c r="G362" s="861"/>
      <c r="H362" s="861"/>
      <c r="I362" s="861"/>
      <c r="J362" s="861"/>
      <c r="K362" s="861"/>
      <c r="L362" s="861"/>
      <c r="M362" s="861"/>
      <c r="N362" s="861"/>
    </row>
    <row r="363" spans="2:14">
      <c r="B363" s="865"/>
      <c r="C363" s="861"/>
      <c r="D363" s="861"/>
      <c r="E363" s="861"/>
      <c r="F363" s="861"/>
      <c r="G363" s="861"/>
      <c r="H363" s="861"/>
      <c r="I363" s="861"/>
      <c r="J363" s="861"/>
      <c r="K363" s="861"/>
      <c r="L363" s="861"/>
      <c r="M363" s="861"/>
      <c r="N363" s="861"/>
    </row>
    <row r="364" spans="2:14">
      <c r="B364" s="865"/>
      <c r="C364" s="861"/>
      <c r="D364" s="861"/>
      <c r="E364" s="861"/>
      <c r="F364" s="861"/>
      <c r="G364" s="861"/>
      <c r="H364" s="861"/>
      <c r="I364" s="861"/>
      <c r="J364" s="861"/>
      <c r="K364" s="861"/>
      <c r="L364" s="861"/>
      <c r="M364" s="861"/>
      <c r="N364" s="861"/>
    </row>
    <row r="365" spans="2:14">
      <c r="B365" s="865"/>
      <c r="C365" s="861"/>
      <c r="D365" s="861"/>
      <c r="E365" s="861"/>
      <c r="F365" s="861"/>
      <c r="G365" s="861"/>
      <c r="H365" s="861"/>
      <c r="I365" s="861"/>
      <c r="J365" s="861"/>
      <c r="K365" s="861"/>
      <c r="L365" s="861"/>
      <c r="M365" s="861"/>
      <c r="N365" s="861"/>
    </row>
    <row r="366" spans="2:14">
      <c r="B366" s="865"/>
      <c r="C366" s="861"/>
      <c r="D366" s="861"/>
      <c r="E366" s="861"/>
      <c r="F366" s="861"/>
      <c r="G366" s="861"/>
      <c r="H366" s="861"/>
      <c r="I366" s="861"/>
      <c r="J366" s="861"/>
      <c r="K366" s="861"/>
      <c r="L366" s="861"/>
      <c r="M366" s="861"/>
      <c r="N366" s="861"/>
    </row>
    <row r="367" spans="2:14">
      <c r="B367" s="865"/>
      <c r="C367" s="861"/>
      <c r="D367" s="861"/>
      <c r="E367" s="861"/>
      <c r="F367" s="861"/>
      <c r="G367" s="861"/>
      <c r="H367" s="861"/>
      <c r="I367" s="861"/>
      <c r="J367" s="861"/>
      <c r="K367" s="861"/>
      <c r="L367" s="861"/>
      <c r="M367" s="861"/>
      <c r="N367" s="861"/>
    </row>
    <row r="368" spans="2:14">
      <c r="B368" s="865"/>
      <c r="C368" s="861"/>
      <c r="D368" s="861"/>
      <c r="E368" s="861"/>
      <c r="F368" s="861"/>
      <c r="G368" s="861"/>
      <c r="H368" s="861"/>
      <c r="I368" s="861"/>
      <c r="J368" s="861"/>
      <c r="K368" s="861"/>
      <c r="L368" s="861"/>
      <c r="M368" s="861"/>
      <c r="N368" s="861"/>
    </row>
    <row r="369" spans="2:14">
      <c r="B369" s="865"/>
      <c r="C369" s="861"/>
      <c r="D369" s="861"/>
      <c r="E369" s="861"/>
      <c r="F369" s="861"/>
      <c r="G369" s="861"/>
      <c r="H369" s="861"/>
      <c r="I369" s="861"/>
      <c r="J369" s="861"/>
      <c r="K369" s="861"/>
      <c r="L369" s="861"/>
      <c r="M369" s="861"/>
      <c r="N369" s="861"/>
    </row>
    <row r="370" spans="2:14">
      <c r="B370" s="865"/>
      <c r="C370" s="861"/>
      <c r="D370" s="861"/>
      <c r="E370" s="861"/>
      <c r="F370" s="861"/>
      <c r="G370" s="861"/>
      <c r="H370" s="861"/>
      <c r="I370" s="861"/>
      <c r="J370" s="861"/>
      <c r="K370" s="861"/>
      <c r="L370" s="861"/>
      <c r="M370" s="861"/>
      <c r="N370" s="861"/>
    </row>
    <row r="371" spans="2:14">
      <c r="B371" s="865"/>
      <c r="C371" s="861"/>
      <c r="D371" s="861"/>
      <c r="E371" s="861"/>
      <c r="F371" s="861"/>
      <c r="G371" s="861"/>
      <c r="H371" s="861"/>
      <c r="I371" s="861"/>
      <c r="J371" s="861"/>
      <c r="K371" s="861"/>
      <c r="L371" s="861"/>
      <c r="M371" s="861"/>
      <c r="N371" s="861"/>
    </row>
    <row r="372" spans="2:14">
      <c r="B372" s="865"/>
      <c r="C372" s="861"/>
      <c r="D372" s="861"/>
      <c r="E372" s="861"/>
      <c r="F372" s="861"/>
      <c r="G372" s="861"/>
      <c r="H372" s="861"/>
      <c r="I372" s="861"/>
      <c r="J372" s="861"/>
      <c r="K372" s="861"/>
      <c r="L372" s="861"/>
      <c r="M372" s="861"/>
      <c r="N372" s="861"/>
    </row>
    <row r="373" spans="2:14">
      <c r="B373" s="865"/>
      <c r="C373" s="861"/>
      <c r="D373" s="861"/>
      <c r="E373" s="861"/>
      <c r="F373" s="861"/>
      <c r="G373" s="861"/>
      <c r="H373" s="861"/>
      <c r="I373" s="861"/>
      <c r="J373" s="861"/>
      <c r="K373" s="861"/>
      <c r="L373" s="861"/>
      <c r="M373" s="861"/>
      <c r="N373" s="861"/>
    </row>
    <row r="374" spans="2:14">
      <c r="B374" s="865"/>
      <c r="C374" s="861"/>
      <c r="D374" s="861"/>
      <c r="E374" s="861"/>
      <c r="F374" s="861"/>
      <c r="G374" s="861"/>
      <c r="H374" s="861"/>
      <c r="I374" s="861"/>
      <c r="J374" s="861"/>
      <c r="K374" s="861"/>
      <c r="L374" s="861"/>
      <c r="M374" s="861"/>
      <c r="N374" s="861"/>
    </row>
    <row r="375" spans="2:14">
      <c r="B375" s="865"/>
      <c r="C375" s="861"/>
      <c r="D375" s="861"/>
      <c r="E375" s="861"/>
      <c r="F375" s="861"/>
      <c r="G375" s="861"/>
      <c r="H375" s="861"/>
      <c r="I375" s="861"/>
      <c r="J375" s="861"/>
      <c r="K375" s="861"/>
      <c r="L375" s="861"/>
      <c r="M375" s="861"/>
      <c r="N375" s="861"/>
    </row>
    <row r="376" spans="2:14">
      <c r="B376" s="865"/>
      <c r="C376" s="861"/>
      <c r="D376" s="861"/>
      <c r="E376" s="861"/>
      <c r="F376" s="861"/>
      <c r="G376" s="861"/>
      <c r="H376" s="861"/>
      <c r="I376" s="861"/>
      <c r="J376" s="861"/>
      <c r="K376" s="861"/>
      <c r="L376" s="861"/>
      <c r="M376" s="861"/>
      <c r="N376" s="861"/>
    </row>
    <row r="377" spans="2:14">
      <c r="B377" s="865"/>
      <c r="C377" s="861"/>
      <c r="D377" s="861"/>
      <c r="E377" s="861"/>
      <c r="F377" s="861"/>
      <c r="G377" s="861"/>
      <c r="H377" s="861"/>
      <c r="I377" s="861"/>
      <c r="J377" s="861"/>
      <c r="K377" s="861"/>
      <c r="L377" s="861"/>
      <c r="M377" s="861"/>
      <c r="N377" s="861"/>
    </row>
    <row r="378" spans="2:14">
      <c r="B378" s="865"/>
      <c r="C378" s="861"/>
      <c r="D378" s="861"/>
      <c r="E378" s="861"/>
      <c r="F378" s="861"/>
      <c r="G378" s="861"/>
      <c r="H378" s="861"/>
      <c r="I378" s="861"/>
      <c r="J378" s="861"/>
      <c r="K378" s="861"/>
      <c r="L378" s="861"/>
      <c r="M378" s="861"/>
      <c r="N378" s="861"/>
    </row>
    <row r="379" spans="2:14">
      <c r="B379" s="865"/>
      <c r="C379" s="861"/>
      <c r="D379" s="861"/>
      <c r="E379" s="861"/>
      <c r="F379" s="861"/>
      <c r="G379" s="861"/>
      <c r="H379" s="861"/>
      <c r="I379" s="861"/>
      <c r="J379" s="861"/>
      <c r="K379" s="861"/>
      <c r="L379" s="861"/>
      <c r="M379" s="861"/>
      <c r="N379" s="861"/>
    </row>
    <row r="380" spans="2:14">
      <c r="B380" s="865"/>
      <c r="C380" s="861"/>
      <c r="D380" s="861"/>
      <c r="E380" s="861"/>
      <c r="F380" s="861"/>
      <c r="G380" s="861"/>
      <c r="H380" s="861"/>
      <c r="I380" s="861"/>
      <c r="J380" s="861"/>
      <c r="K380" s="861"/>
      <c r="L380" s="861"/>
      <c r="M380" s="861"/>
      <c r="N380" s="861"/>
    </row>
    <row r="381" spans="2:14">
      <c r="B381" s="865"/>
      <c r="C381" s="861"/>
      <c r="D381" s="861"/>
      <c r="E381" s="861"/>
      <c r="F381" s="861"/>
      <c r="G381" s="861"/>
      <c r="H381" s="861"/>
      <c r="I381" s="861"/>
      <c r="J381" s="861"/>
      <c r="K381" s="861"/>
      <c r="L381" s="861"/>
      <c r="M381" s="861"/>
      <c r="N381" s="861"/>
    </row>
    <row r="382" spans="2:14">
      <c r="B382" s="865"/>
      <c r="C382" s="861"/>
      <c r="D382" s="861"/>
      <c r="E382" s="861"/>
      <c r="F382" s="861"/>
      <c r="G382" s="861"/>
      <c r="H382" s="861"/>
      <c r="I382" s="861"/>
      <c r="J382" s="861"/>
      <c r="K382" s="861"/>
      <c r="L382" s="861"/>
      <c r="M382" s="861"/>
      <c r="N382" s="861"/>
    </row>
    <row r="383" spans="2:14">
      <c r="B383" s="865"/>
      <c r="C383" s="861"/>
      <c r="D383" s="861"/>
      <c r="E383" s="861"/>
      <c r="F383" s="861"/>
      <c r="G383" s="861"/>
      <c r="H383" s="861"/>
      <c r="I383" s="861"/>
      <c r="J383" s="861"/>
      <c r="K383" s="861"/>
      <c r="L383" s="861"/>
      <c r="M383" s="861"/>
      <c r="N383" s="861"/>
    </row>
    <row r="384" spans="2:14">
      <c r="B384" s="865"/>
      <c r="C384" s="861"/>
      <c r="D384" s="861"/>
      <c r="E384" s="861"/>
      <c r="F384" s="861"/>
      <c r="G384" s="861"/>
      <c r="H384" s="861"/>
      <c r="I384" s="861"/>
      <c r="J384" s="861"/>
      <c r="K384" s="861"/>
      <c r="L384" s="861"/>
      <c r="M384" s="861"/>
      <c r="N384" s="861"/>
    </row>
    <row r="385" spans="2:14">
      <c r="B385" s="865"/>
      <c r="C385" s="861"/>
      <c r="D385" s="861"/>
      <c r="E385" s="861"/>
      <c r="F385" s="861"/>
      <c r="G385" s="861"/>
      <c r="H385" s="861"/>
      <c r="I385" s="861"/>
      <c r="J385" s="861"/>
      <c r="K385" s="861"/>
      <c r="L385" s="861"/>
      <c r="M385" s="861"/>
      <c r="N385" s="861"/>
    </row>
    <row r="386" spans="2:14">
      <c r="B386" s="865"/>
      <c r="C386" s="861"/>
      <c r="D386" s="861"/>
      <c r="E386" s="861"/>
      <c r="F386" s="861"/>
      <c r="G386" s="861"/>
      <c r="H386" s="861"/>
      <c r="I386" s="861"/>
      <c r="J386" s="861"/>
      <c r="K386" s="861"/>
      <c r="L386" s="861"/>
      <c r="M386" s="861"/>
      <c r="N386" s="861"/>
    </row>
    <row r="387" spans="2:14">
      <c r="B387" s="865"/>
      <c r="C387" s="861"/>
      <c r="D387" s="861"/>
      <c r="E387" s="861"/>
      <c r="F387" s="861"/>
      <c r="G387" s="861"/>
      <c r="H387" s="861"/>
      <c r="I387" s="861"/>
      <c r="J387" s="861"/>
      <c r="K387" s="861"/>
      <c r="L387" s="861"/>
      <c r="M387" s="861"/>
      <c r="N387" s="861"/>
    </row>
    <row r="388" spans="2:14">
      <c r="B388" s="865"/>
      <c r="C388" s="861"/>
      <c r="D388" s="861"/>
      <c r="E388" s="861"/>
      <c r="F388" s="861"/>
      <c r="G388" s="861"/>
      <c r="H388" s="861"/>
      <c r="I388" s="861"/>
      <c r="J388" s="861"/>
      <c r="K388" s="861"/>
      <c r="L388" s="861"/>
      <c r="M388" s="861"/>
      <c r="N388" s="861"/>
    </row>
    <row r="389" spans="2:14">
      <c r="B389" s="865"/>
      <c r="C389" s="861"/>
      <c r="D389" s="861"/>
      <c r="E389" s="861"/>
      <c r="F389" s="861"/>
      <c r="G389" s="861"/>
      <c r="H389" s="861"/>
      <c r="I389" s="861"/>
      <c r="J389" s="861"/>
      <c r="K389" s="861"/>
      <c r="L389" s="861"/>
      <c r="M389" s="861"/>
      <c r="N389" s="861"/>
    </row>
    <row r="390" spans="2:14">
      <c r="B390" s="865"/>
      <c r="C390" s="861"/>
      <c r="D390" s="861"/>
      <c r="E390" s="861"/>
      <c r="F390" s="861"/>
      <c r="G390" s="861"/>
      <c r="H390" s="861"/>
      <c r="I390" s="861"/>
      <c r="J390" s="861"/>
      <c r="K390" s="861"/>
      <c r="L390" s="861"/>
      <c r="M390" s="861"/>
      <c r="N390" s="861"/>
    </row>
    <row r="391" spans="2:14">
      <c r="B391" s="865"/>
      <c r="C391" s="861"/>
      <c r="D391" s="861"/>
      <c r="E391" s="861"/>
      <c r="F391" s="861"/>
      <c r="G391" s="861"/>
      <c r="H391" s="861"/>
      <c r="I391" s="861"/>
      <c r="J391" s="861"/>
      <c r="K391" s="861"/>
      <c r="L391" s="861"/>
      <c r="M391" s="861"/>
      <c r="N391" s="861"/>
    </row>
    <row r="392" spans="2:14">
      <c r="B392" s="865"/>
      <c r="C392" s="861"/>
      <c r="D392" s="861"/>
      <c r="E392" s="861"/>
      <c r="F392" s="861"/>
      <c r="G392" s="861"/>
      <c r="H392" s="861"/>
      <c r="I392" s="861"/>
      <c r="J392" s="861"/>
      <c r="K392" s="861"/>
      <c r="L392" s="861"/>
      <c r="M392" s="861"/>
      <c r="N392" s="861"/>
    </row>
    <row r="393" spans="2:14">
      <c r="B393" s="865"/>
      <c r="C393" s="861"/>
      <c r="D393" s="861"/>
      <c r="E393" s="861"/>
      <c r="F393" s="861"/>
      <c r="G393" s="861"/>
      <c r="H393" s="861"/>
      <c r="I393" s="861"/>
      <c r="J393" s="861"/>
      <c r="K393" s="861"/>
      <c r="L393" s="861"/>
      <c r="M393" s="861"/>
      <c r="N393" s="861"/>
    </row>
    <row r="394" spans="2:14">
      <c r="B394" s="865"/>
      <c r="C394" s="861"/>
      <c r="D394" s="861"/>
      <c r="E394" s="861"/>
      <c r="F394" s="861"/>
      <c r="G394" s="861"/>
      <c r="H394" s="861"/>
      <c r="I394" s="861"/>
      <c r="J394" s="861"/>
      <c r="K394" s="861"/>
      <c r="L394" s="861"/>
      <c r="M394" s="861"/>
      <c r="N394" s="861"/>
    </row>
    <row r="395" spans="2:14">
      <c r="B395" s="865"/>
      <c r="C395" s="861"/>
      <c r="D395" s="861"/>
      <c r="E395" s="861"/>
      <c r="F395" s="861"/>
      <c r="G395" s="861"/>
      <c r="H395" s="861"/>
      <c r="I395" s="861"/>
      <c r="J395" s="861"/>
      <c r="K395" s="861"/>
      <c r="L395" s="861"/>
      <c r="M395" s="861"/>
      <c r="N395" s="861"/>
    </row>
    <row r="396" spans="2:14">
      <c r="B396" s="865"/>
      <c r="C396" s="861"/>
      <c r="D396" s="861"/>
      <c r="E396" s="861"/>
      <c r="F396" s="861"/>
      <c r="G396" s="861"/>
      <c r="H396" s="861"/>
      <c r="I396" s="861"/>
      <c r="J396" s="861"/>
      <c r="K396" s="861"/>
      <c r="L396" s="861"/>
      <c r="M396" s="861"/>
      <c r="N396" s="861"/>
    </row>
    <row r="397" spans="2:14">
      <c r="B397" s="865"/>
      <c r="C397" s="861"/>
      <c r="D397" s="861"/>
      <c r="E397" s="861"/>
      <c r="F397" s="861"/>
      <c r="G397" s="861"/>
      <c r="H397" s="861"/>
      <c r="I397" s="861"/>
      <c r="J397" s="861"/>
      <c r="K397" s="861"/>
      <c r="L397" s="861"/>
      <c r="M397" s="861"/>
      <c r="N397" s="861"/>
    </row>
    <row r="398" spans="2:14">
      <c r="B398" s="865"/>
      <c r="C398" s="861"/>
      <c r="D398" s="861"/>
      <c r="E398" s="861"/>
      <c r="F398" s="861"/>
      <c r="G398" s="861"/>
      <c r="H398" s="861"/>
      <c r="I398" s="861"/>
      <c r="J398" s="861"/>
      <c r="K398" s="861"/>
      <c r="L398" s="861"/>
      <c r="M398" s="861"/>
      <c r="N398" s="861"/>
    </row>
    <row r="399" spans="2:14">
      <c r="B399" s="865"/>
      <c r="C399" s="861"/>
      <c r="D399" s="861"/>
      <c r="E399" s="861"/>
      <c r="F399" s="861"/>
      <c r="G399" s="861"/>
      <c r="H399" s="861"/>
      <c r="I399" s="861"/>
      <c r="J399" s="861"/>
      <c r="K399" s="861"/>
      <c r="L399" s="861"/>
      <c r="M399" s="861"/>
      <c r="N399" s="861"/>
    </row>
    <row r="400" spans="2:14">
      <c r="B400" s="865"/>
      <c r="C400" s="861"/>
      <c r="D400" s="861"/>
      <c r="E400" s="861"/>
      <c r="F400" s="861"/>
      <c r="G400" s="861"/>
      <c r="H400" s="861"/>
      <c r="I400" s="861"/>
      <c r="J400" s="861"/>
      <c r="K400" s="861"/>
      <c r="L400" s="861"/>
      <c r="M400" s="861"/>
      <c r="N400" s="861"/>
    </row>
    <row r="401" spans="2:14">
      <c r="B401" s="865"/>
      <c r="C401" s="861"/>
      <c r="D401" s="861"/>
      <c r="E401" s="861"/>
      <c r="F401" s="861"/>
      <c r="G401" s="861"/>
      <c r="H401" s="861"/>
      <c r="I401" s="861"/>
      <c r="J401" s="861"/>
      <c r="K401" s="861"/>
      <c r="L401" s="861"/>
      <c r="M401" s="861"/>
      <c r="N401" s="861"/>
    </row>
    <row r="402" spans="2:14">
      <c r="B402" s="865"/>
      <c r="C402" s="861"/>
      <c r="D402" s="861"/>
      <c r="E402" s="861"/>
      <c r="F402" s="861"/>
      <c r="G402" s="861"/>
      <c r="H402" s="861"/>
      <c r="I402" s="861"/>
      <c r="J402" s="861"/>
      <c r="K402" s="861"/>
      <c r="L402" s="861"/>
      <c r="M402" s="861"/>
      <c r="N402" s="861"/>
    </row>
    <row r="403" spans="2:14">
      <c r="B403" s="865"/>
      <c r="C403" s="861"/>
      <c r="D403" s="861"/>
      <c r="E403" s="861"/>
      <c r="F403" s="861"/>
      <c r="G403" s="861"/>
      <c r="H403" s="861"/>
      <c r="I403" s="861"/>
      <c r="J403" s="861"/>
      <c r="K403" s="861"/>
      <c r="L403" s="861"/>
      <c r="M403" s="861"/>
      <c r="N403" s="861"/>
    </row>
    <row r="404" spans="2:14">
      <c r="B404" s="865"/>
      <c r="C404" s="861"/>
      <c r="D404" s="861"/>
      <c r="E404" s="861"/>
      <c r="F404" s="861"/>
      <c r="G404" s="861"/>
      <c r="H404" s="861"/>
      <c r="I404" s="861"/>
      <c r="J404" s="861"/>
      <c r="K404" s="861"/>
      <c r="L404" s="861"/>
      <c r="M404" s="861"/>
      <c r="N404" s="861"/>
    </row>
    <row r="405" spans="2:14">
      <c r="B405" s="865"/>
      <c r="C405" s="861"/>
      <c r="D405" s="861"/>
      <c r="E405" s="861"/>
      <c r="F405" s="861"/>
      <c r="G405" s="861"/>
      <c r="H405" s="861"/>
      <c r="I405" s="861"/>
      <c r="J405" s="861"/>
      <c r="K405" s="861"/>
      <c r="L405" s="861"/>
      <c r="M405" s="861"/>
      <c r="N405" s="861"/>
    </row>
    <row r="406" spans="2:14">
      <c r="B406" s="865"/>
      <c r="C406" s="861"/>
      <c r="D406" s="861"/>
      <c r="E406" s="861"/>
      <c r="F406" s="861"/>
      <c r="G406" s="861"/>
      <c r="H406" s="861"/>
      <c r="I406" s="861"/>
      <c r="J406" s="861"/>
      <c r="K406" s="861"/>
      <c r="L406" s="861"/>
      <c r="M406" s="861"/>
      <c r="N406" s="861"/>
    </row>
    <row r="407" spans="2:14">
      <c r="B407" s="865"/>
      <c r="C407" s="861"/>
      <c r="D407" s="861"/>
      <c r="E407" s="861"/>
      <c r="F407" s="861"/>
      <c r="G407" s="861"/>
      <c r="H407" s="861"/>
      <c r="I407" s="861"/>
      <c r="J407" s="861"/>
      <c r="K407" s="861"/>
      <c r="L407" s="861"/>
      <c r="M407" s="861"/>
      <c r="N407" s="861"/>
    </row>
    <row r="408" spans="2:14">
      <c r="B408" s="865"/>
      <c r="C408" s="861"/>
      <c r="D408" s="861"/>
      <c r="E408" s="861"/>
      <c r="F408" s="861"/>
      <c r="G408" s="861"/>
      <c r="H408" s="861"/>
      <c r="I408" s="861"/>
      <c r="J408" s="861"/>
      <c r="K408" s="861"/>
      <c r="L408" s="861"/>
      <c r="M408" s="861"/>
      <c r="N408" s="861"/>
    </row>
    <row r="409" spans="2:14">
      <c r="B409" s="865"/>
      <c r="C409" s="861"/>
      <c r="D409" s="861"/>
      <c r="E409" s="861"/>
      <c r="F409" s="861"/>
      <c r="G409" s="861"/>
      <c r="H409" s="861"/>
      <c r="I409" s="861"/>
      <c r="J409" s="861"/>
      <c r="K409" s="861"/>
      <c r="L409" s="861"/>
      <c r="M409" s="861"/>
      <c r="N409" s="861"/>
    </row>
    <row r="410" spans="2:14">
      <c r="B410" s="865"/>
      <c r="C410" s="861"/>
      <c r="D410" s="861"/>
      <c r="E410" s="861"/>
      <c r="F410" s="861"/>
      <c r="G410" s="861"/>
      <c r="H410" s="861"/>
      <c r="I410" s="861"/>
      <c r="J410" s="861"/>
      <c r="K410" s="861"/>
      <c r="L410" s="861"/>
      <c r="M410" s="861"/>
      <c r="N410" s="861"/>
    </row>
    <row r="411" spans="2:14">
      <c r="B411" s="865"/>
      <c r="C411" s="861"/>
      <c r="D411" s="861"/>
      <c r="E411" s="861"/>
      <c r="F411" s="861"/>
      <c r="G411" s="861"/>
      <c r="H411" s="861"/>
      <c r="I411" s="861"/>
      <c r="J411" s="861"/>
      <c r="K411" s="861"/>
      <c r="L411" s="861"/>
      <c r="M411" s="861"/>
      <c r="N411" s="861"/>
    </row>
    <row r="412" spans="2:14">
      <c r="B412" s="865"/>
      <c r="C412" s="861"/>
      <c r="D412" s="861"/>
      <c r="E412" s="861"/>
      <c r="F412" s="861"/>
      <c r="G412" s="861"/>
      <c r="H412" s="861"/>
      <c r="I412" s="861"/>
      <c r="J412" s="861"/>
      <c r="K412" s="861"/>
      <c r="L412" s="861"/>
      <c r="M412" s="861"/>
      <c r="N412" s="861"/>
    </row>
    <row r="413" spans="2:14">
      <c r="B413" s="865"/>
      <c r="C413" s="861"/>
      <c r="D413" s="861"/>
      <c r="E413" s="861"/>
      <c r="F413" s="861"/>
      <c r="G413" s="861"/>
      <c r="H413" s="861"/>
      <c r="I413" s="861"/>
      <c r="J413" s="861"/>
      <c r="K413" s="861"/>
      <c r="L413" s="861"/>
      <c r="M413" s="861"/>
      <c r="N413" s="861"/>
    </row>
    <row r="414" spans="2:14">
      <c r="B414" s="865"/>
      <c r="C414" s="861"/>
      <c r="D414" s="861"/>
      <c r="E414" s="861"/>
      <c r="F414" s="861"/>
      <c r="G414" s="861"/>
      <c r="H414" s="861"/>
      <c r="I414" s="861"/>
      <c r="J414" s="861"/>
      <c r="K414" s="861"/>
      <c r="L414" s="861"/>
      <c r="M414" s="861"/>
      <c r="N414" s="861"/>
    </row>
    <row r="415" spans="2:14">
      <c r="B415" s="865"/>
      <c r="C415" s="861"/>
      <c r="D415" s="861"/>
      <c r="E415" s="861"/>
      <c r="F415" s="861"/>
      <c r="G415" s="861"/>
      <c r="H415" s="861"/>
      <c r="I415" s="861"/>
      <c r="J415" s="861"/>
      <c r="K415" s="861"/>
      <c r="L415" s="861"/>
      <c r="M415" s="861"/>
      <c r="N415" s="861"/>
    </row>
    <row r="416" spans="2:14">
      <c r="B416" s="865"/>
      <c r="C416" s="861"/>
      <c r="D416" s="861"/>
      <c r="E416" s="861"/>
      <c r="F416" s="861"/>
      <c r="G416" s="861"/>
      <c r="H416" s="861"/>
      <c r="I416" s="861"/>
      <c r="J416" s="861"/>
      <c r="K416" s="861"/>
      <c r="L416" s="861"/>
      <c r="M416" s="861"/>
      <c r="N416" s="861"/>
    </row>
    <row r="417" spans="2:14">
      <c r="B417" s="865"/>
      <c r="C417" s="861"/>
      <c r="D417" s="861"/>
      <c r="E417" s="861"/>
      <c r="F417" s="861"/>
      <c r="G417" s="861"/>
      <c r="H417" s="861"/>
      <c r="I417" s="861"/>
      <c r="J417" s="861"/>
      <c r="K417" s="861"/>
      <c r="L417" s="861"/>
      <c r="M417" s="861"/>
      <c r="N417" s="861"/>
    </row>
    <row r="418" spans="2:14">
      <c r="B418" s="865"/>
      <c r="C418" s="861"/>
      <c r="D418" s="861"/>
      <c r="E418" s="861"/>
      <c r="F418" s="861"/>
      <c r="G418" s="861"/>
      <c r="H418" s="861"/>
      <c r="I418" s="861"/>
      <c r="J418" s="861"/>
      <c r="K418" s="861"/>
      <c r="L418" s="861"/>
      <c r="M418" s="861"/>
      <c r="N418" s="861"/>
    </row>
    <row r="419" spans="2:14">
      <c r="B419" s="865"/>
      <c r="C419" s="861"/>
      <c r="D419" s="861"/>
      <c r="E419" s="861"/>
      <c r="F419" s="861"/>
      <c r="G419" s="861"/>
      <c r="H419" s="861"/>
      <c r="I419" s="861"/>
      <c r="J419" s="861"/>
      <c r="K419" s="861"/>
      <c r="L419" s="861"/>
      <c r="M419" s="861"/>
      <c r="N419" s="861"/>
    </row>
    <row r="420" spans="2:14">
      <c r="B420" s="865"/>
      <c r="C420" s="861"/>
      <c r="D420" s="861"/>
      <c r="E420" s="861"/>
      <c r="F420" s="861"/>
      <c r="G420" s="861"/>
      <c r="H420" s="861"/>
      <c r="I420" s="861"/>
      <c r="J420" s="861"/>
      <c r="K420" s="861"/>
      <c r="L420" s="861"/>
      <c r="M420" s="861"/>
      <c r="N420" s="861"/>
    </row>
    <row r="421" spans="2:14">
      <c r="B421" s="865"/>
      <c r="C421" s="861"/>
      <c r="D421" s="861"/>
      <c r="E421" s="861"/>
      <c r="F421" s="861"/>
      <c r="G421" s="861"/>
      <c r="H421" s="861"/>
      <c r="I421" s="861"/>
      <c r="J421" s="861"/>
      <c r="K421" s="861"/>
      <c r="L421" s="861"/>
      <c r="M421" s="861"/>
      <c r="N421" s="861"/>
    </row>
    <row r="422" spans="2:14">
      <c r="B422" s="865"/>
      <c r="C422" s="861"/>
      <c r="D422" s="861"/>
      <c r="E422" s="861"/>
      <c r="F422" s="861"/>
      <c r="G422" s="861"/>
      <c r="H422" s="861"/>
      <c r="I422" s="861"/>
      <c r="J422" s="861"/>
      <c r="K422" s="861"/>
      <c r="L422" s="861"/>
      <c r="M422" s="861"/>
      <c r="N422" s="861"/>
    </row>
    <row r="423" spans="2:14">
      <c r="B423" s="865"/>
      <c r="C423" s="861"/>
      <c r="D423" s="861"/>
      <c r="E423" s="861"/>
      <c r="F423" s="861"/>
      <c r="G423" s="861"/>
      <c r="H423" s="861"/>
      <c r="I423" s="861"/>
      <c r="J423" s="861"/>
      <c r="K423" s="861"/>
      <c r="L423" s="861"/>
      <c r="M423" s="861"/>
      <c r="N423" s="861"/>
    </row>
    <row r="424" spans="2:14">
      <c r="B424" s="865"/>
      <c r="C424" s="861"/>
      <c r="D424" s="861"/>
      <c r="E424" s="861"/>
      <c r="F424" s="861"/>
      <c r="G424" s="861"/>
      <c r="H424" s="861"/>
      <c r="I424" s="861"/>
      <c r="J424" s="861"/>
      <c r="K424" s="861"/>
      <c r="L424" s="861"/>
      <c r="M424" s="861"/>
      <c r="N424" s="861"/>
    </row>
    <row r="425" spans="2:14">
      <c r="B425" s="865"/>
      <c r="C425" s="861"/>
      <c r="D425" s="861"/>
      <c r="E425" s="861"/>
      <c r="F425" s="861"/>
      <c r="G425" s="861"/>
      <c r="H425" s="861"/>
      <c r="I425" s="861"/>
      <c r="J425" s="861"/>
      <c r="K425" s="861"/>
      <c r="L425" s="861"/>
      <c r="M425" s="861"/>
      <c r="N425" s="861"/>
    </row>
    <row r="426" spans="2:14">
      <c r="B426" s="865"/>
      <c r="C426" s="861"/>
      <c r="D426" s="861"/>
      <c r="E426" s="861"/>
      <c r="F426" s="861"/>
      <c r="G426" s="861"/>
      <c r="H426" s="861"/>
      <c r="I426" s="861"/>
      <c r="J426" s="861"/>
      <c r="K426" s="861"/>
      <c r="L426" s="861"/>
      <c r="M426" s="861"/>
      <c r="N426" s="861"/>
    </row>
    <row r="427" spans="2:14">
      <c r="B427" s="865"/>
      <c r="C427" s="861"/>
      <c r="D427" s="861"/>
      <c r="E427" s="861"/>
      <c r="F427" s="861"/>
      <c r="G427" s="861"/>
      <c r="H427" s="861"/>
      <c r="I427" s="861"/>
      <c r="J427" s="861"/>
      <c r="K427" s="861"/>
      <c r="L427" s="861"/>
      <c r="M427" s="861"/>
      <c r="N427" s="861"/>
    </row>
    <row r="428" spans="2:14">
      <c r="B428" s="865"/>
      <c r="C428" s="861"/>
      <c r="D428" s="861"/>
      <c r="E428" s="861"/>
      <c r="F428" s="861"/>
      <c r="G428" s="861"/>
      <c r="H428" s="861"/>
      <c r="I428" s="861"/>
      <c r="J428" s="861"/>
      <c r="K428" s="861"/>
      <c r="L428" s="861"/>
      <c r="M428" s="861"/>
      <c r="N428" s="861"/>
    </row>
    <row r="429" spans="2:14">
      <c r="B429" s="865"/>
      <c r="C429" s="861"/>
      <c r="D429" s="861"/>
      <c r="E429" s="861"/>
      <c r="F429" s="861"/>
      <c r="G429" s="861"/>
      <c r="H429" s="861"/>
      <c r="I429" s="861"/>
      <c r="J429" s="861"/>
      <c r="K429" s="861"/>
      <c r="L429" s="861"/>
      <c r="M429" s="861"/>
      <c r="N429" s="861"/>
    </row>
    <row r="430" spans="2:14">
      <c r="B430" s="865"/>
      <c r="C430" s="861"/>
      <c r="D430" s="861"/>
      <c r="E430" s="861"/>
      <c r="F430" s="861"/>
      <c r="G430" s="861"/>
      <c r="H430" s="861"/>
      <c r="I430" s="861"/>
      <c r="J430" s="861"/>
      <c r="K430" s="861"/>
      <c r="L430" s="861"/>
      <c r="M430" s="861"/>
      <c r="N430" s="861"/>
    </row>
    <row r="431" spans="2:14">
      <c r="B431" s="865"/>
      <c r="C431" s="861"/>
      <c r="D431" s="861"/>
      <c r="E431" s="861"/>
      <c r="F431" s="861"/>
      <c r="G431" s="861"/>
      <c r="H431" s="861"/>
      <c r="I431" s="861"/>
      <c r="J431" s="861"/>
      <c r="K431" s="861"/>
      <c r="L431" s="861"/>
      <c r="M431" s="861"/>
      <c r="N431" s="861"/>
    </row>
    <row r="432" spans="2:14">
      <c r="B432" s="865"/>
      <c r="C432" s="861"/>
      <c r="D432" s="861"/>
      <c r="E432" s="861"/>
      <c r="F432" s="861"/>
      <c r="G432" s="861"/>
      <c r="H432" s="861"/>
      <c r="I432" s="861"/>
      <c r="J432" s="861"/>
      <c r="K432" s="861"/>
      <c r="L432" s="861"/>
      <c r="M432" s="861"/>
      <c r="N432" s="861"/>
    </row>
    <row r="433" spans="2:14">
      <c r="B433" s="865"/>
      <c r="C433" s="861"/>
      <c r="D433" s="861"/>
      <c r="E433" s="861"/>
      <c r="F433" s="861"/>
      <c r="G433" s="861"/>
      <c r="H433" s="861"/>
      <c r="I433" s="861"/>
      <c r="J433" s="861"/>
      <c r="K433" s="861"/>
      <c r="L433" s="861"/>
      <c r="M433" s="861"/>
      <c r="N433" s="861"/>
    </row>
    <row r="434" spans="2:14">
      <c r="B434" s="865"/>
      <c r="C434" s="861"/>
      <c r="D434" s="861"/>
      <c r="E434" s="861"/>
      <c r="F434" s="861"/>
      <c r="G434" s="861"/>
      <c r="H434" s="861"/>
      <c r="I434" s="861"/>
      <c r="J434" s="861"/>
      <c r="K434" s="861"/>
      <c r="L434" s="861"/>
      <c r="M434" s="861"/>
      <c r="N434" s="861"/>
    </row>
    <row r="435" spans="2:14">
      <c r="B435" s="865"/>
      <c r="C435" s="861"/>
      <c r="D435" s="861"/>
      <c r="E435" s="861"/>
      <c r="F435" s="861"/>
      <c r="G435" s="861"/>
      <c r="H435" s="861"/>
      <c r="I435" s="861"/>
      <c r="J435" s="861"/>
      <c r="K435" s="861"/>
      <c r="L435" s="861"/>
      <c r="M435" s="861"/>
      <c r="N435" s="861"/>
    </row>
    <row r="436" spans="2:14">
      <c r="B436" s="865"/>
      <c r="C436" s="861"/>
      <c r="D436" s="861"/>
      <c r="E436" s="861"/>
      <c r="F436" s="861"/>
      <c r="G436" s="861"/>
      <c r="H436" s="861"/>
      <c r="I436" s="861"/>
      <c r="J436" s="861"/>
      <c r="K436" s="861"/>
      <c r="L436" s="861"/>
      <c r="M436" s="861"/>
      <c r="N436" s="861"/>
    </row>
    <row r="437" spans="2:14">
      <c r="B437" s="865"/>
      <c r="C437" s="861"/>
      <c r="D437" s="861"/>
      <c r="E437" s="861"/>
      <c r="F437" s="861"/>
      <c r="G437" s="861"/>
      <c r="H437" s="861"/>
      <c r="I437" s="861"/>
      <c r="J437" s="861"/>
      <c r="K437" s="861"/>
      <c r="L437" s="861"/>
      <c r="M437" s="861"/>
      <c r="N437" s="861"/>
    </row>
    <row r="438" spans="2:14">
      <c r="B438" s="865"/>
      <c r="C438" s="861"/>
      <c r="D438" s="861"/>
      <c r="E438" s="861"/>
      <c r="F438" s="861"/>
      <c r="G438" s="861"/>
      <c r="H438" s="861"/>
      <c r="I438" s="861"/>
      <c r="J438" s="861"/>
      <c r="K438" s="861"/>
      <c r="L438" s="861"/>
      <c r="M438" s="861"/>
      <c r="N438" s="861"/>
    </row>
    <row r="439" spans="2:14">
      <c r="B439" s="865"/>
      <c r="C439" s="861"/>
      <c r="D439" s="861"/>
      <c r="E439" s="861"/>
      <c r="F439" s="861"/>
      <c r="G439" s="861"/>
      <c r="H439" s="861"/>
      <c r="I439" s="861"/>
      <c r="J439" s="861"/>
      <c r="K439" s="861"/>
      <c r="L439" s="861"/>
      <c r="M439" s="861"/>
      <c r="N439" s="861"/>
    </row>
    <row r="440" spans="2:14">
      <c r="B440" s="865"/>
      <c r="C440" s="861"/>
      <c r="D440" s="861"/>
      <c r="E440" s="861"/>
      <c r="F440" s="861"/>
      <c r="G440" s="861"/>
      <c r="H440" s="861"/>
      <c r="I440" s="861"/>
      <c r="J440" s="861"/>
      <c r="K440" s="861"/>
      <c r="L440" s="861"/>
      <c r="M440" s="861"/>
      <c r="N440" s="861"/>
    </row>
    <row r="441" spans="2:14">
      <c r="B441" s="865"/>
      <c r="C441" s="861"/>
      <c r="D441" s="861"/>
      <c r="E441" s="861"/>
      <c r="F441" s="861"/>
      <c r="G441" s="861"/>
      <c r="H441" s="861"/>
      <c r="I441" s="861"/>
      <c r="J441" s="861"/>
      <c r="K441" s="861"/>
      <c r="L441" s="861"/>
      <c r="M441" s="861"/>
      <c r="N441" s="861"/>
    </row>
    <row r="442" spans="2:14">
      <c r="B442" s="865"/>
      <c r="C442" s="861"/>
      <c r="D442" s="861"/>
      <c r="E442" s="861"/>
      <c r="F442" s="861"/>
      <c r="G442" s="861"/>
      <c r="H442" s="861"/>
      <c r="I442" s="861"/>
      <c r="J442" s="861"/>
      <c r="K442" s="861"/>
      <c r="L442" s="861"/>
      <c r="M442" s="861"/>
      <c r="N442" s="861"/>
    </row>
    <row r="443" spans="2:14">
      <c r="B443" s="865"/>
      <c r="C443" s="861"/>
      <c r="D443" s="861"/>
      <c r="E443" s="861"/>
      <c r="F443" s="861"/>
      <c r="G443" s="861"/>
      <c r="H443" s="861"/>
      <c r="I443" s="861"/>
      <c r="J443" s="861"/>
      <c r="K443" s="861"/>
      <c r="L443" s="861"/>
      <c r="M443" s="861"/>
      <c r="N443" s="861"/>
    </row>
    <row r="444" spans="2:14">
      <c r="B444" s="865"/>
      <c r="C444" s="861"/>
      <c r="D444" s="861"/>
      <c r="E444" s="861"/>
      <c r="F444" s="861"/>
      <c r="G444" s="861"/>
      <c r="H444" s="861"/>
      <c r="I444" s="861"/>
      <c r="J444" s="861"/>
      <c r="K444" s="861"/>
      <c r="L444" s="861"/>
      <c r="M444" s="861"/>
      <c r="N444" s="861"/>
    </row>
    <row r="445" spans="2:14">
      <c r="B445" s="865"/>
      <c r="C445" s="861"/>
      <c r="D445" s="861"/>
      <c r="E445" s="861"/>
      <c r="F445" s="861"/>
      <c r="G445" s="861"/>
      <c r="H445" s="861"/>
      <c r="I445" s="861"/>
      <c r="J445" s="861"/>
      <c r="K445" s="861"/>
      <c r="L445" s="861"/>
      <c r="M445" s="861"/>
      <c r="N445" s="861"/>
    </row>
    <row r="446" spans="2:14">
      <c r="B446" s="865"/>
      <c r="C446" s="861"/>
      <c r="D446" s="861"/>
      <c r="E446" s="861"/>
      <c r="F446" s="861"/>
      <c r="G446" s="861"/>
      <c r="H446" s="861"/>
      <c r="I446" s="861"/>
      <c r="J446" s="861"/>
      <c r="K446" s="861"/>
      <c r="L446" s="861"/>
      <c r="M446" s="861"/>
      <c r="N446" s="861"/>
    </row>
    <row r="447" spans="2:14">
      <c r="B447" s="865"/>
      <c r="C447" s="861"/>
      <c r="D447" s="861"/>
      <c r="E447" s="861"/>
      <c r="F447" s="861"/>
      <c r="G447" s="861"/>
      <c r="H447" s="861"/>
      <c r="I447" s="861"/>
      <c r="J447" s="861"/>
      <c r="K447" s="861"/>
      <c r="L447" s="861"/>
      <c r="M447" s="861"/>
      <c r="N447" s="861"/>
    </row>
    <row r="448" spans="2:14">
      <c r="B448" s="865"/>
      <c r="C448" s="861"/>
      <c r="D448" s="861"/>
      <c r="E448" s="861"/>
      <c r="F448" s="861"/>
      <c r="G448" s="861"/>
      <c r="H448" s="861"/>
      <c r="I448" s="861"/>
      <c r="J448" s="861"/>
      <c r="K448" s="861"/>
      <c r="L448" s="861"/>
      <c r="M448" s="861"/>
      <c r="N448" s="861"/>
    </row>
    <row r="449" spans="2:14">
      <c r="B449" s="865"/>
      <c r="C449" s="861"/>
      <c r="D449" s="861"/>
      <c r="E449" s="861"/>
      <c r="F449" s="861"/>
      <c r="G449" s="861"/>
      <c r="H449" s="861"/>
      <c r="I449" s="861"/>
      <c r="J449" s="861"/>
      <c r="K449" s="861"/>
      <c r="L449" s="861"/>
      <c r="M449" s="861"/>
      <c r="N449" s="861"/>
    </row>
    <row r="450" spans="2:14">
      <c r="B450" s="865"/>
      <c r="C450" s="861"/>
      <c r="D450" s="861"/>
      <c r="E450" s="861"/>
      <c r="F450" s="861"/>
      <c r="G450" s="861"/>
      <c r="H450" s="861"/>
      <c r="I450" s="861"/>
      <c r="J450" s="861"/>
      <c r="K450" s="861"/>
      <c r="L450" s="861"/>
      <c r="M450" s="861"/>
      <c r="N450" s="861"/>
    </row>
    <row r="451" spans="2:14">
      <c r="B451" s="865"/>
      <c r="C451" s="861"/>
      <c r="D451" s="861"/>
      <c r="E451" s="861"/>
      <c r="F451" s="861"/>
      <c r="G451" s="861"/>
      <c r="H451" s="861"/>
      <c r="I451" s="861"/>
      <c r="J451" s="861"/>
      <c r="K451" s="861"/>
      <c r="L451" s="861"/>
      <c r="M451" s="861"/>
      <c r="N451" s="861"/>
    </row>
    <row r="452" spans="2:14">
      <c r="B452" s="865"/>
      <c r="C452" s="861"/>
      <c r="D452" s="861"/>
      <c r="E452" s="861"/>
      <c r="F452" s="861"/>
      <c r="G452" s="861"/>
      <c r="H452" s="861"/>
      <c r="I452" s="861"/>
      <c r="J452" s="861"/>
      <c r="K452" s="861"/>
      <c r="L452" s="861"/>
      <c r="M452" s="861"/>
      <c r="N452" s="861"/>
    </row>
    <row r="453" spans="2:14">
      <c r="B453" s="865"/>
      <c r="C453" s="861"/>
      <c r="D453" s="861"/>
      <c r="E453" s="861"/>
      <c r="F453" s="861"/>
      <c r="G453" s="861"/>
      <c r="H453" s="861"/>
      <c r="I453" s="861"/>
      <c r="J453" s="861"/>
      <c r="K453" s="861"/>
      <c r="L453" s="861"/>
      <c r="M453" s="861"/>
      <c r="N453" s="861"/>
    </row>
    <row r="454" spans="2:14">
      <c r="B454" s="865"/>
      <c r="C454" s="861"/>
      <c r="D454" s="861"/>
      <c r="E454" s="861"/>
      <c r="F454" s="861"/>
      <c r="G454" s="861"/>
      <c r="H454" s="861"/>
      <c r="I454" s="861"/>
      <c r="J454" s="861"/>
      <c r="K454" s="861"/>
      <c r="L454" s="861"/>
      <c r="M454" s="861"/>
      <c r="N454" s="861"/>
    </row>
    <row r="455" spans="2:14">
      <c r="B455" s="865"/>
      <c r="C455" s="861"/>
      <c r="D455" s="861"/>
      <c r="E455" s="861"/>
      <c r="F455" s="861"/>
      <c r="G455" s="861"/>
      <c r="H455" s="861"/>
      <c r="I455" s="861"/>
      <c r="J455" s="861"/>
      <c r="K455" s="861"/>
      <c r="L455" s="861"/>
      <c r="M455" s="861"/>
      <c r="N455" s="861"/>
    </row>
    <row r="456" spans="2:14">
      <c r="B456" s="865"/>
      <c r="C456" s="861"/>
      <c r="D456" s="861"/>
      <c r="E456" s="861"/>
      <c r="F456" s="861"/>
      <c r="G456" s="861"/>
      <c r="H456" s="861"/>
      <c r="I456" s="861"/>
      <c r="J456" s="861"/>
      <c r="K456" s="861"/>
      <c r="L456" s="861"/>
      <c r="M456" s="861"/>
      <c r="N456" s="861"/>
    </row>
    <row r="457" spans="2:14">
      <c r="B457" s="865"/>
      <c r="C457" s="861"/>
      <c r="D457" s="861"/>
      <c r="E457" s="861"/>
      <c r="F457" s="861"/>
      <c r="G457" s="861"/>
      <c r="H457" s="861"/>
      <c r="I457" s="861"/>
      <c r="J457" s="861"/>
      <c r="K457" s="861"/>
      <c r="L457" s="861"/>
      <c r="M457" s="861"/>
      <c r="N457" s="861"/>
    </row>
    <row r="458" spans="2:14">
      <c r="B458" s="865"/>
      <c r="C458" s="861"/>
      <c r="D458" s="861"/>
      <c r="E458" s="861"/>
      <c r="F458" s="861"/>
      <c r="G458" s="861"/>
      <c r="H458" s="861"/>
      <c r="I458" s="861"/>
      <c r="J458" s="861"/>
      <c r="K458" s="861"/>
      <c r="L458" s="861"/>
      <c r="M458" s="861"/>
      <c r="N458" s="861"/>
    </row>
    <row r="459" spans="2:14">
      <c r="B459" s="865"/>
      <c r="C459" s="861"/>
      <c r="D459" s="861"/>
      <c r="E459" s="861"/>
      <c r="F459" s="861"/>
      <c r="G459" s="861"/>
      <c r="H459" s="861"/>
      <c r="I459" s="861"/>
      <c r="J459" s="861"/>
      <c r="K459" s="861"/>
      <c r="L459" s="861"/>
      <c r="M459" s="861"/>
      <c r="N459" s="861"/>
    </row>
    <row r="460" spans="2:14">
      <c r="B460" s="865"/>
      <c r="C460" s="861"/>
      <c r="D460" s="861"/>
      <c r="E460" s="861"/>
      <c r="F460" s="861"/>
      <c r="G460" s="861"/>
      <c r="H460" s="861"/>
      <c r="I460" s="861"/>
      <c r="J460" s="861"/>
      <c r="K460" s="861"/>
      <c r="L460" s="861"/>
      <c r="M460" s="861"/>
      <c r="N460" s="861"/>
    </row>
    <row r="461" spans="2:14">
      <c r="B461" s="865"/>
      <c r="C461" s="861"/>
      <c r="D461" s="861"/>
      <c r="E461" s="861"/>
      <c r="F461" s="861"/>
      <c r="G461" s="861"/>
      <c r="H461" s="861"/>
      <c r="I461" s="861"/>
      <c r="J461" s="861"/>
      <c r="K461" s="861"/>
      <c r="L461" s="861"/>
      <c r="M461" s="861"/>
      <c r="N461" s="861"/>
    </row>
    <row r="462" spans="2:14">
      <c r="B462" s="865"/>
      <c r="C462" s="861"/>
      <c r="D462" s="861"/>
      <c r="E462" s="861"/>
      <c r="F462" s="861"/>
      <c r="G462" s="861"/>
      <c r="H462" s="861"/>
      <c r="I462" s="861"/>
      <c r="J462" s="861"/>
      <c r="K462" s="861"/>
      <c r="L462" s="861"/>
      <c r="M462" s="861"/>
      <c r="N462" s="861"/>
    </row>
    <row r="463" spans="2:14">
      <c r="B463" s="865"/>
      <c r="C463" s="861"/>
      <c r="D463" s="861"/>
      <c r="E463" s="861"/>
      <c r="F463" s="861"/>
      <c r="G463" s="861"/>
      <c r="H463" s="861"/>
      <c r="I463" s="861"/>
      <c r="J463" s="861"/>
      <c r="K463" s="861"/>
      <c r="L463" s="861"/>
      <c r="M463" s="861"/>
      <c r="N463" s="861"/>
    </row>
    <row r="464" spans="2:14">
      <c r="B464" s="865"/>
      <c r="C464" s="861"/>
      <c r="D464" s="861"/>
      <c r="E464" s="861"/>
      <c r="F464" s="861"/>
      <c r="G464" s="861"/>
      <c r="H464" s="861"/>
      <c r="I464" s="861"/>
      <c r="J464" s="861"/>
      <c r="K464" s="861"/>
      <c r="L464" s="861"/>
      <c r="M464" s="861"/>
      <c r="N464" s="861"/>
    </row>
    <row r="465" spans="2:14">
      <c r="B465" s="865"/>
      <c r="C465" s="861"/>
      <c r="D465" s="861"/>
      <c r="E465" s="861"/>
      <c r="F465" s="861"/>
      <c r="G465" s="861"/>
      <c r="H465" s="861"/>
      <c r="I465" s="861"/>
      <c r="J465" s="861"/>
      <c r="K465" s="861"/>
      <c r="L465" s="861"/>
      <c r="M465" s="861"/>
      <c r="N465" s="861"/>
    </row>
    <row r="466" spans="2:14">
      <c r="B466" s="865"/>
      <c r="C466" s="861"/>
      <c r="D466" s="861"/>
      <c r="E466" s="861"/>
      <c r="F466" s="861"/>
      <c r="G466" s="861"/>
      <c r="H466" s="861"/>
      <c r="I466" s="861"/>
      <c r="J466" s="861"/>
      <c r="K466" s="861"/>
      <c r="L466" s="861"/>
      <c r="M466" s="861"/>
      <c r="N466" s="861"/>
    </row>
    <row r="467" spans="2:14">
      <c r="B467" s="865"/>
      <c r="C467" s="861"/>
      <c r="D467" s="861"/>
      <c r="E467" s="861"/>
      <c r="F467" s="861"/>
      <c r="G467" s="861"/>
      <c r="H467" s="861"/>
      <c r="I467" s="861"/>
      <c r="J467" s="861"/>
      <c r="K467" s="861"/>
      <c r="L467" s="861"/>
      <c r="M467" s="861"/>
      <c r="N467" s="861"/>
    </row>
    <row r="468" spans="2:14">
      <c r="B468" s="865"/>
      <c r="C468" s="861"/>
      <c r="D468" s="861"/>
      <c r="E468" s="861"/>
      <c r="F468" s="861"/>
      <c r="G468" s="861"/>
      <c r="H468" s="861"/>
      <c r="I468" s="861"/>
      <c r="J468" s="861"/>
      <c r="K468" s="861"/>
      <c r="L468" s="861"/>
      <c r="M468" s="861"/>
      <c r="N468" s="861"/>
    </row>
    <row r="469" spans="2:14">
      <c r="B469" s="865"/>
      <c r="C469" s="861"/>
      <c r="D469" s="861"/>
      <c r="E469" s="861"/>
      <c r="F469" s="861"/>
      <c r="G469" s="861"/>
      <c r="H469" s="861"/>
      <c r="I469" s="861"/>
      <c r="J469" s="861"/>
      <c r="K469" s="861"/>
      <c r="L469" s="861"/>
      <c r="M469" s="861"/>
      <c r="N469" s="861"/>
    </row>
    <row r="470" spans="2:14">
      <c r="B470" s="865"/>
      <c r="C470" s="861"/>
      <c r="D470" s="861"/>
      <c r="E470" s="861"/>
      <c r="F470" s="861"/>
      <c r="G470" s="861"/>
      <c r="H470" s="861"/>
      <c r="I470" s="861"/>
      <c r="J470" s="861"/>
      <c r="K470" s="861"/>
      <c r="L470" s="861"/>
      <c r="M470" s="861"/>
      <c r="N470" s="861"/>
    </row>
    <row r="471" spans="2:14">
      <c r="B471" s="865"/>
      <c r="C471" s="861"/>
      <c r="D471" s="861"/>
      <c r="E471" s="861"/>
      <c r="F471" s="861"/>
      <c r="G471" s="861"/>
      <c r="H471" s="861"/>
      <c r="I471" s="861"/>
      <c r="J471" s="861"/>
      <c r="K471" s="861"/>
      <c r="L471" s="861"/>
      <c r="M471" s="861"/>
      <c r="N471" s="861"/>
    </row>
  </sheetData>
  <mergeCells count="6">
    <mergeCell ref="X5:AF5"/>
    <mergeCell ref="A1:N1"/>
    <mergeCell ref="A2:N2"/>
    <mergeCell ref="A3:N3"/>
    <mergeCell ref="F5:N5"/>
    <mergeCell ref="O5:W5"/>
  </mergeCells>
  <printOptions horizontalCentered="1"/>
  <pageMargins left="0.25" right="0.25" top="0.5" bottom="0.5" header="0.3" footer="0.3"/>
  <pageSetup scale="57" fitToWidth="3" orientation="landscape" cellComments="asDisplayed" r:id="rId1"/>
  <headerFooter alignWithMargins="0"/>
  <colBreaks count="1" manualBreakCount="1">
    <brk id="14"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5"/>
  <sheetViews>
    <sheetView view="pageBreakPreview" topLeftCell="A58" zoomScale="90" zoomScaleNormal="100" zoomScaleSheetLayoutView="90" workbookViewId="0">
      <selection activeCell="A50" sqref="A50:XFD50"/>
    </sheetView>
  </sheetViews>
  <sheetFormatPr defaultColWidth="14" defaultRowHeight="13.2"/>
  <cols>
    <col min="1" max="1" width="5.81640625" style="125" bestFit="1" customWidth="1"/>
    <col min="2" max="2" width="20.90625" style="15" customWidth="1"/>
    <col min="3" max="3" width="14.36328125" style="15" customWidth="1"/>
    <col min="4" max="4" width="16.36328125" style="15" customWidth="1"/>
    <col min="5" max="5" width="10.36328125" style="15" customWidth="1"/>
    <col min="6" max="6" width="10.90625" style="15" customWidth="1"/>
    <col min="7" max="7" width="10" style="15" customWidth="1"/>
    <col min="8" max="8" width="12.453125" style="15" bestFit="1" customWidth="1"/>
    <col min="9" max="9" width="12.453125" style="15" customWidth="1"/>
    <col min="10" max="10" width="13.6328125" style="15" bestFit="1" customWidth="1"/>
    <col min="11" max="11" width="12.54296875" style="15" bestFit="1" customWidth="1"/>
    <col min="12" max="12" width="13.1796875" style="15" customWidth="1"/>
    <col min="13" max="13" width="12.81640625" style="15" customWidth="1"/>
    <col min="14" max="14" width="14" style="15"/>
    <col min="15" max="15" width="10" style="15" bestFit="1" customWidth="1"/>
    <col min="16" max="16384" width="14" style="15"/>
  </cols>
  <sheetData>
    <row r="1" spans="1:15">
      <c r="G1" s="20" t="s">
        <v>284</v>
      </c>
      <c r="M1" s="364" t="s">
        <v>947</v>
      </c>
    </row>
    <row r="2" spans="1:15" ht="15" customHeight="1">
      <c r="G2" s="362" t="s">
        <v>756</v>
      </c>
    </row>
    <row r="3" spans="1:15">
      <c r="D3" s="40"/>
      <c r="E3" s="40"/>
      <c r="F3" s="40"/>
      <c r="G3" s="294" t="str">
        <f>+'Attachment H'!D5</f>
        <v>Gridliance High Plains LLC</v>
      </c>
      <c r="H3" s="40"/>
      <c r="J3" s="40"/>
      <c r="K3" s="40"/>
      <c r="L3" s="40"/>
      <c r="M3" s="40"/>
      <c r="N3" s="40"/>
    </row>
    <row r="4" spans="1:15">
      <c r="B4" s="29"/>
    </row>
    <row r="6" spans="1:15" s="139" customFormat="1" ht="69.75" customHeight="1">
      <c r="A6" s="458" t="s">
        <v>239</v>
      </c>
      <c r="B6" s="137" t="s">
        <v>252</v>
      </c>
      <c r="C6" s="138" t="s">
        <v>458</v>
      </c>
      <c r="D6" s="138" t="s">
        <v>394</v>
      </c>
      <c r="E6" s="138" t="s">
        <v>395</v>
      </c>
      <c r="F6" s="138" t="s">
        <v>459</v>
      </c>
      <c r="G6" s="137" t="s">
        <v>375</v>
      </c>
      <c r="H6" s="137" t="s">
        <v>260</v>
      </c>
      <c r="I6" s="137" t="s">
        <v>261</v>
      </c>
      <c r="J6" s="138" t="s">
        <v>379</v>
      </c>
      <c r="K6" s="138" t="s">
        <v>460</v>
      </c>
      <c r="L6" s="633" t="s">
        <v>592</v>
      </c>
      <c r="M6" s="138" t="s">
        <v>461</v>
      </c>
      <c r="O6" s="499"/>
    </row>
    <row r="7" spans="1:15" s="139" customFormat="1">
      <c r="A7" s="458"/>
      <c r="B7" s="137"/>
      <c r="C7" s="130" t="s">
        <v>292</v>
      </c>
      <c r="D7" s="414" t="s">
        <v>293</v>
      </c>
      <c r="E7" s="414" t="s">
        <v>294</v>
      </c>
      <c r="F7" s="415" t="s">
        <v>295</v>
      </c>
      <c r="G7" s="415" t="s">
        <v>297</v>
      </c>
      <c r="H7" s="415" t="s">
        <v>296</v>
      </c>
      <c r="I7" s="416" t="s">
        <v>298</v>
      </c>
      <c r="J7" s="416" t="s">
        <v>299</v>
      </c>
      <c r="K7" s="416" t="s">
        <v>300</v>
      </c>
      <c r="L7" s="362" t="s">
        <v>393</v>
      </c>
      <c r="M7" s="362" t="s">
        <v>397</v>
      </c>
      <c r="O7" s="499"/>
    </row>
    <row r="8" spans="1:15" ht="25.5" customHeight="1">
      <c r="A8" s="418"/>
      <c r="B8" s="626" t="s">
        <v>597</v>
      </c>
      <c r="C8" s="130">
        <v>1</v>
      </c>
      <c r="D8" s="130">
        <v>2</v>
      </c>
      <c r="E8" s="130">
        <v>3</v>
      </c>
      <c r="F8" s="130">
        <v>4</v>
      </c>
      <c r="G8" s="130">
        <v>5</v>
      </c>
      <c r="H8" s="131">
        <v>6</v>
      </c>
      <c r="I8" s="130">
        <v>7</v>
      </c>
      <c r="J8" s="131">
        <v>9</v>
      </c>
      <c r="K8" s="131">
        <v>11</v>
      </c>
      <c r="L8" s="131">
        <v>12</v>
      </c>
      <c r="M8" s="130">
        <v>16</v>
      </c>
      <c r="O8" s="500"/>
    </row>
    <row r="9" spans="1:15" s="17" customFormat="1" ht="24.75" customHeight="1">
      <c r="A9" s="418"/>
      <c r="B9" s="133" t="s">
        <v>757</v>
      </c>
      <c r="C9" s="362" t="s">
        <v>758</v>
      </c>
      <c r="D9" s="362" t="s">
        <v>759</v>
      </c>
      <c r="E9" s="362" t="s">
        <v>760</v>
      </c>
      <c r="F9" s="362" t="s">
        <v>761</v>
      </c>
      <c r="G9" s="676" t="s">
        <v>762</v>
      </c>
      <c r="H9" s="676" t="str">
        <f>+G9</f>
        <v>(Note E)</v>
      </c>
      <c r="I9" s="676" t="str">
        <f>+H9</f>
        <v>(Note E)</v>
      </c>
      <c r="J9" s="676" t="s">
        <v>763</v>
      </c>
      <c r="K9" s="676" t="s">
        <v>764</v>
      </c>
      <c r="L9" s="676" t="s">
        <v>765</v>
      </c>
      <c r="M9" s="362" t="s">
        <v>766</v>
      </c>
      <c r="O9" s="501"/>
    </row>
    <row r="10" spans="1:15" s="17" customFormat="1">
      <c r="A10" s="418"/>
      <c r="B10" s="133"/>
      <c r="O10" s="501"/>
    </row>
    <row r="11" spans="1:15">
      <c r="A11" s="418"/>
      <c r="B11" s="140"/>
      <c r="C11" s="130"/>
      <c r="D11" s="130"/>
      <c r="E11" s="130"/>
      <c r="F11" s="130"/>
      <c r="G11" s="130"/>
      <c r="H11" s="131"/>
      <c r="I11" s="130"/>
      <c r="J11" s="131"/>
      <c r="K11" s="131"/>
      <c r="L11" s="131"/>
      <c r="M11" s="130"/>
      <c r="O11" s="500"/>
    </row>
    <row r="12" spans="1:15">
      <c r="A12" s="418" t="s">
        <v>381</v>
      </c>
      <c r="B12" s="129" t="s">
        <v>105</v>
      </c>
      <c r="C12" s="644">
        <v>255922.30778060571</v>
      </c>
      <c r="D12" s="417">
        <v>0</v>
      </c>
      <c r="E12" s="417">
        <v>0</v>
      </c>
      <c r="F12" s="643">
        <v>418043.06451931136</v>
      </c>
      <c r="G12" s="417">
        <v>0</v>
      </c>
      <c r="H12" s="417">
        <v>0</v>
      </c>
      <c r="I12" s="417">
        <v>0</v>
      </c>
      <c r="J12" s="417">
        <v>0</v>
      </c>
      <c r="K12" s="417">
        <v>0</v>
      </c>
      <c r="L12" s="417">
        <v>0</v>
      </c>
      <c r="M12" s="1003">
        <v>183366.56327873809</v>
      </c>
      <c r="O12" s="502"/>
    </row>
    <row r="13" spans="1:15">
      <c r="A13" s="418" t="s">
        <v>250</v>
      </c>
      <c r="B13" s="129" t="s">
        <v>104</v>
      </c>
      <c r="C13" s="644">
        <v>255922.30778060571</v>
      </c>
      <c r="D13" s="417">
        <v>0</v>
      </c>
      <c r="E13" s="417">
        <v>0</v>
      </c>
      <c r="F13" s="643">
        <v>418043.06451931136</v>
      </c>
      <c r="G13" s="417">
        <v>0</v>
      </c>
      <c r="H13" s="417">
        <v>0</v>
      </c>
      <c r="I13" s="417">
        <v>0</v>
      </c>
      <c r="J13" s="417">
        <v>0</v>
      </c>
      <c r="K13" s="417">
        <v>0</v>
      </c>
      <c r="L13" s="417">
        <v>0</v>
      </c>
      <c r="M13" s="643">
        <v>183366.56327873634</v>
      </c>
      <c r="N13" s="772"/>
      <c r="O13" s="502"/>
    </row>
    <row r="14" spans="1:15">
      <c r="A14" s="418" t="s">
        <v>382</v>
      </c>
      <c r="B14" s="129" t="s">
        <v>103</v>
      </c>
      <c r="C14" s="644">
        <v>255922.30778060571</v>
      </c>
      <c r="D14" s="417">
        <v>0</v>
      </c>
      <c r="E14" s="417">
        <v>0</v>
      </c>
      <c r="F14" s="643">
        <v>418043.06451931136</v>
      </c>
      <c r="G14" s="417">
        <v>0</v>
      </c>
      <c r="H14" s="417">
        <v>0</v>
      </c>
      <c r="I14" s="417">
        <v>0</v>
      </c>
      <c r="J14" s="417">
        <v>0</v>
      </c>
      <c r="K14" s="417">
        <v>0</v>
      </c>
      <c r="L14" s="417">
        <v>0</v>
      </c>
      <c r="M14" s="643">
        <v>183366.56327873623</v>
      </c>
      <c r="N14" s="772"/>
      <c r="O14" s="502"/>
    </row>
    <row r="15" spans="1:15">
      <c r="A15" s="418" t="s">
        <v>380</v>
      </c>
      <c r="B15" s="129" t="s">
        <v>95</v>
      </c>
      <c r="C15" s="644">
        <v>255922.30778060571</v>
      </c>
      <c r="D15" s="417">
        <v>0</v>
      </c>
      <c r="E15" s="417">
        <v>0</v>
      </c>
      <c r="F15" s="643">
        <v>418043.06451931136</v>
      </c>
      <c r="G15" s="417">
        <v>0</v>
      </c>
      <c r="H15" s="417">
        <v>0</v>
      </c>
      <c r="I15" s="417">
        <v>0</v>
      </c>
      <c r="J15" s="417">
        <v>0</v>
      </c>
      <c r="K15" s="417">
        <v>0</v>
      </c>
      <c r="L15" s="417">
        <v>0</v>
      </c>
      <c r="M15" s="643">
        <v>183366.56327873623</v>
      </c>
      <c r="N15" s="772"/>
      <c r="O15" s="502"/>
    </row>
    <row r="16" spans="1:15">
      <c r="A16" s="418" t="s">
        <v>216</v>
      </c>
      <c r="B16" s="129" t="s">
        <v>92</v>
      </c>
      <c r="C16" s="644">
        <v>255922.30778060571</v>
      </c>
      <c r="D16" s="417">
        <v>0</v>
      </c>
      <c r="E16" s="417">
        <v>0</v>
      </c>
      <c r="F16" s="643">
        <v>418043.06451931136</v>
      </c>
      <c r="G16" s="417">
        <v>0</v>
      </c>
      <c r="H16" s="417">
        <v>0</v>
      </c>
      <c r="I16" s="417">
        <v>0</v>
      </c>
      <c r="J16" s="417">
        <v>0</v>
      </c>
      <c r="K16" s="417">
        <v>0</v>
      </c>
      <c r="L16" s="417">
        <v>0</v>
      </c>
      <c r="M16" s="643">
        <v>183366.56327873273</v>
      </c>
      <c r="N16" s="772"/>
      <c r="O16" s="502"/>
    </row>
    <row r="17" spans="1:15">
      <c r="A17" s="418" t="s">
        <v>217</v>
      </c>
      <c r="B17" s="129" t="s">
        <v>145</v>
      </c>
      <c r="C17" s="644">
        <v>255922.30778060571</v>
      </c>
      <c r="D17" s="417">
        <v>0</v>
      </c>
      <c r="E17" s="417">
        <v>0</v>
      </c>
      <c r="F17" s="643">
        <v>418043.06451931136</v>
      </c>
      <c r="G17" s="417">
        <v>0</v>
      </c>
      <c r="H17" s="417">
        <v>0</v>
      </c>
      <c r="I17" s="417">
        <v>0</v>
      </c>
      <c r="J17" s="417">
        <v>0</v>
      </c>
      <c r="K17" s="417">
        <v>0</v>
      </c>
      <c r="L17" s="417">
        <v>0</v>
      </c>
      <c r="M17" s="643">
        <v>183366.56327873786</v>
      </c>
      <c r="N17" s="772"/>
      <c r="O17" s="502"/>
    </row>
    <row r="18" spans="1:15">
      <c r="A18" s="418" t="s">
        <v>220</v>
      </c>
      <c r="B18" s="129" t="s">
        <v>102</v>
      </c>
      <c r="C18" s="644">
        <v>255922.30778060571</v>
      </c>
      <c r="D18" s="417">
        <v>0</v>
      </c>
      <c r="E18" s="417">
        <v>0</v>
      </c>
      <c r="F18" s="643">
        <v>418043.06451931136</v>
      </c>
      <c r="G18" s="417">
        <v>0</v>
      </c>
      <c r="H18" s="417">
        <v>0</v>
      </c>
      <c r="I18" s="417">
        <v>0</v>
      </c>
      <c r="J18" s="417">
        <v>0</v>
      </c>
      <c r="K18" s="417">
        <v>0</v>
      </c>
      <c r="L18" s="417">
        <v>0</v>
      </c>
      <c r="M18" s="643">
        <v>184546.23033343643</v>
      </c>
      <c r="N18" s="772"/>
      <c r="O18" s="502"/>
    </row>
    <row r="19" spans="1:15">
      <c r="A19" s="418" t="s">
        <v>222</v>
      </c>
      <c r="B19" s="129" t="s">
        <v>101</v>
      </c>
      <c r="C19" s="644">
        <v>255922.30778060571</v>
      </c>
      <c r="D19" s="417">
        <v>0</v>
      </c>
      <c r="E19" s="417">
        <v>0</v>
      </c>
      <c r="F19" s="643">
        <v>418043.06451931136</v>
      </c>
      <c r="G19" s="417">
        <v>0</v>
      </c>
      <c r="H19" s="417">
        <v>0</v>
      </c>
      <c r="I19" s="417">
        <v>0</v>
      </c>
      <c r="J19" s="417">
        <v>0</v>
      </c>
      <c r="K19" s="417">
        <v>0</v>
      </c>
      <c r="L19" s="417">
        <v>0</v>
      </c>
      <c r="M19" s="643">
        <v>184600.73033342781</v>
      </c>
      <c r="N19" s="772"/>
      <c r="O19" s="502"/>
    </row>
    <row r="20" spans="1:15">
      <c r="A20" s="418" t="s">
        <v>225</v>
      </c>
      <c r="B20" s="129" t="s">
        <v>100</v>
      </c>
      <c r="C20" s="644">
        <v>255922.30778060571</v>
      </c>
      <c r="D20" s="417">
        <v>0</v>
      </c>
      <c r="E20" s="417">
        <v>0</v>
      </c>
      <c r="F20" s="643">
        <v>418043.06451931136</v>
      </c>
      <c r="G20" s="417">
        <v>0</v>
      </c>
      <c r="H20" s="417">
        <v>0</v>
      </c>
      <c r="I20" s="417">
        <v>0</v>
      </c>
      <c r="J20" s="417">
        <v>0</v>
      </c>
      <c r="K20" s="417">
        <v>0</v>
      </c>
      <c r="L20" s="417">
        <v>0</v>
      </c>
      <c r="M20" s="643">
        <v>184600.73033344073</v>
      </c>
      <c r="N20" s="772"/>
      <c r="O20" s="502"/>
    </row>
    <row r="21" spans="1:15">
      <c r="A21" s="418" t="s">
        <v>228</v>
      </c>
      <c r="B21" s="129" t="s">
        <v>106</v>
      </c>
      <c r="C21" s="644">
        <v>255922.30778060571</v>
      </c>
      <c r="D21" s="417">
        <v>0</v>
      </c>
      <c r="E21" s="417">
        <v>0</v>
      </c>
      <c r="F21" s="643">
        <v>418043.06451931136</v>
      </c>
      <c r="G21" s="417">
        <v>0</v>
      </c>
      <c r="H21" s="417">
        <v>0</v>
      </c>
      <c r="I21" s="417">
        <v>0</v>
      </c>
      <c r="J21" s="417">
        <v>0</v>
      </c>
      <c r="K21" s="417">
        <v>0</v>
      </c>
      <c r="L21" s="417">
        <v>0</v>
      </c>
      <c r="M21" s="643">
        <v>184600.73033343736</v>
      </c>
      <c r="N21" s="772"/>
      <c r="O21" s="502"/>
    </row>
    <row r="22" spans="1:15">
      <c r="A22" s="418" t="s">
        <v>229</v>
      </c>
      <c r="B22" s="129" t="s">
        <v>99</v>
      </c>
      <c r="C22" s="644">
        <v>255922.30778060571</v>
      </c>
      <c r="D22" s="417">
        <v>0</v>
      </c>
      <c r="E22" s="417">
        <v>0</v>
      </c>
      <c r="F22" s="643">
        <v>418043.06451931136</v>
      </c>
      <c r="G22" s="417">
        <v>0</v>
      </c>
      <c r="H22" s="417">
        <v>0</v>
      </c>
      <c r="I22" s="417">
        <v>0</v>
      </c>
      <c r="J22" s="417">
        <v>0</v>
      </c>
      <c r="K22" s="417">
        <v>0</v>
      </c>
      <c r="L22" s="417">
        <v>0</v>
      </c>
      <c r="M22" s="643">
        <v>184600.73033343037</v>
      </c>
      <c r="N22" s="772"/>
      <c r="O22" s="502"/>
    </row>
    <row r="23" spans="1:15">
      <c r="A23" s="418" t="s">
        <v>231</v>
      </c>
      <c r="B23" s="129" t="s">
        <v>98</v>
      </c>
      <c r="C23" s="644">
        <v>255922.30778060571</v>
      </c>
      <c r="D23" s="417">
        <v>0</v>
      </c>
      <c r="E23" s="417">
        <v>0</v>
      </c>
      <c r="F23" s="643">
        <v>418043.06451931136</v>
      </c>
      <c r="G23" s="417">
        <v>0</v>
      </c>
      <c r="H23" s="417">
        <v>0</v>
      </c>
      <c r="I23" s="417">
        <v>0</v>
      </c>
      <c r="J23" s="417">
        <v>0</v>
      </c>
      <c r="K23" s="417">
        <v>0</v>
      </c>
      <c r="L23" s="417">
        <v>0</v>
      </c>
      <c r="M23" s="643">
        <v>185151.51348370247</v>
      </c>
      <c r="N23" s="772"/>
      <c r="O23" s="502"/>
    </row>
    <row r="24" spans="1:15">
      <c r="A24" s="418" t="s">
        <v>233</v>
      </c>
      <c r="B24" s="132" t="s">
        <v>21</v>
      </c>
      <c r="C24" s="645">
        <f t="shared" ref="C24:M24" si="0">SUM(C12:C23)</f>
        <v>3071067.6933672684</v>
      </c>
      <c r="D24" s="136">
        <f t="shared" si="0"/>
        <v>0</v>
      </c>
      <c r="E24" s="136">
        <f t="shared" si="0"/>
        <v>0</v>
      </c>
      <c r="F24" s="136">
        <f t="shared" si="0"/>
        <v>5016516.7742317365</v>
      </c>
      <c r="G24" s="136">
        <f t="shared" si="0"/>
        <v>0</v>
      </c>
      <c r="H24" s="136">
        <f t="shared" si="0"/>
        <v>0</v>
      </c>
      <c r="I24" s="136">
        <f t="shared" si="0"/>
        <v>0</v>
      </c>
      <c r="J24" s="136">
        <f t="shared" si="0"/>
        <v>0</v>
      </c>
      <c r="K24" s="136">
        <f t="shared" si="0"/>
        <v>0</v>
      </c>
      <c r="L24" s="136">
        <f t="shared" si="0"/>
        <v>0</v>
      </c>
      <c r="M24" s="136">
        <f t="shared" si="0"/>
        <v>2208300.0448232931</v>
      </c>
      <c r="O24" s="503"/>
    </row>
    <row r="25" spans="1:15">
      <c r="A25" s="418"/>
      <c r="B25" s="129"/>
      <c r="C25" s="129"/>
      <c r="D25" s="129"/>
      <c r="E25" s="129"/>
      <c r="F25" s="129"/>
      <c r="G25" s="129"/>
      <c r="H25" s="129"/>
      <c r="I25" s="129"/>
      <c r="J25" s="129"/>
      <c r="N25" s="336"/>
      <c r="O25" s="504"/>
    </row>
    <row r="26" spans="1:15">
      <c r="A26" s="418"/>
      <c r="B26" s="129"/>
      <c r="C26" s="129"/>
      <c r="D26" s="129"/>
      <c r="E26" s="129"/>
      <c r="F26" s="129"/>
      <c r="G26" s="129"/>
      <c r="H26" s="129"/>
      <c r="I26" s="129"/>
      <c r="J26" s="129"/>
      <c r="N26" s="129"/>
      <c r="O26" s="504"/>
    </row>
    <row r="27" spans="1:15" ht="39.6">
      <c r="A27" s="418"/>
      <c r="C27" s="137" t="s">
        <v>462</v>
      </c>
      <c r="D27" s="139" t="s">
        <v>396</v>
      </c>
      <c r="E27" s="137" t="s">
        <v>463</v>
      </c>
      <c r="F27" s="139" t="s">
        <v>376</v>
      </c>
      <c r="G27" s="138" t="s">
        <v>464</v>
      </c>
      <c r="H27" s="137" t="s">
        <v>377</v>
      </c>
      <c r="I27" s="137" t="s">
        <v>465</v>
      </c>
      <c r="J27" s="137" t="s">
        <v>378</v>
      </c>
      <c r="K27" s="137" t="s">
        <v>263</v>
      </c>
      <c r="L27" s="137" t="s">
        <v>990</v>
      </c>
      <c r="M27" s="137" t="s">
        <v>469</v>
      </c>
      <c r="N27" s="129"/>
      <c r="O27" s="505"/>
    </row>
    <row r="28" spans="1:15" s="639" customFormat="1">
      <c r="A28" s="418"/>
      <c r="C28" s="130" t="s">
        <v>292</v>
      </c>
      <c r="D28" s="414" t="s">
        <v>293</v>
      </c>
      <c r="E28" s="414" t="s">
        <v>294</v>
      </c>
      <c r="F28" s="415" t="s">
        <v>295</v>
      </c>
      <c r="G28" s="415" t="s">
        <v>297</v>
      </c>
      <c r="H28" s="415" t="s">
        <v>296</v>
      </c>
      <c r="I28" s="415" t="s">
        <v>298</v>
      </c>
      <c r="J28" s="416" t="s">
        <v>299</v>
      </c>
      <c r="K28" s="416" t="s">
        <v>300</v>
      </c>
      <c r="L28" s="362" t="s">
        <v>393</v>
      </c>
      <c r="M28" s="362" t="s">
        <v>397</v>
      </c>
      <c r="N28" s="129"/>
      <c r="O28" s="505"/>
    </row>
    <row r="29" spans="1:15" ht="26.4">
      <c r="A29" s="418"/>
      <c r="B29" s="142" t="s">
        <v>506</v>
      </c>
      <c r="C29" s="130">
        <v>17</v>
      </c>
      <c r="D29" s="418">
        <v>19</v>
      </c>
      <c r="E29" s="131">
        <v>23</v>
      </c>
      <c r="F29" s="131">
        <v>24</v>
      </c>
      <c r="G29" s="131">
        <v>26</v>
      </c>
      <c r="H29" s="131">
        <v>27</v>
      </c>
      <c r="I29" s="131">
        <v>28</v>
      </c>
      <c r="J29" s="131">
        <v>29</v>
      </c>
      <c r="K29" s="419">
        <v>37</v>
      </c>
      <c r="L29" s="131">
        <v>38</v>
      </c>
      <c r="M29" s="131">
        <v>39</v>
      </c>
      <c r="N29" s="129"/>
      <c r="O29" s="505"/>
    </row>
    <row r="30" spans="1:15" s="639" customFormat="1" ht="26.4">
      <c r="A30" s="418"/>
      <c r="B30" s="133" t="s">
        <v>757</v>
      </c>
      <c r="C30" s="676" t="s">
        <v>770</v>
      </c>
      <c r="D30" s="362" t="s">
        <v>767</v>
      </c>
      <c r="E30" s="362" t="s">
        <v>894</v>
      </c>
      <c r="F30" s="362" t="str">
        <f>+E30</f>
        <v>263.i</v>
      </c>
      <c r="G30" s="362" t="str">
        <f>+F30</f>
        <v>263.i</v>
      </c>
      <c r="H30" s="362" t="str">
        <f>+G30</f>
        <v>263.i</v>
      </c>
      <c r="I30" s="362" t="str">
        <f>+H30</f>
        <v>263.i</v>
      </c>
      <c r="J30" s="362" t="str">
        <f>+I30</f>
        <v>263.i</v>
      </c>
      <c r="K30" s="362" t="s">
        <v>768</v>
      </c>
      <c r="L30" s="362" t="s">
        <v>369</v>
      </c>
      <c r="M30" s="362" t="s">
        <v>769</v>
      </c>
      <c r="N30" s="129"/>
      <c r="O30" s="505"/>
    </row>
    <row r="31" spans="1:15" s="17" customFormat="1">
      <c r="A31" s="418"/>
      <c r="B31" s="133"/>
      <c r="N31" s="362"/>
    </row>
    <row r="32" spans="1:15">
      <c r="A32" s="418"/>
      <c r="C32" s="130"/>
      <c r="E32" s="130"/>
      <c r="F32" s="130"/>
      <c r="G32" s="130"/>
      <c r="H32" s="130"/>
      <c r="I32" s="130"/>
      <c r="J32" s="130"/>
      <c r="K32" s="130"/>
      <c r="L32" s="130"/>
      <c r="M32" s="130"/>
      <c r="N32" s="129"/>
    </row>
    <row r="33" spans="1:15">
      <c r="A33" s="418" t="s">
        <v>236</v>
      </c>
      <c r="B33" s="129" t="s">
        <v>105</v>
      </c>
      <c r="C33" s="417">
        <v>0</v>
      </c>
      <c r="D33" s="417">
        <v>0</v>
      </c>
      <c r="E33" s="417">
        <v>0</v>
      </c>
      <c r="F33" s="417">
        <v>0</v>
      </c>
      <c r="G33" s="643">
        <v>88679.500114219496</v>
      </c>
      <c r="H33" s="417">
        <v>0</v>
      </c>
      <c r="I33" s="417">
        <v>0</v>
      </c>
      <c r="J33" s="417">
        <v>0</v>
      </c>
      <c r="K33" s="417">
        <v>0</v>
      </c>
      <c r="L33" s="417">
        <v>0</v>
      </c>
      <c r="M33" s="1003">
        <v>-37505.940520931661</v>
      </c>
      <c r="N33" s="129"/>
    </row>
    <row r="34" spans="1:15">
      <c r="A34" s="418" t="s">
        <v>264</v>
      </c>
      <c r="B34" s="129" t="s">
        <v>104</v>
      </c>
      <c r="C34" s="417">
        <v>0</v>
      </c>
      <c r="D34" s="417">
        <v>0</v>
      </c>
      <c r="E34" s="417">
        <v>0</v>
      </c>
      <c r="F34" s="417">
        <v>0</v>
      </c>
      <c r="G34" s="643">
        <v>88679.500114219496</v>
      </c>
      <c r="H34" s="417">
        <v>0</v>
      </c>
      <c r="I34" s="417">
        <v>0</v>
      </c>
      <c r="J34" s="417">
        <v>0</v>
      </c>
      <c r="K34" s="417">
        <v>0</v>
      </c>
      <c r="L34" s="417">
        <v>0</v>
      </c>
      <c r="M34" s="1003">
        <f>M$33</f>
        <v>-37505.940520931661</v>
      </c>
      <c r="N34" s="129"/>
    </row>
    <row r="35" spans="1:15">
      <c r="A35" s="418" t="s">
        <v>265</v>
      </c>
      <c r="B35" s="129" t="s">
        <v>103</v>
      </c>
      <c r="C35" s="417">
        <v>0</v>
      </c>
      <c r="D35" s="417">
        <v>0</v>
      </c>
      <c r="E35" s="417">
        <v>0</v>
      </c>
      <c r="F35" s="417">
        <v>0</v>
      </c>
      <c r="G35" s="643">
        <v>88679.500114219496</v>
      </c>
      <c r="H35" s="417">
        <v>0</v>
      </c>
      <c r="I35" s="417">
        <v>0</v>
      </c>
      <c r="J35" s="417">
        <v>0</v>
      </c>
      <c r="K35" s="417">
        <v>0</v>
      </c>
      <c r="L35" s="417">
        <v>0</v>
      </c>
      <c r="M35" s="1003">
        <f t="shared" ref="M35:M44" si="1">M$33</f>
        <v>-37505.940520931661</v>
      </c>
      <c r="N35" s="129"/>
    </row>
    <row r="36" spans="1:15">
      <c r="A36" s="418" t="s">
        <v>383</v>
      </c>
      <c r="B36" s="129" t="s">
        <v>95</v>
      </c>
      <c r="C36" s="417">
        <v>0</v>
      </c>
      <c r="D36" s="417">
        <v>0</v>
      </c>
      <c r="E36" s="417">
        <v>0</v>
      </c>
      <c r="F36" s="417">
        <v>0</v>
      </c>
      <c r="G36" s="643">
        <v>88679.500114219496</v>
      </c>
      <c r="H36" s="417">
        <v>0</v>
      </c>
      <c r="I36" s="417">
        <v>0</v>
      </c>
      <c r="J36" s="417">
        <v>0</v>
      </c>
      <c r="K36" s="417">
        <v>0</v>
      </c>
      <c r="L36" s="417">
        <v>0</v>
      </c>
      <c r="M36" s="1003">
        <f t="shared" si="1"/>
        <v>-37505.940520931661</v>
      </c>
      <c r="N36" s="129"/>
    </row>
    <row r="37" spans="1:15">
      <c r="A37" s="418" t="s">
        <v>384</v>
      </c>
      <c r="B37" s="129" t="s">
        <v>92</v>
      </c>
      <c r="C37" s="417">
        <v>0</v>
      </c>
      <c r="D37" s="417">
        <v>0</v>
      </c>
      <c r="E37" s="417">
        <v>0</v>
      </c>
      <c r="F37" s="417">
        <v>0</v>
      </c>
      <c r="G37" s="643">
        <v>88679.500114219496</v>
      </c>
      <c r="H37" s="417">
        <v>0</v>
      </c>
      <c r="I37" s="417">
        <v>0</v>
      </c>
      <c r="J37" s="417">
        <v>0</v>
      </c>
      <c r="K37" s="417">
        <v>0</v>
      </c>
      <c r="L37" s="417">
        <v>0</v>
      </c>
      <c r="M37" s="1003">
        <f t="shared" si="1"/>
        <v>-37505.940520931661</v>
      </c>
      <c r="N37" s="129"/>
    </row>
    <row r="38" spans="1:15">
      <c r="A38" s="418" t="s">
        <v>385</v>
      </c>
      <c r="B38" s="129" t="s">
        <v>145</v>
      </c>
      <c r="C38" s="417">
        <v>0</v>
      </c>
      <c r="D38" s="417">
        <v>0</v>
      </c>
      <c r="E38" s="417">
        <v>0</v>
      </c>
      <c r="F38" s="417">
        <v>0</v>
      </c>
      <c r="G38" s="643">
        <v>88679.500114219496</v>
      </c>
      <c r="H38" s="417">
        <v>0</v>
      </c>
      <c r="I38" s="417">
        <v>0</v>
      </c>
      <c r="J38" s="417">
        <v>0</v>
      </c>
      <c r="K38" s="417">
        <v>0</v>
      </c>
      <c r="L38" s="417">
        <v>0</v>
      </c>
      <c r="M38" s="1003">
        <f t="shared" si="1"/>
        <v>-37505.940520931661</v>
      </c>
      <c r="N38" s="129"/>
    </row>
    <row r="39" spans="1:15">
      <c r="A39" s="418" t="s">
        <v>386</v>
      </c>
      <c r="B39" s="129" t="s">
        <v>102</v>
      </c>
      <c r="C39" s="417">
        <v>0</v>
      </c>
      <c r="D39" s="417">
        <v>0</v>
      </c>
      <c r="E39" s="417">
        <v>0</v>
      </c>
      <c r="F39" s="417">
        <v>0</v>
      </c>
      <c r="G39" s="643">
        <v>88679.500114219496</v>
      </c>
      <c r="H39" s="417">
        <v>0</v>
      </c>
      <c r="I39" s="417">
        <v>0</v>
      </c>
      <c r="J39" s="417">
        <v>0</v>
      </c>
      <c r="K39" s="417">
        <v>0</v>
      </c>
      <c r="L39" s="417">
        <v>0</v>
      </c>
      <c r="M39" s="1003">
        <f t="shared" si="1"/>
        <v>-37505.940520931661</v>
      </c>
      <c r="N39" s="129"/>
    </row>
    <row r="40" spans="1:15">
      <c r="A40" s="418" t="s">
        <v>387</v>
      </c>
      <c r="B40" s="129" t="s">
        <v>101</v>
      </c>
      <c r="C40" s="417">
        <v>0</v>
      </c>
      <c r="D40" s="417">
        <v>0</v>
      </c>
      <c r="E40" s="417">
        <v>0</v>
      </c>
      <c r="F40" s="417">
        <v>0</v>
      </c>
      <c r="G40" s="643">
        <v>88679.500114219496</v>
      </c>
      <c r="H40" s="417">
        <v>0</v>
      </c>
      <c r="I40" s="417">
        <v>0</v>
      </c>
      <c r="J40" s="417">
        <v>0</v>
      </c>
      <c r="K40" s="417">
        <v>0</v>
      </c>
      <c r="L40" s="417">
        <v>0</v>
      </c>
      <c r="M40" s="1003">
        <f t="shared" si="1"/>
        <v>-37505.940520931661</v>
      </c>
      <c r="N40" s="129"/>
    </row>
    <row r="41" spans="1:15">
      <c r="A41" s="418" t="s">
        <v>388</v>
      </c>
      <c r="B41" s="129" t="s">
        <v>100</v>
      </c>
      <c r="C41" s="417">
        <v>0</v>
      </c>
      <c r="D41" s="417">
        <v>0</v>
      </c>
      <c r="E41" s="417">
        <v>0</v>
      </c>
      <c r="F41" s="417">
        <v>0</v>
      </c>
      <c r="G41" s="643">
        <v>88679.500114219496</v>
      </c>
      <c r="H41" s="417">
        <v>0</v>
      </c>
      <c r="I41" s="417">
        <v>0</v>
      </c>
      <c r="J41" s="417">
        <v>0</v>
      </c>
      <c r="K41" s="417">
        <v>0</v>
      </c>
      <c r="L41" s="417">
        <v>0</v>
      </c>
      <c r="M41" s="1003">
        <f t="shared" si="1"/>
        <v>-37505.940520931661</v>
      </c>
      <c r="N41" s="129"/>
    </row>
    <row r="42" spans="1:15">
      <c r="A42" s="418" t="s">
        <v>389</v>
      </c>
      <c r="B42" s="129" t="s">
        <v>106</v>
      </c>
      <c r="C42" s="417">
        <v>0</v>
      </c>
      <c r="D42" s="417">
        <v>0</v>
      </c>
      <c r="E42" s="417">
        <v>0</v>
      </c>
      <c r="F42" s="417">
        <v>0</v>
      </c>
      <c r="G42" s="643">
        <v>88679.500114219496</v>
      </c>
      <c r="H42" s="417">
        <v>0</v>
      </c>
      <c r="I42" s="417">
        <v>0</v>
      </c>
      <c r="J42" s="417">
        <v>0</v>
      </c>
      <c r="K42" s="417">
        <v>0</v>
      </c>
      <c r="L42" s="417">
        <v>0</v>
      </c>
      <c r="M42" s="1003">
        <f t="shared" si="1"/>
        <v>-37505.940520931661</v>
      </c>
      <c r="N42" s="129"/>
    </row>
    <row r="43" spans="1:15">
      <c r="A43" s="418" t="s">
        <v>390</v>
      </c>
      <c r="B43" s="129" t="s">
        <v>99</v>
      </c>
      <c r="C43" s="417">
        <v>0</v>
      </c>
      <c r="D43" s="417">
        <v>0</v>
      </c>
      <c r="E43" s="417">
        <v>0</v>
      </c>
      <c r="F43" s="417">
        <v>0</v>
      </c>
      <c r="G43" s="643">
        <v>88679.500114219496</v>
      </c>
      <c r="H43" s="417">
        <v>0</v>
      </c>
      <c r="I43" s="417">
        <v>0</v>
      </c>
      <c r="J43" s="417">
        <v>0</v>
      </c>
      <c r="K43" s="417">
        <v>0</v>
      </c>
      <c r="L43" s="417">
        <v>0</v>
      </c>
      <c r="M43" s="1003">
        <f t="shared" si="1"/>
        <v>-37505.940520931661</v>
      </c>
      <c r="N43" s="129"/>
    </row>
    <row r="44" spans="1:15">
      <c r="A44" s="418" t="s">
        <v>391</v>
      </c>
      <c r="B44" s="129" t="s">
        <v>98</v>
      </c>
      <c r="C44" s="417">
        <v>0</v>
      </c>
      <c r="D44" s="417">
        <v>0</v>
      </c>
      <c r="E44" s="417">
        <v>0</v>
      </c>
      <c r="F44" s="417">
        <v>0</v>
      </c>
      <c r="G44" s="643">
        <v>88679.500114219496</v>
      </c>
      <c r="H44" s="417">
        <v>0</v>
      </c>
      <c r="I44" s="417">
        <v>0</v>
      </c>
      <c r="J44" s="417">
        <v>0</v>
      </c>
      <c r="K44" s="417">
        <v>0</v>
      </c>
      <c r="L44" s="417">
        <v>0</v>
      </c>
      <c r="M44" s="1003">
        <f t="shared" si="1"/>
        <v>-37505.940520931661</v>
      </c>
      <c r="N44" s="129"/>
    </row>
    <row r="45" spans="1:15">
      <c r="A45" s="418" t="s">
        <v>392</v>
      </c>
      <c r="B45" s="132" t="s">
        <v>21</v>
      </c>
      <c r="C45" s="136">
        <f t="shared" ref="C45:M45" si="2">SUM(C33:C44)</f>
        <v>0</v>
      </c>
      <c r="D45" s="136">
        <f t="shared" si="2"/>
        <v>0</v>
      </c>
      <c r="E45" s="136">
        <f t="shared" si="2"/>
        <v>0</v>
      </c>
      <c r="F45" s="136">
        <f t="shared" si="2"/>
        <v>0</v>
      </c>
      <c r="G45" s="136">
        <f t="shared" si="2"/>
        <v>1064154.001370634</v>
      </c>
      <c r="H45" s="136">
        <f t="shared" si="2"/>
        <v>0</v>
      </c>
      <c r="I45" s="136">
        <f t="shared" si="2"/>
        <v>0</v>
      </c>
      <c r="J45" s="136">
        <f t="shared" si="2"/>
        <v>0</v>
      </c>
      <c r="K45" s="136">
        <f t="shared" si="2"/>
        <v>0</v>
      </c>
      <c r="L45" s="136">
        <f t="shared" si="2"/>
        <v>0</v>
      </c>
      <c r="M45" s="136">
        <f t="shared" si="2"/>
        <v>-450071.28625118005</v>
      </c>
      <c r="N45" s="129"/>
    </row>
    <row r="46" spans="1:15">
      <c r="B46" s="129"/>
      <c r="C46" s="129"/>
      <c r="D46" s="129"/>
      <c r="E46" s="129"/>
      <c r="F46" s="129"/>
      <c r="G46" s="130" t="s">
        <v>284</v>
      </c>
      <c r="H46" s="129"/>
      <c r="I46" s="129"/>
      <c r="J46" s="129"/>
      <c r="M46" s="364" t="s">
        <v>238</v>
      </c>
      <c r="N46" s="129"/>
      <c r="O46" s="141"/>
    </row>
    <row r="47" spans="1:15" s="772" customFormat="1">
      <c r="A47" s="125"/>
      <c r="B47" s="129"/>
      <c r="C47" s="129"/>
      <c r="D47" s="129"/>
      <c r="E47" s="129"/>
      <c r="F47" s="129"/>
      <c r="G47" s="130" t="s">
        <v>756</v>
      </c>
      <c r="H47" s="129"/>
      <c r="I47" s="129"/>
      <c r="J47" s="129"/>
      <c r="N47" s="129"/>
      <c r="O47" s="141"/>
    </row>
    <row r="48" spans="1:15" s="772" customFormat="1">
      <c r="A48" s="125"/>
      <c r="B48" s="129"/>
      <c r="C48" s="129"/>
      <c r="D48" s="129"/>
      <c r="E48" s="129"/>
      <c r="F48" s="129"/>
      <c r="G48" s="130" t="s">
        <v>862</v>
      </c>
      <c r="H48" s="129"/>
      <c r="I48" s="129"/>
      <c r="J48" s="129"/>
      <c r="N48" s="129"/>
      <c r="O48" s="141"/>
    </row>
    <row r="49" spans="1:15" s="772" customFormat="1">
      <c r="A49" s="125"/>
      <c r="B49" s="129"/>
      <c r="C49" s="129"/>
      <c r="D49" s="129"/>
      <c r="E49" s="129"/>
      <c r="F49" s="129"/>
      <c r="G49" s="129"/>
      <c r="H49" s="129"/>
      <c r="I49" s="129"/>
      <c r="J49" s="129"/>
      <c r="N49" s="129"/>
      <c r="O49" s="141"/>
    </row>
    <row r="50" spans="1:15" ht="3" customHeight="1">
      <c r="B50" s="129"/>
      <c r="C50" s="129"/>
      <c r="D50" s="129"/>
      <c r="E50" s="129"/>
      <c r="F50" s="129"/>
      <c r="G50" s="129"/>
      <c r="H50" s="129"/>
      <c r="I50" s="129"/>
      <c r="J50" s="129"/>
      <c r="N50" s="129"/>
      <c r="O50" s="141"/>
    </row>
    <row r="51" spans="1:15" ht="129" customHeight="1">
      <c r="B51" s="677"/>
      <c r="C51" s="678" t="s">
        <v>0</v>
      </c>
      <c r="D51" s="1101" t="s">
        <v>315</v>
      </c>
      <c r="E51" s="1101" t="s">
        <v>474</v>
      </c>
      <c r="F51" s="679" t="s">
        <v>475</v>
      </c>
      <c r="G51" s="680" t="s">
        <v>273</v>
      </c>
      <c r="H51" s="129"/>
      <c r="I51" s="129"/>
      <c r="J51" s="129"/>
      <c r="K51" s="639"/>
      <c r="L51" s="639"/>
      <c r="M51" s="639"/>
      <c r="N51" s="129"/>
      <c r="O51" s="129"/>
    </row>
    <row r="52" spans="1:15">
      <c r="B52" s="639"/>
      <c r="C52" s="131" t="s">
        <v>292</v>
      </c>
      <c r="D52" s="437" t="s">
        <v>293</v>
      </c>
      <c r="E52" s="437" t="s">
        <v>294</v>
      </c>
      <c r="F52" s="438" t="s">
        <v>295</v>
      </c>
      <c r="G52" s="438" t="s">
        <v>297</v>
      </c>
      <c r="H52" s="129"/>
      <c r="I52" s="129"/>
      <c r="J52" s="129"/>
      <c r="K52" s="639"/>
      <c r="L52" s="639"/>
      <c r="M52" s="639"/>
      <c r="N52" s="129"/>
      <c r="O52" s="129"/>
    </row>
    <row r="53" spans="1:15" ht="26.4">
      <c r="B53" s="626" t="s">
        <v>598</v>
      </c>
      <c r="C53" s="131">
        <v>27</v>
      </c>
      <c r="D53" s="436" t="s">
        <v>476</v>
      </c>
      <c r="E53" s="131">
        <v>31</v>
      </c>
      <c r="F53" s="131">
        <v>32</v>
      </c>
      <c r="G53" s="419" t="s">
        <v>574</v>
      </c>
      <c r="H53" s="130"/>
      <c r="I53" s="130"/>
      <c r="J53" s="129"/>
      <c r="K53" s="639"/>
      <c r="L53" s="639"/>
      <c r="M53" s="639"/>
    </row>
    <row r="54" spans="1:15" ht="26.4">
      <c r="B54" s="133"/>
      <c r="C54" s="676" t="s">
        <v>771</v>
      </c>
      <c r="D54" s="362" t="s">
        <v>772</v>
      </c>
      <c r="E54" s="12" t="s">
        <v>773</v>
      </c>
      <c r="F54" s="639" t="str">
        <f>+E54</f>
        <v>Portion of Account 456.1</v>
      </c>
      <c r="G54" s="639"/>
      <c r="H54" s="130"/>
      <c r="I54" s="639"/>
      <c r="J54" s="639"/>
      <c r="K54" s="639"/>
      <c r="L54" s="130"/>
      <c r="M54" s="130"/>
    </row>
    <row r="55" spans="1:15">
      <c r="B55" s="639"/>
      <c r="C55" s="130"/>
      <c r="D55" s="639"/>
      <c r="E55" s="130"/>
      <c r="F55" s="130"/>
      <c r="G55" s="130"/>
      <c r="H55" s="130"/>
      <c r="I55" s="36"/>
      <c r="J55" s="639"/>
      <c r="K55" s="639"/>
      <c r="L55" s="130"/>
      <c r="M55" s="130"/>
    </row>
    <row r="56" spans="1:15">
      <c r="A56" s="435">
        <f>+A42+1</f>
        <v>24</v>
      </c>
      <c r="B56" s="129" t="s">
        <v>105</v>
      </c>
      <c r="C56" s="417">
        <v>0</v>
      </c>
      <c r="D56" s="643">
        <v>1416.6666666666663</v>
      </c>
      <c r="E56" s="643">
        <v>15833.333333333336</v>
      </c>
      <c r="F56" s="417">
        <v>0</v>
      </c>
      <c r="G56" s="417">
        <v>0</v>
      </c>
      <c r="H56" s="129"/>
      <c r="I56" s="36"/>
      <c r="J56" s="639"/>
      <c r="K56" s="639"/>
      <c r="L56" s="129"/>
      <c r="M56" s="129"/>
      <c r="N56" s="325"/>
    </row>
    <row r="57" spans="1:15">
      <c r="A57" s="435">
        <f t="shared" ref="A57:A88" si="3">+A56+1</f>
        <v>25</v>
      </c>
      <c r="B57" s="129" t="s">
        <v>104</v>
      </c>
      <c r="C57" s="417">
        <v>0</v>
      </c>
      <c r="D57" s="643">
        <v>1416.6666666666663</v>
      </c>
      <c r="E57" s="643">
        <v>15833.333333333336</v>
      </c>
      <c r="F57" s="417">
        <v>0</v>
      </c>
      <c r="G57" s="417">
        <v>0</v>
      </c>
      <c r="H57" s="129"/>
      <c r="I57" s="639"/>
      <c r="J57" s="639"/>
      <c r="K57" s="639"/>
      <c r="L57" s="129"/>
      <c r="M57" s="129"/>
      <c r="N57" s="325"/>
    </row>
    <row r="58" spans="1:15">
      <c r="A58" s="435">
        <f t="shared" si="3"/>
        <v>26</v>
      </c>
      <c r="B58" s="129" t="s">
        <v>103</v>
      </c>
      <c r="C58" s="417">
        <v>0</v>
      </c>
      <c r="D58" s="643">
        <v>1416.6666666666663</v>
      </c>
      <c r="E58" s="643">
        <v>15833.333333333336</v>
      </c>
      <c r="F58" s="417">
        <v>0</v>
      </c>
      <c r="G58" s="417">
        <v>0</v>
      </c>
      <c r="H58" s="129"/>
      <c r="I58" s="36"/>
      <c r="J58" s="639"/>
      <c r="K58" s="639"/>
      <c r="L58" s="129"/>
      <c r="M58" s="129"/>
      <c r="N58" s="325"/>
    </row>
    <row r="59" spans="1:15">
      <c r="A59" s="435">
        <f t="shared" si="3"/>
        <v>27</v>
      </c>
      <c r="B59" s="129" t="s">
        <v>95</v>
      </c>
      <c r="C59" s="417">
        <v>0</v>
      </c>
      <c r="D59" s="643">
        <v>1416.6666666666663</v>
      </c>
      <c r="E59" s="643">
        <v>15833.333333333336</v>
      </c>
      <c r="F59" s="417">
        <v>0</v>
      </c>
      <c r="G59" s="417">
        <v>0</v>
      </c>
      <c r="H59" s="129"/>
      <c r="I59" s="28"/>
      <c r="J59" s="639"/>
      <c r="K59" s="639"/>
      <c r="L59" s="129"/>
      <c r="M59" s="129"/>
      <c r="N59" s="325"/>
    </row>
    <row r="60" spans="1:15">
      <c r="A60" s="435">
        <f t="shared" si="3"/>
        <v>28</v>
      </c>
      <c r="B60" s="129" t="s">
        <v>92</v>
      </c>
      <c r="C60" s="417">
        <v>0</v>
      </c>
      <c r="D60" s="643">
        <v>1416.6666666666663</v>
      </c>
      <c r="E60" s="643">
        <v>15833.333333333336</v>
      </c>
      <c r="F60" s="417">
        <v>0</v>
      </c>
      <c r="G60" s="417">
        <v>0</v>
      </c>
      <c r="H60" s="129"/>
      <c r="I60" s="639"/>
      <c r="J60" s="639"/>
      <c r="K60" s="639"/>
      <c r="L60" s="129"/>
      <c r="M60" s="129"/>
      <c r="N60" s="325"/>
    </row>
    <row r="61" spans="1:15">
      <c r="A61" s="435">
        <f t="shared" si="3"/>
        <v>29</v>
      </c>
      <c r="B61" s="129" t="s">
        <v>145</v>
      </c>
      <c r="C61" s="417">
        <v>0</v>
      </c>
      <c r="D61" s="643">
        <v>1416.6666666666663</v>
      </c>
      <c r="E61" s="643">
        <v>15833.333333333336</v>
      </c>
      <c r="F61" s="417">
        <v>0</v>
      </c>
      <c r="G61" s="417">
        <v>0</v>
      </c>
      <c r="H61" s="129"/>
      <c r="I61" s="639"/>
      <c r="J61" s="639"/>
      <c r="K61" s="639"/>
      <c r="L61" s="129"/>
      <c r="M61" s="129"/>
      <c r="N61" s="325"/>
    </row>
    <row r="62" spans="1:15">
      <c r="A62" s="435">
        <f t="shared" si="3"/>
        <v>30</v>
      </c>
      <c r="B62" s="129" t="s">
        <v>102</v>
      </c>
      <c r="C62" s="417">
        <v>0</v>
      </c>
      <c r="D62" s="643">
        <v>1416.6666666666663</v>
      </c>
      <c r="E62" s="643">
        <v>15833.333333333336</v>
      </c>
      <c r="F62" s="417">
        <v>0</v>
      </c>
      <c r="G62" s="417">
        <v>0</v>
      </c>
      <c r="H62" s="129"/>
      <c r="I62" s="639"/>
      <c r="J62" s="639"/>
      <c r="K62" s="639"/>
      <c r="L62" s="129"/>
      <c r="M62" s="129"/>
      <c r="N62" s="325"/>
    </row>
    <row r="63" spans="1:15">
      <c r="A63" s="435">
        <f t="shared" si="3"/>
        <v>31</v>
      </c>
      <c r="B63" s="129" t="s">
        <v>101</v>
      </c>
      <c r="C63" s="417">
        <v>0</v>
      </c>
      <c r="D63" s="643">
        <v>1416.6666666666663</v>
      </c>
      <c r="E63" s="643">
        <v>15833.333333333336</v>
      </c>
      <c r="F63" s="417">
        <v>0</v>
      </c>
      <c r="G63" s="417">
        <v>0</v>
      </c>
      <c r="H63" s="129"/>
      <c r="I63" s="639"/>
      <c r="J63" s="639"/>
      <c r="K63" s="639"/>
      <c r="L63" s="129"/>
      <c r="M63" s="129"/>
      <c r="N63" s="325"/>
    </row>
    <row r="64" spans="1:15">
      <c r="A64" s="435">
        <f t="shared" si="3"/>
        <v>32</v>
      </c>
      <c r="B64" s="129" t="s">
        <v>100</v>
      </c>
      <c r="C64" s="417">
        <v>0</v>
      </c>
      <c r="D64" s="643">
        <v>1416.6666666666663</v>
      </c>
      <c r="E64" s="643">
        <v>15833.333333333336</v>
      </c>
      <c r="F64" s="417">
        <v>0</v>
      </c>
      <c r="G64" s="417">
        <v>0</v>
      </c>
      <c r="H64" s="129"/>
      <c r="I64" s="639"/>
      <c r="J64" s="639"/>
      <c r="K64" s="639"/>
      <c r="L64" s="129"/>
      <c r="M64" s="129"/>
      <c r="N64" s="325"/>
    </row>
    <row r="65" spans="1:15">
      <c r="A65" s="435">
        <f t="shared" si="3"/>
        <v>33</v>
      </c>
      <c r="B65" s="129" t="s">
        <v>106</v>
      </c>
      <c r="C65" s="417">
        <v>0</v>
      </c>
      <c r="D65" s="643">
        <v>1416.6666666666663</v>
      </c>
      <c r="E65" s="643">
        <v>15833.333333333336</v>
      </c>
      <c r="F65" s="417">
        <v>0</v>
      </c>
      <c r="G65" s="417">
        <v>0</v>
      </c>
      <c r="H65" s="129"/>
      <c r="I65" s="639"/>
      <c r="J65" s="639"/>
      <c r="K65" s="639"/>
      <c r="L65" s="129"/>
      <c r="M65" s="129"/>
      <c r="N65" s="325"/>
    </row>
    <row r="66" spans="1:15">
      <c r="A66" s="435">
        <f t="shared" si="3"/>
        <v>34</v>
      </c>
      <c r="B66" s="129" t="s">
        <v>99</v>
      </c>
      <c r="C66" s="417">
        <v>0</v>
      </c>
      <c r="D66" s="643">
        <v>1416.6666666666663</v>
      </c>
      <c r="E66" s="643">
        <v>15833.333333333336</v>
      </c>
      <c r="F66" s="417">
        <v>0</v>
      </c>
      <c r="G66" s="417">
        <v>0</v>
      </c>
      <c r="H66" s="129"/>
      <c r="I66" s="639"/>
      <c r="J66" s="639"/>
      <c r="K66" s="639"/>
      <c r="L66" s="129"/>
      <c r="M66" s="129"/>
      <c r="N66" s="325"/>
    </row>
    <row r="67" spans="1:15">
      <c r="A67" s="435">
        <f t="shared" si="3"/>
        <v>35</v>
      </c>
      <c r="B67" s="129" t="s">
        <v>98</v>
      </c>
      <c r="C67" s="417">
        <v>0</v>
      </c>
      <c r="D67" s="1003">
        <v>1416.6666666666663</v>
      </c>
      <c r="E67" s="643">
        <v>15833.333333333336</v>
      </c>
      <c r="F67" s="417">
        <v>0</v>
      </c>
      <c r="G67" s="417">
        <v>0</v>
      </c>
      <c r="H67" s="129"/>
      <c r="I67" s="639"/>
      <c r="J67" s="639"/>
      <c r="K67" s="639"/>
      <c r="L67" s="129"/>
      <c r="M67" s="129"/>
      <c r="N67" s="325"/>
      <c r="O67" s="129"/>
    </row>
    <row r="68" spans="1:15">
      <c r="A68" s="435">
        <f t="shared" si="3"/>
        <v>36</v>
      </c>
      <c r="B68" s="132" t="s">
        <v>21</v>
      </c>
      <c r="C68" s="136">
        <f>SUM(C56:C67)</f>
        <v>0</v>
      </c>
      <c r="D68" s="136">
        <f>SUM(D56:D67)</f>
        <v>16999.999999999996</v>
      </c>
      <c r="E68" s="136">
        <f>SUM(E56:E67)</f>
        <v>190000.00000000009</v>
      </c>
      <c r="F68" s="136">
        <f>SUM(F56:F67)</f>
        <v>0</v>
      </c>
      <c r="G68" s="136">
        <f>SUM(G56:G67)</f>
        <v>0</v>
      </c>
      <c r="H68" s="129"/>
      <c r="I68" s="129"/>
      <c r="J68" s="129"/>
      <c r="K68" s="639"/>
      <c r="L68" s="639"/>
      <c r="M68" s="639"/>
      <c r="N68" s="129"/>
      <c r="O68" s="129"/>
    </row>
    <row r="69" spans="1:15">
      <c r="A69" s="435">
        <f t="shared" si="3"/>
        <v>37</v>
      </c>
      <c r="B69" s="129"/>
      <c r="C69" s="129"/>
      <c r="D69" s="129"/>
      <c r="E69" s="129"/>
      <c r="F69" s="129"/>
      <c r="G69" s="129"/>
      <c r="H69" s="129"/>
      <c r="I69" s="129"/>
      <c r="J69" s="129"/>
      <c r="K69" s="639"/>
      <c r="L69" s="639"/>
      <c r="M69" s="639"/>
      <c r="N69" s="129"/>
      <c r="O69" s="129"/>
    </row>
    <row r="70" spans="1:15">
      <c r="A70" s="435">
        <f t="shared" si="3"/>
        <v>38</v>
      </c>
      <c r="B70" s="28" t="s">
        <v>66</v>
      </c>
      <c r="C70" s="29"/>
      <c r="D70" s="639"/>
      <c r="E70" s="639"/>
      <c r="F70" s="29"/>
      <c r="G70" s="29"/>
      <c r="H70" s="29"/>
      <c r="I70" s="29"/>
      <c r="J70" s="37"/>
      <c r="K70" s="471"/>
      <c r="L70" s="37"/>
      <c r="M70" s="639"/>
      <c r="N70" s="129"/>
      <c r="O70" s="129"/>
    </row>
    <row r="71" spans="1:15" ht="24" customHeight="1">
      <c r="A71" s="435"/>
      <c r="B71" s="28" t="s">
        <v>774</v>
      </c>
      <c r="C71" s="29"/>
      <c r="D71" s="639"/>
      <c r="E71" s="639"/>
      <c r="F71" s="29"/>
      <c r="G71" s="29"/>
      <c r="H71" s="29"/>
      <c r="I71" s="29"/>
      <c r="J71" s="29"/>
      <c r="K71" s="472"/>
      <c r="L71" s="29"/>
      <c r="M71" s="639"/>
      <c r="N71" s="129"/>
      <c r="O71" s="129"/>
    </row>
    <row r="72" spans="1:15" ht="16.2" thickBot="1">
      <c r="A72" s="435"/>
      <c r="B72" s="28"/>
      <c r="C72" s="29"/>
      <c r="D72" s="473"/>
      <c r="E72" s="473"/>
      <c r="F72" s="473"/>
      <c r="G72" s="473"/>
      <c r="H72" s="473"/>
      <c r="I72" s="473"/>
      <c r="J72" s="474" t="s">
        <v>58</v>
      </c>
      <c r="K72" s="472"/>
      <c r="L72" s="29"/>
      <c r="M72" s="639"/>
      <c r="N72" s="135"/>
      <c r="O72" s="135"/>
    </row>
    <row r="73" spans="1:15" ht="15.6">
      <c r="A73" s="435">
        <f>+A70+1</f>
        <v>39</v>
      </c>
      <c r="B73" s="28"/>
      <c r="C73" s="29"/>
      <c r="D73" s="473" t="s">
        <v>534</v>
      </c>
      <c r="E73" s="473"/>
      <c r="F73" s="473"/>
      <c r="G73" s="473"/>
      <c r="H73" s="473"/>
      <c r="I73" s="473"/>
      <c r="J73" s="1004">
        <v>1260224.5</v>
      </c>
      <c r="K73" s="639"/>
      <c r="L73" s="639"/>
      <c r="M73" s="639"/>
      <c r="N73" s="129"/>
      <c r="O73" s="129"/>
    </row>
    <row r="74" spans="1:15" ht="15.6">
      <c r="A74" s="435"/>
      <c r="B74" s="28"/>
      <c r="C74" s="29"/>
      <c r="D74" s="473"/>
      <c r="E74" s="473"/>
      <c r="F74" s="473"/>
      <c r="G74" s="473"/>
      <c r="H74" s="473"/>
      <c r="I74" s="473"/>
      <c r="J74" s="439"/>
      <c r="K74" s="639"/>
      <c r="L74" s="639"/>
      <c r="M74" s="639"/>
      <c r="N74" s="129"/>
      <c r="O74" s="129"/>
    </row>
    <row r="75" spans="1:15" ht="15.6">
      <c r="A75" s="435">
        <f>+A73+1</f>
        <v>40</v>
      </c>
      <c r="B75" s="28"/>
      <c r="C75" s="29"/>
      <c r="D75" s="473" t="s">
        <v>535</v>
      </c>
      <c r="E75" s="473"/>
      <c r="F75" s="473"/>
      <c r="G75" s="473"/>
      <c r="H75" s="473"/>
      <c r="I75" s="475"/>
      <c r="J75" s="516">
        <v>0</v>
      </c>
      <c r="K75" s="639"/>
      <c r="L75" s="639"/>
      <c r="M75" s="639"/>
      <c r="N75" s="129"/>
      <c r="O75" s="129"/>
    </row>
    <row r="76" spans="1:15" ht="15.6">
      <c r="A76" s="435"/>
      <c r="B76" s="28"/>
      <c r="C76" s="29"/>
      <c r="D76" s="473"/>
      <c r="E76" s="473"/>
      <c r="F76" s="473"/>
      <c r="G76" s="473"/>
      <c r="H76" s="473"/>
      <c r="I76" s="473"/>
      <c r="J76" s="439"/>
      <c r="K76" s="639"/>
      <c r="L76" s="639"/>
      <c r="M76" s="639"/>
    </row>
    <row r="77" spans="1:15" ht="15.6">
      <c r="A77" s="435">
        <f>+A75+1</f>
        <v>41</v>
      </c>
      <c r="B77" s="28"/>
      <c r="C77" s="29"/>
      <c r="D77" s="473" t="s">
        <v>536</v>
      </c>
      <c r="E77" s="476"/>
      <c r="F77" s="473"/>
      <c r="G77" s="473"/>
      <c r="H77" s="473"/>
      <c r="I77" s="473"/>
      <c r="J77" s="516">
        <f>+'Attachment H'!D212</f>
        <v>154360896</v>
      </c>
      <c r="K77" s="639"/>
      <c r="L77" s="639"/>
      <c r="M77" s="639"/>
    </row>
    <row r="78" spans="1:15" ht="15.6">
      <c r="A78" s="435">
        <f t="shared" si="3"/>
        <v>42</v>
      </c>
      <c r="B78" s="28"/>
      <c r="C78" s="29"/>
      <c r="D78" s="473" t="s">
        <v>978</v>
      </c>
      <c r="E78" s="473"/>
      <c r="F78" s="473"/>
      <c r="G78" s="473"/>
      <c r="H78" s="473"/>
      <c r="I78" s="473"/>
      <c r="J78" s="517">
        <v>0</v>
      </c>
      <c r="K78" s="639"/>
      <c r="L78" s="639"/>
      <c r="M78" s="639"/>
    </row>
    <row r="79" spans="1:15" ht="16.2" thickBot="1">
      <c r="A79" s="435">
        <f t="shared" si="3"/>
        <v>43</v>
      </c>
      <c r="B79" s="28"/>
      <c r="C79" s="29"/>
      <c r="D79" s="473" t="s">
        <v>537</v>
      </c>
      <c r="E79" s="473"/>
      <c r="F79" s="473"/>
      <c r="G79" s="473"/>
      <c r="H79" s="473"/>
      <c r="I79" s="473"/>
      <c r="J79" s="518">
        <v>0</v>
      </c>
      <c r="K79" s="639"/>
      <c r="L79" s="639"/>
      <c r="M79" s="639"/>
    </row>
    <row r="80" spans="1:15" ht="15.6">
      <c r="A80" s="435">
        <f t="shared" si="3"/>
        <v>44</v>
      </c>
      <c r="B80" s="28"/>
      <c r="C80" s="29"/>
      <c r="D80" s="473" t="s">
        <v>538</v>
      </c>
      <c r="E80" s="476" t="s">
        <v>895</v>
      </c>
      <c r="F80" s="476"/>
      <c r="G80" s="476"/>
      <c r="H80" s="477"/>
      <c r="I80" s="476"/>
      <c r="J80" s="439">
        <f>+J77-J78-J79</f>
        <v>154360896</v>
      </c>
      <c r="K80" s="639"/>
      <c r="L80" s="639"/>
      <c r="M80" s="639"/>
    </row>
    <row r="81" spans="1:13">
      <c r="A81" s="435"/>
      <c r="B81" s="28"/>
      <c r="C81" s="29"/>
      <c r="D81" s="639"/>
      <c r="E81" s="639"/>
      <c r="F81" s="639"/>
      <c r="G81" s="639"/>
      <c r="H81" s="639"/>
      <c r="I81" s="639"/>
      <c r="J81" s="18"/>
      <c r="K81" s="639"/>
      <c r="L81" s="639"/>
      <c r="M81" s="639"/>
    </row>
    <row r="82" spans="1:13">
      <c r="A82" s="435"/>
      <c r="B82" s="28"/>
      <c r="C82" s="29"/>
      <c r="D82" s="639"/>
      <c r="E82" s="639"/>
      <c r="F82" s="29"/>
      <c r="G82" s="29"/>
      <c r="H82" s="29"/>
      <c r="I82" s="29"/>
      <c r="J82" s="29"/>
      <c r="K82" s="472"/>
      <c r="L82" s="29"/>
      <c r="M82" s="639"/>
    </row>
    <row r="83" spans="1:13">
      <c r="A83" s="435"/>
      <c r="B83" s="31"/>
      <c r="C83" s="29"/>
      <c r="D83" s="639"/>
      <c r="E83" s="639"/>
      <c r="F83" s="29"/>
      <c r="G83" s="29"/>
      <c r="H83" s="29"/>
      <c r="I83" s="32" t="s">
        <v>67</v>
      </c>
      <c r="J83" s="29"/>
      <c r="K83" s="29"/>
      <c r="L83" s="29"/>
      <c r="M83" s="639"/>
    </row>
    <row r="84" spans="1:13" ht="13.8" thickBot="1">
      <c r="A84" s="435"/>
      <c r="B84" s="31"/>
      <c r="C84" s="29"/>
      <c r="D84" s="639"/>
      <c r="E84" s="639"/>
      <c r="F84" s="33" t="s">
        <v>58</v>
      </c>
      <c r="G84" s="33" t="s">
        <v>68</v>
      </c>
      <c r="H84" s="29"/>
      <c r="I84" s="254"/>
      <c r="J84" s="29"/>
      <c r="K84" s="33" t="s">
        <v>69</v>
      </c>
      <c r="L84" s="29"/>
      <c r="M84" s="639"/>
    </row>
    <row r="85" spans="1:13">
      <c r="A85" s="435">
        <f>+A80+1</f>
        <v>45</v>
      </c>
      <c r="B85" s="28" t="s">
        <v>358</v>
      </c>
      <c r="C85" s="34" t="s">
        <v>601</v>
      </c>
      <c r="D85" s="639"/>
      <c r="E85" s="639"/>
      <c r="F85" s="257">
        <f>'Attachment H'!D210</f>
        <v>52100000</v>
      </c>
      <c r="G85" s="528">
        <f>'Attachment H'!E210</f>
        <v>0.4</v>
      </c>
      <c r="H85" s="27"/>
      <c r="I85" s="956">
        <f>IFERROR(J73/'Attachment H'!D210,0)</f>
        <v>2.4188570057581574E-2</v>
      </c>
      <c r="J85" s="27"/>
      <c r="K85" s="27">
        <f>G85*I85</f>
        <v>9.6754280230326312E-3</v>
      </c>
      <c r="L85" s="256" t="s">
        <v>70</v>
      </c>
      <c r="M85" s="639"/>
    </row>
    <row r="86" spans="1:13">
      <c r="A86" s="435">
        <f t="shared" si="3"/>
        <v>46</v>
      </c>
      <c r="B86" s="28" t="s">
        <v>193</v>
      </c>
      <c r="C86" s="36" t="s">
        <v>602</v>
      </c>
      <c r="D86" s="639"/>
      <c r="E86" s="639"/>
      <c r="F86" s="257">
        <f>'Attachment H'!D211</f>
        <v>0</v>
      </c>
      <c r="G86" s="528">
        <f>'Attachment H'!E211</f>
        <v>0</v>
      </c>
      <c r="H86" s="27"/>
      <c r="I86" s="161">
        <v>0</v>
      </c>
      <c r="J86" s="27"/>
      <c r="K86" s="27">
        <f>G86*I86</f>
        <v>0</v>
      </c>
      <c r="L86" s="29"/>
      <c r="M86" s="639"/>
    </row>
    <row r="87" spans="1:13" ht="13.8" thickBot="1">
      <c r="A87" s="435">
        <f t="shared" si="3"/>
        <v>47</v>
      </c>
      <c r="B87" s="28" t="s">
        <v>466</v>
      </c>
      <c r="C87" s="36" t="s">
        <v>603</v>
      </c>
      <c r="D87" s="639"/>
      <c r="E87" s="639"/>
      <c r="F87" s="507">
        <f>'Attachment H'!D212</f>
        <v>154360896</v>
      </c>
      <c r="G87" s="528">
        <f>'Attachment H'!E212</f>
        <v>0.6</v>
      </c>
      <c r="H87" s="35"/>
      <c r="I87" s="681">
        <f>+'Attachment H'!G212</f>
        <v>0.10299999999999999</v>
      </c>
      <c r="J87" s="36"/>
      <c r="K87" s="47">
        <f>G87*I87</f>
        <v>6.1799999999999994E-2</v>
      </c>
      <c r="L87" s="29"/>
      <c r="M87" s="639"/>
    </row>
    <row r="88" spans="1:13">
      <c r="A88" s="435">
        <f t="shared" si="3"/>
        <v>48</v>
      </c>
      <c r="B88" s="31" t="s">
        <v>346</v>
      </c>
      <c r="C88" s="36" t="s">
        <v>896</v>
      </c>
      <c r="D88" s="639"/>
      <c r="E88" s="639"/>
      <c r="F88" s="257">
        <f>SUM(F85:F87)</f>
        <v>206460896</v>
      </c>
      <c r="G88" s="27" t="s">
        <v>10</v>
      </c>
      <c r="H88" s="29"/>
      <c r="I88" s="37"/>
      <c r="J88" s="29"/>
      <c r="K88" s="27">
        <f>SUM(K85:K87)</f>
        <v>7.1475428023032625E-2</v>
      </c>
      <c r="L88" s="256" t="s">
        <v>71</v>
      </c>
      <c r="M88" s="639"/>
    </row>
    <row r="89" spans="1:13">
      <c r="A89" s="435"/>
      <c r="B89" s="639"/>
      <c r="C89" s="639"/>
      <c r="D89" s="639"/>
      <c r="E89" s="639"/>
      <c r="F89" s="639"/>
      <c r="G89" s="27"/>
      <c r="H89" s="639"/>
      <c r="I89" s="639"/>
      <c r="J89" s="639"/>
      <c r="K89" s="639"/>
      <c r="L89" s="639"/>
      <c r="M89" s="639"/>
    </row>
    <row r="90" spans="1:13">
      <c r="A90" s="639" t="s">
        <v>600</v>
      </c>
      <c r="B90" s="639"/>
      <c r="C90" s="639"/>
      <c r="D90" s="639"/>
      <c r="E90" s="639"/>
      <c r="F90" s="639"/>
      <c r="G90" s="639"/>
      <c r="H90" s="639"/>
      <c r="I90" s="639"/>
      <c r="J90" s="639"/>
      <c r="K90" s="639"/>
      <c r="L90" s="639"/>
      <c r="M90" s="639"/>
    </row>
    <row r="91" spans="1:13">
      <c r="A91" s="436" t="s">
        <v>75</v>
      </c>
      <c r="B91" s="325" t="s">
        <v>937</v>
      </c>
      <c r="C91" s="325"/>
      <c r="D91" s="325"/>
      <c r="E91" s="325"/>
      <c r="F91" s="325"/>
      <c r="G91" s="325"/>
      <c r="H91" s="325"/>
      <c r="I91" s="325"/>
      <c r="J91" s="325"/>
      <c r="K91" s="325"/>
      <c r="L91" s="325"/>
      <c r="M91" s="325"/>
    </row>
    <row r="92" spans="1:13">
      <c r="A92" s="436" t="s">
        <v>76</v>
      </c>
      <c r="B92" s="325" t="s">
        <v>897</v>
      </c>
      <c r="C92" s="325"/>
      <c r="D92" s="325"/>
      <c r="E92" s="325"/>
      <c r="F92" s="325"/>
      <c r="G92" s="325"/>
      <c r="H92" s="325"/>
      <c r="I92" s="325"/>
      <c r="J92" s="325"/>
      <c r="K92" s="325"/>
      <c r="L92" s="325"/>
      <c r="M92" s="325"/>
    </row>
    <row r="93" spans="1:13">
      <c r="A93" s="436" t="s">
        <v>77</v>
      </c>
      <c r="B93" s="325" t="s">
        <v>898</v>
      </c>
      <c r="C93" s="325"/>
      <c r="D93" s="325"/>
      <c r="E93" s="325"/>
      <c r="F93" s="325"/>
      <c r="G93" s="325"/>
      <c r="H93" s="325"/>
      <c r="I93" s="325"/>
      <c r="J93" s="325"/>
      <c r="K93" s="325"/>
      <c r="L93" s="325"/>
      <c r="M93" s="325"/>
    </row>
    <row r="94" spans="1:13">
      <c r="A94" s="418"/>
    </row>
    <row r="95" spans="1:13">
      <c r="A95" s="418"/>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4" fitToHeight="2" orientation="landscape" r:id="rId2"/>
  <rowBreaks count="1" manualBreakCount="1">
    <brk id="4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8"/>
  <sheetViews>
    <sheetView view="pageBreakPreview" zoomScale="75" zoomScaleNormal="100" zoomScaleSheetLayoutView="75" workbookViewId="0">
      <selection activeCell="I3" sqref="I3"/>
    </sheetView>
  </sheetViews>
  <sheetFormatPr defaultColWidth="8.90625" defaultRowHeight="13.2"/>
  <cols>
    <col min="1" max="1" width="4" style="15" customWidth="1"/>
    <col min="2" max="2" width="17.08984375" style="15" customWidth="1"/>
    <col min="3" max="3" width="12.08984375" style="15" customWidth="1"/>
    <col min="4" max="11" width="7.81640625" style="15" customWidth="1"/>
    <col min="12" max="12" width="9.453125" style="15" customWidth="1"/>
    <col min="13" max="13" width="7.81640625" style="15" customWidth="1"/>
    <col min="14" max="14" width="9.54296875" style="15" customWidth="1"/>
    <col min="15" max="15" width="10.453125" style="15" customWidth="1"/>
    <col min="16" max="16" width="11.81640625" style="15" customWidth="1"/>
    <col min="17" max="17" width="10.6328125" style="15" bestFit="1" customWidth="1"/>
    <col min="18" max="16384" width="8.90625" style="15"/>
  </cols>
  <sheetData>
    <row r="1" spans="1:17">
      <c r="I1" s="20" t="s">
        <v>285</v>
      </c>
      <c r="Q1" s="364" t="s">
        <v>893</v>
      </c>
    </row>
    <row r="2" spans="1:17">
      <c r="I2" s="362" t="s">
        <v>780</v>
      </c>
    </row>
    <row r="3" spans="1:17">
      <c r="I3" s="294" t="str">
        <f>+'Attachment H'!D5</f>
        <v>Gridliance High Plains LLC</v>
      </c>
    </row>
    <row r="5" spans="1:17" ht="15.6">
      <c r="A5" s="492"/>
      <c r="B5" s="368"/>
      <c r="C5" s="365" t="s">
        <v>775</v>
      </c>
      <c r="D5" s="365"/>
      <c r="E5" s="1144" t="s">
        <v>776</v>
      </c>
      <c r="F5" s="1144"/>
      <c r="G5" s="366"/>
      <c r="H5" s="366"/>
    </row>
    <row r="6" spans="1:17" ht="15">
      <c r="A6" s="492">
        <v>1</v>
      </c>
      <c r="B6" s="366"/>
      <c r="C6" s="367" t="s">
        <v>554</v>
      </c>
      <c r="D6" s="682"/>
      <c r="E6" s="519">
        <v>0</v>
      </c>
      <c r="F6" s="520"/>
      <c r="G6" s="520"/>
      <c r="H6" s="520"/>
    </row>
    <row r="7" spans="1:17" ht="15">
      <c r="A7" s="492">
        <v>2</v>
      </c>
      <c r="B7" s="366"/>
      <c r="C7" s="367" t="s">
        <v>555</v>
      </c>
      <c r="D7" s="682"/>
      <c r="E7" s="519">
        <v>0</v>
      </c>
      <c r="F7" s="520"/>
      <c r="G7" s="520"/>
      <c r="H7" s="520"/>
    </row>
    <row r="8" spans="1:17" ht="15">
      <c r="A8" s="492">
        <v>3</v>
      </c>
      <c r="B8" s="366"/>
      <c r="C8" s="367" t="s">
        <v>556</v>
      </c>
      <c r="D8" s="682"/>
      <c r="E8" s="519">
        <v>0</v>
      </c>
      <c r="F8" s="520"/>
      <c r="G8" s="520"/>
      <c r="H8" s="520"/>
    </row>
    <row r="9" spans="1:17" ht="15">
      <c r="A9" s="492">
        <v>4</v>
      </c>
      <c r="B9" s="366"/>
      <c r="C9" s="367" t="s">
        <v>557</v>
      </c>
      <c r="D9" s="682"/>
      <c r="E9" s="519">
        <v>0</v>
      </c>
      <c r="F9" s="520"/>
      <c r="G9" s="520"/>
      <c r="H9" s="520"/>
    </row>
    <row r="10" spans="1:17" ht="15.75" customHeight="1">
      <c r="A10" s="492">
        <v>5</v>
      </c>
      <c r="B10" s="366"/>
      <c r="C10" s="367" t="s">
        <v>558</v>
      </c>
      <c r="D10" s="682"/>
      <c r="E10" s="519">
        <v>0</v>
      </c>
      <c r="F10" s="520"/>
      <c r="G10" s="520"/>
      <c r="H10" s="520"/>
    </row>
    <row r="11" spans="1:17" ht="15">
      <c r="A11" s="492">
        <v>6</v>
      </c>
      <c r="B11" s="366"/>
      <c r="C11" s="367" t="s">
        <v>555</v>
      </c>
      <c r="D11" s="682"/>
      <c r="E11" s="519">
        <v>0</v>
      </c>
      <c r="F11" s="520"/>
      <c r="G11" s="520"/>
      <c r="H11" s="520"/>
    </row>
    <row r="12" spans="1:17" ht="15">
      <c r="A12" s="492">
        <v>7</v>
      </c>
      <c r="B12" s="366"/>
      <c r="C12" s="367" t="s">
        <v>556</v>
      </c>
      <c r="D12" s="682"/>
      <c r="E12" s="519">
        <v>0</v>
      </c>
      <c r="F12" s="520"/>
      <c r="G12" s="520"/>
      <c r="H12" s="520"/>
    </row>
    <row r="13" spans="1:17" ht="15">
      <c r="A13" s="492"/>
      <c r="B13" s="366"/>
      <c r="C13" s="366"/>
      <c r="D13" s="520"/>
      <c r="E13" s="521"/>
      <c r="F13" s="520"/>
      <c r="G13" s="520"/>
      <c r="H13" s="520"/>
    </row>
    <row r="14" spans="1:17" ht="15">
      <c r="A14" s="492"/>
      <c r="B14" s="366"/>
      <c r="C14" s="369"/>
      <c r="D14" s="522"/>
      <c r="E14" s="522"/>
      <c r="F14" s="520"/>
      <c r="G14" s="520"/>
      <c r="H14" s="520"/>
    </row>
    <row r="15" spans="1:17" ht="15">
      <c r="A15" s="492">
        <v>8</v>
      </c>
      <c r="B15" s="493" t="s">
        <v>414</v>
      </c>
      <c r="C15" s="370"/>
      <c r="D15" s="522"/>
      <c r="E15" s="520">
        <f>AVERAGE(E6:E12)</f>
        <v>0</v>
      </c>
      <c r="F15" s="520"/>
      <c r="G15" s="520"/>
      <c r="H15" s="523">
        <f>+E15</f>
        <v>0</v>
      </c>
    </row>
    <row r="16" spans="1:17" ht="15">
      <c r="A16" s="366"/>
      <c r="B16" s="366"/>
      <c r="C16" s="370"/>
      <c r="D16" s="522"/>
      <c r="E16" s="522"/>
      <c r="F16" s="520"/>
      <c r="G16" s="520"/>
      <c r="H16" s="520"/>
    </row>
    <row r="17" spans="1:17" ht="15">
      <c r="A17" s="366" t="s">
        <v>777</v>
      </c>
      <c r="B17" s="366"/>
      <c r="C17" s="366"/>
      <c r="D17" s="366"/>
      <c r="E17" s="366"/>
      <c r="F17" s="366"/>
      <c r="G17" s="366"/>
      <c r="H17" s="366"/>
    </row>
    <row r="18" spans="1:17" ht="15">
      <c r="A18" s="366" t="s">
        <v>778</v>
      </c>
      <c r="B18" s="366"/>
      <c r="C18" s="366"/>
      <c r="D18" s="366"/>
      <c r="E18" s="366"/>
      <c r="F18" s="366"/>
      <c r="G18" s="366"/>
      <c r="H18" s="366"/>
    </row>
    <row r="19" spans="1:17" ht="15">
      <c r="A19" s="366" t="s">
        <v>779</v>
      </c>
      <c r="B19" s="366"/>
      <c r="C19" s="366"/>
      <c r="D19" s="366"/>
      <c r="E19" s="366"/>
      <c r="F19" s="366"/>
      <c r="G19" s="366"/>
      <c r="H19" s="366"/>
    </row>
    <row r="20" spans="1:17" s="772" customFormat="1" ht="15">
      <c r="A20" s="366"/>
      <c r="B20" s="366"/>
      <c r="C20" s="366"/>
      <c r="D20" s="366"/>
      <c r="E20" s="366"/>
      <c r="F20" s="366"/>
      <c r="G20" s="366"/>
      <c r="H20" s="366"/>
    </row>
    <row r="21" spans="1:17" s="772" customFormat="1" ht="15">
      <c r="A21" s="366"/>
      <c r="B21" s="366"/>
      <c r="C21" s="366"/>
      <c r="D21" s="366"/>
      <c r="E21" s="366"/>
      <c r="F21" s="366"/>
      <c r="G21" s="366"/>
      <c r="H21" s="366"/>
    </row>
    <row r="22" spans="1:17">
      <c r="A22" s="649"/>
      <c r="B22" s="324"/>
      <c r="C22" s="324"/>
      <c r="D22" s="1142"/>
      <c r="E22" s="1142"/>
      <c r="F22" s="330"/>
      <c r="G22" s="330"/>
      <c r="H22" s="777"/>
      <c r="I22" s="330"/>
      <c r="J22" s="330"/>
      <c r="K22" s="330"/>
      <c r="L22" s="330"/>
    </row>
    <row r="23" spans="1:17">
      <c r="A23" s="649">
        <v>9</v>
      </c>
      <c r="B23" s="324" t="s">
        <v>96</v>
      </c>
      <c r="C23" s="324"/>
      <c r="D23" s="1142"/>
      <c r="E23" s="1142"/>
      <c r="F23" s="1142"/>
      <c r="G23" s="1142"/>
      <c r="H23" s="777"/>
      <c r="I23" s="1142"/>
      <c r="J23" s="1142"/>
      <c r="K23" s="1142"/>
      <c r="L23" s="1142"/>
    </row>
    <row r="24" spans="1:17">
      <c r="A24" s="649">
        <v>10</v>
      </c>
      <c r="B24" s="560"/>
      <c r="C24" s="324"/>
      <c r="D24" s="330"/>
      <c r="E24" s="330"/>
      <c r="F24" s="333"/>
      <c r="G24" s="330"/>
      <c r="H24" s="330"/>
      <c r="I24" s="330"/>
      <c r="J24" s="330"/>
      <c r="K24" s="330"/>
      <c r="L24" s="330"/>
    </row>
    <row r="25" spans="1:17" ht="13.8">
      <c r="A25" s="490"/>
      <c r="B25" s="563" t="s">
        <v>75</v>
      </c>
      <c r="C25" s="563" t="s">
        <v>76</v>
      </c>
      <c r="D25" s="786" t="s">
        <v>77</v>
      </c>
      <c r="E25" s="787" t="s">
        <v>78</v>
      </c>
      <c r="F25" s="787" t="s">
        <v>79</v>
      </c>
      <c r="G25" s="787" t="s">
        <v>80</v>
      </c>
      <c r="H25" s="787" t="s">
        <v>81</v>
      </c>
      <c r="I25" s="787" t="s">
        <v>83</v>
      </c>
      <c r="J25" s="787" t="s">
        <v>84</v>
      </c>
      <c r="K25" s="787" t="s">
        <v>85</v>
      </c>
      <c r="L25" s="787" t="s">
        <v>162</v>
      </c>
      <c r="M25" s="788" t="s">
        <v>859</v>
      </c>
      <c r="N25" s="788" t="s">
        <v>200</v>
      </c>
      <c r="O25" s="789" t="s">
        <v>786</v>
      </c>
      <c r="P25" s="770" t="s">
        <v>203</v>
      </c>
      <c r="Q25" s="771" t="s">
        <v>204</v>
      </c>
    </row>
    <row r="26" spans="1:17" ht="13.8">
      <c r="A26" s="649"/>
      <c r="B26" s="561"/>
      <c r="C26" s="557"/>
      <c r="D26" s="775"/>
      <c r="E26" s="777"/>
      <c r="F26" s="777"/>
      <c r="G26" s="490"/>
      <c r="H26" s="777"/>
      <c r="I26" s="330"/>
      <c r="J26" s="777"/>
      <c r="K26" s="330"/>
      <c r="L26" s="330"/>
      <c r="M26" s="547"/>
      <c r="N26" s="547"/>
      <c r="O26" s="781"/>
      <c r="P26" s="793"/>
      <c r="Q26" s="794"/>
    </row>
    <row r="27" spans="1:17">
      <c r="A27" s="649"/>
      <c r="B27" s="562"/>
      <c r="C27" s="564"/>
      <c r="D27" s="775"/>
      <c r="E27" s="777"/>
      <c r="F27" s="777"/>
      <c r="G27" s="777"/>
      <c r="H27" s="777"/>
      <c r="I27" s="777"/>
      <c r="J27" s="777"/>
      <c r="K27" s="777"/>
      <c r="L27" s="777"/>
      <c r="M27" s="779"/>
      <c r="N27" s="779"/>
      <c r="O27" s="653"/>
      <c r="P27" s="652"/>
      <c r="Q27" s="564"/>
    </row>
    <row r="28" spans="1:17">
      <c r="A28" s="649"/>
      <c r="B28" s="564" t="s">
        <v>644</v>
      </c>
      <c r="C28" s="564"/>
      <c r="D28" s="1141" t="s">
        <v>860</v>
      </c>
      <c r="E28" s="1142"/>
      <c r="F28" s="1142"/>
      <c r="G28" s="1142"/>
      <c r="H28" s="1142"/>
      <c r="I28" s="1142"/>
      <c r="J28" s="1142"/>
      <c r="K28" s="1142"/>
      <c r="L28" s="1142"/>
      <c r="M28" s="1142"/>
      <c r="N28" s="1142"/>
      <c r="O28" s="1143"/>
      <c r="P28" s="652" t="s">
        <v>502</v>
      </c>
      <c r="Q28" s="564" t="s">
        <v>502</v>
      </c>
    </row>
    <row r="29" spans="1:17" ht="13.8">
      <c r="A29" s="649"/>
      <c r="B29" s="559" t="s">
        <v>636</v>
      </c>
      <c r="C29" s="559" t="s">
        <v>637</v>
      </c>
      <c r="D29" s="820" t="s">
        <v>105</v>
      </c>
      <c r="E29" s="821" t="s">
        <v>104</v>
      </c>
      <c r="F29" s="822" t="s">
        <v>103</v>
      </c>
      <c r="G29" s="822" t="s">
        <v>95</v>
      </c>
      <c r="H29" s="821" t="s">
        <v>92</v>
      </c>
      <c r="I29" s="821" t="s">
        <v>145</v>
      </c>
      <c r="J29" s="821" t="s">
        <v>102</v>
      </c>
      <c r="K29" s="821" t="s">
        <v>101</v>
      </c>
      <c r="L29" s="821" t="s">
        <v>100</v>
      </c>
      <c r="M29" s="823" t="s">
        <v>106</v>
      </c>
      <c r="N29" s="823" t="s">
        <v>99</v>
      </c>
      <c r="O29" s="809" t="s">
        <v>98</v>
      </c>
      <c r="P29" s="808" t="s">
        <v>861</v>
      </c>
      <c r="Q29" s="559" t="s">
        <v>745</v>
      </c>
    </row>
    <row r="30" spans="1:17">
      <c r="A30" s="649">
        <v>11</v>
      </c>
      <c r="B30" s="562" t="s">
        <v>507</v>
      </c>
      <c r="C30" s="562"/>
      <c r="D30" s="776"/>
      <c r="E30" s="778"/>
      <c r="F30" s="778"/>
      <c r="G30" s="778"/>
      <c r="H30" s="778"/>
      <c r="I30" s="82"/>
      <c r="J30" s="82"/>
      <c r="K30" s="82"/>
      <c r="L30" s="82"/>
      <c r="M30" s="547"/>
      <c r="N30" s="547"/>
      <c r="O30" s="781"/>
      <c r="P30" s="790"/>
      <c r="Q30" s="795"/>
    </row>
    <row r="31" spans="1:17">
      <c r="A31" s="649" t="s">
        <v>856</v>
      </c>
      <c r="B31" s="586"/>
      <c r="C31" s="586"/>
      <c r="D31" s="661"/>
      <c r="E31" s="595"/>
      <c r="F31" s="595"/>
      <c r="G31" s="595"/>
      <c r="H31" s="595"/>
      <c r="I31" s="595"/>
      <c r="J31" s="595"/>
      <c r="K31" s="780"/>
      <c r="L31" s="780"/>
      <c r="M31" s="744"/>
      <c r="N31" s="744"/>
      <c r="O31" s="782"/>
      <c r="P31" s="791">
        <f>+H15</f>
        <v>0</v>
      </c>
      <c r="Q31" s="824">
        <f>+P31*(D31+E31*0.91667+F31*0.83333+G31*0.75+H31*0.66667+I31*7/12+J31*6/12+K31*5/12+L31*4/12+M31*3/12+N31*2/12+O31*1/12)+P31*1.5*SUM(D31:O31)</f>
        <v>0</v>
      </c>
    </row>
    <row r="32" spans="1:17">
      <c r="A32" s="649" t="s">
        <v>857</v>
      </c>
      <c r="B32" s="586"/>
      <c r="C32" s="586"/>
      <c r="D32" s="661"/>
      <c r="E32" s="595"/>
      <c r="F32" s="595"/>
      <c r="G32" s="595"/>
      <c r="H32" s="595"/>
      <c r="I32" s="595"/>
      <c r="J32" s="595"/>
      <c r="K32" s="780"/>
      <c r="L32" s="780"/>
      <c r="M32" s="744"/>
      <c r="N32" s="744"/>
      <c r="O32" s="782"/>
      <c r="P32" s="791">
        <f>+P31</f>
        <v>0</v>
      </c>
      <c r="Q32" s="824">
        <f t="shared" ref="Q32:Q49" si="0">+P32*(D32+E32*0.91667+F32*0.83333+G32*0.75+H32*0.66667+I32*7/12+J32*6/12+K32*5/12+L32*4/12+M32*3/12+N32*2/12+O32*1/12)+P32*1.5*SUM(D32:O32)</f>
        <v>0</v>
      </c>
    </row>
    <row r="33" spans="1:17">
      <c r="A33" s="649" t="s">
        <v>858</v>
      </c>
      <c r="B33" s="586"/>
      <c r="C33" s="586"/>
      <c r="D33" s="661"/>
      <c r="E33" s="595"/>
      <c r="F33" s="595"/>
      <c r="G33" s="595"/>
      <c r="H33" s="595"/>
      <c r="I33" s="595"/>
      <c r="J33" s="595"/>
      <c r="K33" s="780"/>
      <c r="L33" s="780"/>
      <c r="M33" s="744"/>
      <c r="N33" s="744"/>
      <c r="O33" s="782"/>
      <c r="P33" s="791">
        <f t="shared" ref="P33:P49" si="1">+P32</f>
        <v>0</v>
      </c>
      <c r="Q33" s="824">
        <f t="shared" si="0"/>
        <v>0</v>
      </c>
    </row>
    <row r="34" spans="1:17">
      <c r="A34" s="649" t="s">
        <v>501</v>
      </c>
      <c r="B34" s="586"/>
      <c r="C34" s="586"/>
      <c r="D34" s="661"/>
      <c r="E34" s="595"/>
      <c r="F34" s="595"/>
      <c r="G34" s="595"/>
      <c r="H34" s="595"/>
      <c r="I34" s="595"/>
      <c r="J34" s="595"/>
      <c r="K34" s="780"/>
      <c r="L34" s="780"/>
      <c r="M34" s="744"/>
      <c r="N34" s="744"/>
      <c r="O34" s="782"/>
      <c r="P34" s="791">
        <f t="shared" si="1"/>
        <v>0</v>
      </c>
      <c r="Q34" s="824">
        <f t="shared" si="0"/>
        <v>0</v>
      </c>
    </row>
    <row r="35" spans="1:17">
      <c r="A35" s="649"/>
      <c r="B35" s="586"/>
      <c r="C35" s="586"/>
      <c r="D35" s="661"/>
      <c r="E35" s="595"/>
      <c r="F35" s="595"/>
      <c r="G35" s="595"/>
      <c r="H35" s="595"/>
      <c r="I35" s="595"/>
      <c r="J35" s="595"/>
      <c r="K35" s="780"/>
      <c r="L35" s="780"/>
      <c r="M35" s="744"/>
      <c r="N35" s="744"/>
      <c r="O35" s="782"/>
      <c r="P35" s="791">
        <f t="shared" si="1"/>
        <v>0</v>
      </c>
      <c r="Q35" s="824">
        <f t="shared" si="0"/>
        <v>0</v>
      </c>
    </row>
    <row r="36" spans="1:17">
      <c r="A36" s="649"/>
      <c r="B36" s="586"/>
      <c r="C36" s="586"/>
      <c r="D36" s="661"/>
      <c r="E36" s="595"/>
      <c r="F36" s="595"/>
      <c r="G36" s="595"/>
      <c r="H36" s="595"/>
      <c r="I36" s="595"/>
      <c r="J36" s="595"/>
      <c r="K36" s="780"/>
      <c r="L36" s="780"/>
      <c r="M36" s="744"/>
      <c r="N36" s="744"/>
      <c r="O36" s="782"/>
      <c r="P36" s="791">
        <f t="shared" si="1"/>
        <v>0</v>
      </c>
      <c r="Q36" s="824">
        <f t="shared" si="0"/>
        <v>0</v>
      </c>
    </row>
    <row r="37" spans="1:17">
      <c r="A37" s="649"/>
      <c r="B37" s="586"/>
      <c r="C37" s="586"/>
      <c r="D37" s="661"/>
      <c r="E37" s="595"/>
      <c r="F37" s="595"/>
      <c r="G37" s="595"/>
      <c r="H37" s="595"/>
      <c r="I37" s="595"/>
      <c r="J37" s="595"/>
      <c r="K37" s="780"/>
      <c r="L37" s="780"/>
      <c r="M37" s="744"/>
      <c r="N37" s="744"/>
      <c r="O37" s="782"/>
      <c r="P37" s="791">
        <f t="shared" si="1"/>
        <v>0</v>
      </c>
      <c r="Q37" s="824">
        <f t="shared" si="0"/>
        <v>0</v>
      </c>
    </row>
    <row r="38" spans="1:17">
      <c r="A38" s="649"/>
      <c r="B38" s="586"/>
      <c r="C38" s="586"/>
      <c r="D38" s="661"/>
      <c r="E38" s="595"/>
      <c r="F38" s="595"/>
      <c r="G38" s="595"/>
      <c r="H38" s="595"/>
      <c r="I38" s="595"/>
      <c r="J38" s="595"/>
      <c r="K38" s="780"/>
      <c r="L38" s="780"/>
      <c r="M38" s="744"/>
      <c r="N38" s="744"/>
      <c r="O38" s="782"/>
      <c r="P38" s="791">
        <f t="shared" si="1"/>
        <v>0</v>
      </c>
      <c r="Q38" s="824">
        <f t="shared" si="0"/>
        <v>0</v>
      </c>
    </row>
    <row r="39" spans="1:17">
      <c r="A39" s="649"/>
      <c r="B39" s="586"/>
      <c r="C39" s="586"/>
      <c r="D39" s="661"/>
      <c r="E39" s="595"/>
      <c r="F39" s="595"/>
      <c r="G39" s="595"/>
      <c r="H39" s="595"/>
      <c r="I39" s="595"/>
      <c r="J39" s="595"/>
      <c r="K39" s="780"/>
      <c r="L39" s="780"/>
      <c r="M39" s="744"/>
      <c r="N39" s="744"/>
      <c r="O39" s="782"/>
      <c r="P39" s="791">
        <f t="shared" si="1"/>
        <v>0</v>
      </c>
      <c r="Q39" s="824">
        <f t="shared" si="0"/>
        <v>0</v>
      </c>
    </row>
    <row r="40" spans="1:17">
      <c r="A40" s="649"/>
      <c r="B40" s="586"/>
      <c r="C40" s="586"/>
      <c r="D40" s="661"/>
      <c r="E40" s="595"/>
      <c r="F40" s="595"/>
      <c r="G40" s="595"/>
      <c r="H40" s="595"/>
      <c r="I40" s="595"/>
      <c r="J40" s="595"/>
      <c r="K40" s="780"/>
      <c r="L40" s="780"/>
      <c r="M40" s="744"/>
      <c r="N40" s="744"/>
      <c r="O40" s="782"/>
      <c r="P40" s="791">
        <f t="shared" si="1"/>
        <v>0</v>
      </c>
      <c r="Q40" s="824">
        <f t="shared" si="0"/>
        <v>0</v>
      </c>
    </row>
    <row r="41" spans="1:17">
      <c r="A41" s="649"/>
      <c r="B41" s="586"/>
      <c r="C41" s="586"/>
      <c r="D41" s="661"/>
      <c r="E41" s="595"/>
      <c r="F41" s="595"/>
      <c r="G41" s="595"/>
      <c r="H41" s="595"/>
      <c r="I41" s="595"/>
      <c r="J41" s="595"/>
      <c r="K41" s="780"/>
      <c r="L41" s="780"/>
      <c r="M41" s="744"/>
      <c r="N41" s="744"/>
      <c r="O41" s="782"/>
      <c r="P41" s="791">
        <f t="shared" si="1"/>
        <v>0</v>
      </c>
      <c r="Q41" s="824">
        <f t="shared" si="0"/>
        <v>0</v>
      </c>
    </row>
    <row r="42" spans="1:17">
      <c r="A42" s="649"/>
      <c r="B42" s="586"/>
      <c r="C42" s="586"/>
      <c r="D42" s="661"/>
      <c r="E42" s="595"/>
      <c r="F42" s="595"/>
      <c r="G42" s="595"/>
      <c r="H42" s="595"/>
      <c r="I42" s="595"/>
      <c r="J42" s="595"/>
      <c r="K42" s="780"/>
      <c r="L42" s="780"/>
      <c r="M42" s="744"/>
      <c r="N42" s="744"/>
      <c r="O42" s="782"/>
      <c r="P42" s="791">
        <f t="shared" si="1"/>
        <v>0</v>
      </c>
      <c r="Q42" s="824">
        <f t="shared" si="0"/>
        <v>0</v>
      </c>
    </row>
    <row r="43" spans="1:17">
      <c r="A43" s="649"/>
      <c r="B43" s="586"/>
      <c r="C43" s="586"/>
      <c r="D43" s="661"/>
      <c r="E43" s="595"/>
      <c r="F43" s="595"/>
      <c r="G43" s="595"/>
      <c r="H43" s="595"/>
      <c r="I43" s="595"/>
      <c r="J43" s="595"/>
      <c r="K43" s="780"/>
      <c r="L43" s="780"/>
      <c r="M43" s="744"/>
      <c r="N43" s="744"/>
      <c r="O43" s="782"/>
      <c r="P43" s="791">
        <f t="shared" si="1"/>
        <v>0</v>
      </c>
      <c r="Q43" s="824">
        <f t="shared" si="0"/>
        <v>0</v>
      </c>
    </row>
    <row r="44" spans="1:17">
      <c r="A44" s="649"/>
      <c r="B44" s="586"/>
      <c r="C44" s="586"/>
      <c r="D44" s="661"/>
      <c r="E44" s="595"/>
      <c r="F44" s="595"/>
      <c r="G44" s="595"/>
      <c r="H44" s="595"/>
      <c r="I44" s="595"/>
      <c r="J44" s="595"/>
      <c r="K44" s="780"/>
      <c r="L44" s="780"/>
      <c r="M44" s="744"/>
      <c r="N44" s="744"/>
      <c r="O44" s="782"/>
      <c r="P44" s="791">
        <f t="shared" si="1"/>
        <v>0</v>
      </c>
      <c r="Q44" s="824">
        <f t="shared" si="0"/>
        <v>0</v>
      </c>
    </row>
    <row r="45" spans="1:17">
      <c r="A45" s="649"/>
      <c r="B45" s="586"/>
      <c r="C45" s="586"/>
      <c r="D45" s="661"/>
      <c r="E45" s="595"/>
      <c r="F45" s="595"/>
      <c r="G45" s="595"/>
      <c r="H45" s="595"/>
      <c r="I45" s="595"/>
      <c r="J45" s="595"/>
      <c r="K45" s="780"/>
      <c r="L45" s="780"/>
      <c r="M45" s="744"/>
      <c r="N45" s="744"/>
      <c r="O45" s="782"/>
      <c r="P45" s="791">
        <f t="shared" si="1"/>
        <v>0</v>
      </c>
      <c r="Q45" s="824">
        <f t="shared" si="0"/>
        <v>0</v>
      </c>
    </row>
    <row r="46" spans="1:17">
      <c r="A46" s="649"/>
      <c r="B46" s="586"/>
      <c r="C46" s="586"/>
      <c r="D46" s="661"/>
      <c r="E46" s="595"/>
      <c r="F46" s="595"/>
      <c r="G46" s="595"/>
      <c r="H46" s="595"/>
      <c r="I46" s="595"/>
      <c r="J46" s="595"/>
      <c r="K46" s="780"/>
      <c r="L46" s="780"/>
      <c r="M46" s="744"/>
      <c r="N46" s="744"/>
      <c r="O46" s="782"/>
      <c r="P46" s="791">
        <f t="shared" si="1"/>
        <v>0</v>
      </c>
      <c r="Q46" s="824">
        <f t="shared" si="0"/>
        <v>0</v>
      </c>
    </row>
    <row r="47" spans="1:17">
      <c r="A47" s="649"/>
      <c r="B47" s="586"/>
      <c r="C47" s="586"/>
      <c r="D47" s="661"/>
      <c r="E47" s="595"/>
      <c r="F47" s="595"/>
      <c r="G47" s="595"/>
      <c r="H47" s="595"/>
      <c r="I47" s="595"/>
      <c r="J47" s="595"/>
      <c r="K47" s="780"/>
      <c r="L47" s="780"/>
      <c r="M47" s="744"/>
      <c r="N47" s="744"/>
      <c r="O47" s="782"/>
      <c r="P47" s="791">
        <f t="shared" si="1"/>
        <v>0</v>
      </c>
      <c r="Q47" s="824">
        <f t="shared" si="0"/>
        <v>0</v>
      </c>
    </row>
    <row r="48" spans="1:17">
      <c r="A48" s="649"/>
      <c r="B48" s="586"/>
      <c r="C48" s="586"/>
      <c r="D48" s="661"/>
      <c r="E48" s="595"/>
      <c r="F48" s="595"/>
      <c r="G48" s="595"/>
      <c r="H48" s="595"/>
      <c r="I48" s="595"/>
      <c r="J48" s="595"/>
      <c r="K48" s="780"/>
      <c r="L48" s="780"/>
      <c r="M48" s="744"/>
      <c r="N48" s="744"/>
      <c r="O48" s="782"/>
      <c r="P48" s="791">
        <f t="shared" si="1"/>
        <v>0</v>
      </c>
      <c r="Q48" s="824">
        <f t="shared" si="0"/>
        <v>0</v>
      </c>
    </row>
    <row r="49" spans="1:17">
      <c r="A49" s="649"/>
      <c r="B49" s="586"/>
      <c r="C49" s="586"/>
      <c r="D49" s="661"/>
      <c r="E49" s="595"/>
      <c r="F49" s="595"/>
      <c r="G49" s="595"/>
      <c r="H49" s="595"/>
      <c r="I49" s="595"/>
      <c r="J49" s="595"/>
      <c r="K49" s="780"/>
      <c r="L49" s="780"/>
      <c r="M49" s="744"/>
      <c r="N49" s="744"/>
      <c r="O49" s="782"/>
      <c r="P49" s="791">
        <f t="shared" si="1"/>
        <v>0</v>
      </c>
      <c r="Q49" s="824">
        <f t="shared" si="0"/>
        <v>0</v>
      </c>
    </row>
    <row r="50" spans="1:17">
      <c r="A50" s="649"/>
      <c r="B50" s="565"/>
      <c r="C50" s="565"/>
      <c r="D50" s="665"/>
      <c r="E50" s="783"/>
      <c r="F50" s="334"/>
      <c r="G50" s="783"/>
      <c r="H50" s="335"/>
      <c r="I50" s="334"/>
      <c r="J50" s="334"/>
      <c r="K50" s="334"/>
      <c r="L50" s="334"/>
      <c r="M50" s="784"/>
      <c r="N50" s="784"/>
      <c r="O50" s="785"/>
      <c r="P50" s="792"/>
      <c r="Q50" s="796"/>
    </row>
    <row r="51" spans="1:17">
      <c r="A51" s="649"/>
      <c r="B51" s="324"/>
      <c r="C51" s="324"/>
      <c r="D51" s="778"/>
      <c r="E51" s="778"/>
      <c r="F51" s="778"/>
      <c r="G51" s="778"/>
      <c r="H51" s="778"/>
      <c r="I51" s="778"/>
      <c r="J51" s="778"/>
      <c r="K51" s="778"/>
      <c r="L51" s="778"/>
    </row>
    <row r="52" spans="1:17">
      <c r="A52" s="649"/>
      <c r="B52" s="324" t="s">
        <v>602</v>
      </c>
      <c r="C52" s="324"/>
      <c r="D52" s="667"/>
      <c r="E52" s="667"/>
      <c r="F52" s="667"/>
      <c r="G52" s="667"/>
      <c r="H52" s="667"/>
      <c r="I52" s="667"/>
      <c r="J52" s="667"/>
      <c r="K52" s="667"/>
      <c r="L52" s="667"/>
    </row>
    <row r="53" spans="1:17">
      <c r="A53" s="649"/>
      <c r="B53" s="324" t="s">
        <v>868</v>
      </c>
      <c r="C53" s="324"/>
      <c r="D53" s="667"/>
      <c r="E53" s="667"/>
      <c r="F53" s="667"/>
      <c r="G53" s="667"/>
      <c r="H53" s="134"/>
      <c r="I53" s="134"/>
      <c r="J53" s="134"/>
      <c r="K53" s="134"/>
      <c r="L53" s="667"/>
    </row>
    <row r="54" spans="1:17">
      <c r="A54" s="649"/>
      <c r="B54" s="324" t="s">
        <v>973</v>
      </c>
      <c r="C54" s="324"/>
      <c r="D54" s="667"/>
      <c r="E54" s="667"/>
      <c r="F54" s="667"/>
      <c r="G54" s="667"/>
      <c r="H54" s="134"/>
      <c r="I54" s="134"/>
      <c r="J54" s="134"/>
      <c r="K54" s="134"/>
      <c r="L54" s="667"/>
    </row>
    <row r="55" spans="1:17">
      <c r="B55" s="772" t="s">
        <v>974</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ageMargins left="0.25" right="0.25" top="0.75" bottom="0.75" header="0.3" footer="0.3"/>
  <pageSetup scale="67"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68"/>
  <sheetViews>
    <sheetView view="pageBreakPreview" zoomScale="75" zoomScaleNormal="100" zoomScaleSheetLayoutView="75" workbookViewId="0">
      <selection activeCell="C3" sqref="C3"/>
    </sheetView>
  </sheetViews>
  <sheetFormatPr defaultRowHeight="15"/>
  <cols>
    <col min="2" max="2" width="43.81640625" customWidth="1"/>
    <col min="3" max="3" width="15.54296875" customWidth="1"/>
    <col min="4" max="4" width="16.36328125" customWidth="1"/>
    <col min="5" max="6" width="12.08984375" customWidth="1"/>
    <col min="7" max="8" width="11.90625" bestFit="1" customWidth="1"/>
  </cols>
  <sheetData>
    <row r="1" spans="1:9" ht="15.6">
      <c r="A1" s="365"/>
      <c r="C1" s="449" t="s">
        <v>286</v>
      </c>
      <c r="I1" s="834" t="s">
        <v>893</v>
      </c>
    </row>
    <row r="2" spans="1:9">
      <c r="C2" s="448" t="s">
        <v>471</v>
      </c>
    </row>
    <row r="3" spans="1:9" ht="15.6">
      <c r="C3" s="449" t="str">
        <f>+'Attachment H'!D5</f>
        <v>Gridliance High Plains LLC</v>
      </c>
      <c r="G3" s="441"/>
      <c r="H3" s="441"/>
    </row>
    <row r="4" spans="1:9" ht="15.6">
      <c r="C4" s="440"/>
      <c r="G4" s="441"/>
      <c r="H4" s="441"/>
    </row>
    <row r="5" spans="1:9">
      <c r="A5" s="431"/>
      <c r="B5" s="434" t="s">
        <v>468</v>
      </c>
      <c r="C5" s="433"/>
      <c r="D5" s="432"/>
      <c r="E5" s="432"/>
      <c r="F5" s="432"/>
      <c r="G5" s="442"/>
      <c r="H5" s="442"/>
    </row>
    <row r="6" spans="1:9" s="618" customFormat="1">
      <c r="A6" s="615"/>
      <c r="B6" s="616" t="s">
        <v>292</v>
      </c>
      <c r="C6" s="617"/>
      <c r="D6" s="616" t="s">
        <v>293</v>
      </c>
      <c r="E6" s="616" t="s">
        <v>294</v>
      </c>
      <c r="F6" s="616" t="s">
        <v>295</v>
      </c>
      <c r="G6" s="616" t="s">
        <v>297</v>
      </c>
      <c r="H6" s="616" t="s">
        <v>296</v>
      </c>
      <c r="I6" s="616" t="s">
        <v>298</v>
      </c>
    </row>
    <row r="7" spans="1:9">
      <c r="A7" s="431"/>
      <c r="B7" s="430"/>
      <c r="C7" s="430"/>
      <c r="D7" s="443"/>
      <c r="E7" s="443"/>
      <c r="F7" s="443"/>
      <c r="G7" s="443"/>
      <c r="H7" s="443"/>
    </row>
    <row r="8" spans="1:9">
      <c r="A8" s="619">
        <v>1</v>
      </c>
      <c r="B8" s="547"/>
      <c r="C8" s="620"/>
      <c r="D8" s="621" t="s">
        <v>697</v>
      </c>
      <c r="E8" s="646" t="s">
        <v>867</v>
      </c>
      <c r="F8" s="646" t="s">
        <v>867</v>
      </c>
      <c r="G8" s="646" t="s">
        <v>867</v>
      </c>
      <c r="H8" s="646" t="s">
        <v>867</v>
      </c>
      <c r="I8" s="622" t="s">
        <v>21</v>
      </c>
    </row>
    <row r="9" spans="1:9">
      <c r="A9" s="619">
        <v>2</v>
      </c>
      <c r="B9" s="623" t="s">
        <v>2</v>
      </c>
      <c r="C9" s="623"/>
      <c r="D9" s="54">
        <v>0</v>
      </c>
      <c r="E9" s="54">
        <v>0</v>
      </c>
      <c r="F9" s="54">
        <v>0</v>
      </c>
      <c r="G9" s="54">
        <v>0</v>
      </c>
      <c r="H9" s="54">
        <v>0</v>
      </c>
      <c r="I9" s="27"/>
    </row>
    <row r="10" spans="1:9">
      <c r="A10" s="619">
        <v>3</v>
      </c>
      <c r="B10" s="623" t="s">
        <v>599</v>
      </c>
      <c r="C10" s="623"/>
      <c r="D10" s="54">
        <v>0</v>
      </c>
      <c r="E10" s="54">
        <v>0</v>
      </c>
      <c r="F10" s="54">
        <v>0</v>
      </c>
      <c r="G10" s="54">
        <v>0</v>
      </c>
      <c r="H10" s="54">
        <v>0</v>
      </c>
      <c r="I10" s="27"/>
    </row>
    <row r="11" spans="1:9">
      <c r="A11" s="619">
        <v>4</v>
      </c>
      <c r="B11" s="623" t="s">
        <v>699</v>
      </c>
      <c r="C11" s="623"/>
      <c r="D11" s="54">
        <f>IF(D9=0,0,D9/D10)</f>
        <v>0</v>
      </c>
      <c r="E11" s="54">
        <f t="shared" ref="E11:H11" si="0">IF(E9=0,0,E9/E10)</f>
        <v>0</v>
      </c>
      <c r="F11" s="54">
        <f t="shared" si="0"/>
        <v>0</v>
      </c>
      <c r="G11" s="54">
        <f t="shared" si="0"/>
        <v>0</v>
      </c>
      <c r="H11" s="54">
        <f t="shared" si="0"/>
        <v>0</v>
      </c>
      <c r="I11" s="27"/>
    </row>
    <row r="12" spans="1:9">
      <c r="A12" s="619">
        <v>5</v>
      </c>
      <c r="B12" s="623" t="s">
        <v>695</v>
      </c>
      <c r="C12" s="623"/>
      <c r="D12" s="798">
        <v>0</v>
      </c>
      <c r="E12" s="798">
        <v>0</v>
      </c>
      <c r="F12" s="798">
        <v>0</v>
      </c>
      <c r="G12" s="798">
        <v>0</v>
      </c>
      <c r="H12" s="798">
        <v>0</v>
      </c>
      <c r="I12" s="27"/>
    </row>
    <row r="13" spans="1:9">
      <c r="A13" s="619">
        <v>6</v>
      </c>
      <c r="B13" s="623" t="s">
        <v>698</v>
      </c>
      <c r="C13" s="623"/>
      <c r="D13" s="714">
        <f>D11*D12</f>
        <v>0</v>
      </c>
      <c r="E13" s="714">
        <f>E11*E12</f>
        <v>0</v>
      </c>
      <c r="F13" s="714">
        <f>F11*F12</f>
        <v>0</v>
      </c>
      <c r="G13" s="714">
        <f>G11*G12</f>
        <v>0</v>
      </c>
      <c r="H13" s="714">
        <f>H11*H12</f>
        <v>0</v>
      </c>
      <c r="I13" s="27">
        <f>SUM(D13:H13)</f>
        <v>0</v>
      </c>
    </row>
    <row r="14" spans="1:9">
      <c r="A14" s="619">
        <v>7</v>
      </c>
      <c r="B14" s="623" t="s">
        <v>589</v>
      </c>
      <c r="C14" s="623"/>
      <c r="D14" s="714"/>
      <c r="E14" s="27"/>
      <c r="F14" s="27"/>
      <c r="G14" s="27"/>
      <c r="H14" s="27"/>
      <c r="I14" s="27"/>
    </row>
    <row r="15" spans="1:9">
      <c r="A15" s="547"/>
      <c r="B15" s="547"/>
      <c r="C15" s="15"/>
      <c r="D15" s="15"/>
      <c r="E15" s="15"/>
      <c r="F15" s="15"/>
      <c r="G15" s="15"/>
      <c r="H15" s="15"/>
      <c r="I15" s="15"/>
    </row>
    <row r="16" spans="1:9" ht="26.4">
      <c r="A16" s="305">
        <v>8</v>
      </c>
      <c r="B16" s="624" t="s">
        <v>675</v>
      </c>
      <c r="C16" s="15"/>
      <c r="D16" s="625"/>
      <c r="E16" s="625"/>
      <c r="F16" s="625"/>
      <c r="G16" s="625"/>
      <c r="H16" s="625"/>
      <c r="I16" s="18">
        <f>SUM(D16:H16)</f>
        <v>0</v>
      </c>
    </row>
    <row r="18" spans="1:17">
      <c r="A18" s="468" t="s">
        <v>73</v>
      </c>
      <c r="B18" s="468"/>
      <c r="C18" s="25"/>
      <c r="D18" s="25"/>
      <c r="E18" s="25"/>
      <c r="F18" s="25"/>
      <c r="G18" s="25"/>
      <c r="H18" s="25"/>
      <c r="I18" s="25"/>
      <c r="J18" s="25"/>
      <c r="K18" s="25"/>
      <c r="L18" s="25"/>
      <c r="M18" s="25"/>
      <c r="N18" s="25"/>
      <c r="O18" s="25"/>
      <c r="P18" s="25"/>
      <c r="Q18" s="25"/>
    </row>
    <row r="19" spans="1:17" ht="15.6" thickBot="1">
      <c r="A19" s="469" t="s">
        <v>74</v>
      </c>
      <c r="B19" s="468"/>
      <c r="C19" s="25"/>
      <c r="D19" s="25"/>
      <c r="E19" s="25"/>
      <c r="F19" s="25"/>
      <c r="G19" s="25"/>
      <c r="H19" s="25"/>
      <c r="I19" s="25"/>
      <c r="J19" s="25"/>
      <c r="K19" s="25"/>
      <c r="L19" s="25"/>
      <c r="M19" s="25"/>
      <c r="N19" s="25"/>
      <c r="O19" s="25"/>
      <c r="P19" s="25"/>
      <c r="Q19" s="25"/>
    </row>
    <row r="20" spans="1:17">
      <c r="A20" s="470" t="s">
        <v>75</v>
      </c>
      <c r="B20" s="635" t="s">
        <v>700</v>
      </c>
      <c r="C20" s="634"/>
      <c r="D20" s="634"/>
      <c r="E20" s="634"/>
      <c r="F20" s="634"/>
      <c r="G20" s="634"/>
      <c r="H20" s="634"/>
      <c r="I20" s="634"/>
      <c r="J20" s="634"/>
      <c r="K20" s="634"/>
      <c r="L20" s="634"/>
      <c r="M20" s="634"/>
      <c r="N20" s="634"/>
      <c r="O20" s="634"/>
      <c r="P20" s="634"/>
      <c r="Q20" s="634"/>
    </row>
    <row r="21" spans="1:17">
      <c r="A21" s="628"/>
      <c r="B21" s="629"/>
    </row>
    <row r="68" ht="24" customHeight="1"/>
  </sheetData>
  <phoneticPr fontId="0" type="noConversion"/>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81"/>
  <sheetViews>
    <sheetView view="pageBreakPreview" topLeftCell="A58" zoomScale="70" zoomScaleNormal="100" zoomScaleSheetLayoutView="70" workbookViewId="0">
      <selection activeCell="A4" sqref="A4:J4"/>
    </sheetView>
  </sheetViews>
  <sheetFormatPr defaultColWidth="8.90625" defaultRowHeight="13.2"/>
  <cols>
    <col min="1" max="1" width="5.453125" style="613" customWidth="1"/>
    <col min="2" max="2" width="21.453125" style="323" customWidth="1"/>
    <col min="3" max="3" width="12.08984375" style="323" bestFit="1" customWidth="1"/>
    <col min="4" max="4" width="12.08984375" style="323" customWidth="1"/>
    <col min="5" max="5" width="11" style="323" customWidth="1"/>
    <col min="6" max="6" width="13.453125" style="323" customWidth="1"/>
    <col min="7" max="7" width="14.08984375" style="323" customWidth="1"/>
    <col min="8" max="8" width="12.36328125" style="323" customWidth="1"/>
    <col min="9" max="9" width="14.08984375" style="323" customWidth="1"/>
    <col min="10" max="10" width="24.36328125" style="323" customWidth="1"/>
    <col min="11" max="11" width="7.1796875" style="323" customWidth="1"/>
    <col min="12" max="12" width="12.1796875" style="323" customWidth="1"/>
    <col min="13" max="13" width="8.08984375" style="323" customWidth="1"/>
    <col min="14" max="14" width="7.6328125" style="323" bestFit="1" customWidth="1"/>
    <col min="15" max="15" width="11.6328125" style="323" bestFit="1" customWidth="1"/>
    <col min="16" max="16" width="10.90625" style="323" bestFit="1" customWidth="1"/>
    <col min="17" max="16384" width="8.90625" style="323"/>
  </cols>
  <sheetData>
    <row r="1" spans="1:11" s="765" customFormat="1">
      <c r="A1" s="613"/>
      <c r="J1" s="835" t="s">
        <v>893</v>
      </c>
    </row>
    <row r="2" spans="1:11" s="300" customFormat="1" ht="15" customHeight="1">
      <c r="A2" s="1147" t="s">
        <v>489</v>
      </c>
      <c r="B2" s="1147"/>
      <c r="C2" s="1147"/>
      <c r="D2" s="1147"/>
      <c r="E2" s="1147"/>
      <c r="F2" s="1147"/>
      <c r="G2" s="1147"/>
      <c r="H2" s="1147"/>
      <c r="I2" s="1147"/>
      <c r="J2" s="1147"/>
    </row>
    <row r="3" spans="1:11" s="300" customFormat="1">
      <c r="A3" s="1147" t="s">
        <v>494</v>
      </c>
      <c r="B3" s="1147"/>
      <c r="C3" s="1147"/>
      <c r="D3" s="1147"/>
      <c r="E3" s="1147"/>
      <c r="F3" s="1147"/>
      <c r="G3" s="1147"/>
      <c r="H3" s="1147"/>
      <c r="I3" s="1147"/>
      <c r="J3" s="1147"/>
    </row>
    <row r="4" spans="1:11" s="300" customFormat="1" ht="15" customHeight="1">
      <c r="A4" s="1148" t="str">
        <f>+'Attachment H'!D5</f>
        <v>Gridliance High Plains LLC</v>
      </c>
      <c r="B4" s="1148"/>
      <c r="C4" s="1148"/>
      <c r="D4" s="1148"/>
      <c r="E4" s="1148"/>
      <c r="F4" s="1148"/>
      <c r="G4" s="1148"/>
      <c r="H4" s="1148"/>
      <c r="I4" s="1148"/>
      <c r="J4" s="1148"/>
      <c r="K4" s="304"/>
    </row>
    <row r="5" spans="1:11" s="300" customFormat="1">
      <c r="A5" s="587"/>
      <c r="B5" s="304"/>
      <c r="C5" s="304"/>
      <c r="D5" s="304"/>
      <c r="E5" s="304"/>
      <c r="F5" s="338"/>
      <c r="G5" s="304"/>
      <c r="H5" s="304"/>
      <c r="I5" s="304"/>
      <c r="J5" s="304"/>
      <c r="K5" s="304"/>
    </row>
    <row r="6" spans="1:11" s="300" customFormat="1">
      <c r="A6" s="587"/>
      <c r="B6" s="304" t="s">
        <v>652</v>
      </c>
      <c r="C6" s="304"/>
      <c r="D6" s="304"/>
      <c r="E6" s="304"/>
      <c r="F6" s="338"/>
      <c r="G6" s="304"/>
      <c r="H6" s="304"/>
      <c r="I6" s="304"/>
      <c r="J6" s="304"/>
      <c r="K6" s="304"/>
    </row>
    <row r="7" spans="1:11" s="300" customFormat="1">
      <c r="A7" s="587"/>
      <c r="B7" s="304" t="s">
        <v>163</v>
      </c>
      <c r="C7" s="304"/>
      <c r="D7" s="304"/>
      <c r="E7" s="304"/>
      <c r="F7" s="338"/>
      <c r="G7" s="304"/>
      <c r="H7" s="304"/>
      <c r="I7" s="304"/>
      <c r="J7" s="304"/>
      <c r="K7" s="304"/>
    </row>
    <row r="8" spans="1:11" s="300" customFormat="1">
      <c r="A8" s="587"/>
      <c r="B8" s="304" t="s">
        <v>164</v>
      </c>
      <c r="C8" s="304"/>
      <c r="D8" s="304"/>
      <c r="E8" s="304"/>
      <c r="F8" s="338"/>
      <c r="G8" s="304"/>
      <c r="H8" s="304"/>
      <c r="I8" s="304"/>
      <c r="J8" s="304"/>
      <c r="K8" s="304"/>
    </row>
    <row r="9" spans="1:11" s="300" customFormat="1">
      <c r="A9" s="587"/>
      <c r="B9" s="304"/>
      <c r="C9" s="304"/>
      <c r="D9" s="304"/>
      <c r="E9" s="304"/>
      <c r="F9" s="338"/>
      <c r="G9" s="304"/>
      <c r="H9" s="304"/>
      <c r="I9" s="304"/>
      <c r="J9" s="304"/>
      <c r="K9" s="304"/>
    </row>
    <row r="10" spans="1:11" s="300" customFormat="1" ht="13.8" thickBot="1">
      <c r="A10" s="480"/>
      <c r="B10" s="304" t="s">
        <v>841</v>
      </c>
      <c r="C10" s="304"/>
      <c r="D10" s="304"/>
      <c r="E10" s="304"/>
      <c r="F10" s="304"/>
      <c r="G10" s="304"/>
      <c r="H10" s="304"/>
      <c r="I10" s="304"/>
      <c r="J10" s="304"/>
      <c r="K10" s="304"/>
    </row>
    <row r="11" spans="1:11" s="300" customFormat="1">
      <c r="A11" s="480"/>
      <c r="B11" s="339"/>
      <c r="C11" s="307"/>
      <c r="D11" s="307"/>
      <c r="E11" s="307"/>
      <c r="F11" s="319"/>
      <c r="G11" s="304"/>
      <c r="H11" s="304"/>
      <c r="I11" s="304"/>
      <c r="J11" s="304"/>
      <c r="K11" s="304"/>
    </row>
    <row r="12" spans="1:11" s="300" customFormat="1" ht="13.8" thickBot="1">
      <c r="A12" s="480">
        <v>1</v>
      </c>
      <c r="B12" s="311" t="s">
        <v>108</v>
      </c>
      <c r="C12" s="340"/>
      <c r="D12" s="340"/>
      <c r="E12" s="340"/>
      <c r="F12" s="341">
        <v>0</v>
      </c>
      <c r="G12" s="304"/>
      <c r="H12" s="1149"/>
      <c r="I12" s="1149"/>
      <c r="J12" s="304"/>
      <c r="K12" s="304"/>
    </row>
    <row r="13" spans="1:11" s="300" customFormat="1" ht="13.8" thickBot="1">
      <c r="A13" s="480"/>
      <c r="B13" s="763" t="s">
        <v>842</v>
      </c>
      <c r="D13" s="304"/>
      <c r="E13" s="304"/>
      <c r="F13" s="342"/>
      <c r="G13" s="304"/>
      <c r="H13" s="343"/>
      <c r="I13" s="301"/>
      <c r="J13" s="304"/>
      <c r="K13" s="304"/>
    </row>
    <row r="14" spans="1:11" s="300" customFormat="1">
      <c r="A14" s="480">
        <v>2</v>
      </c>
      <c r="B14" s="339" t="s">
        <v>653</v>
      </c>
      <c r="C14" s="307"/>
      <c r="D14" s="307"/>
      <c r="E14" s="307"/>
      <c r="F14" s="302" t="e">
        <f>ROUND(XIRR(J55:J71,B55:B71,0.08),4)</f>
        <v>#NUM!</v>
      </c>
      <c r="G14" s="478"/>
      <c r="H14" s="303"/>
      <c r="I14" s="303"/>
      <c r="J14" s="304"/>
      <c r="K14" s="304"/>
    </row>
    <row r="15" spans="1:11" s="300" customFormat="1">
      <c r="A15" s="480">
        <f>+A14+1</f>
        <v>3</v>
      </c>
      <c r="B15" s="344" t="s">
        <v>654</v>
      </c>
      <c r="C15" s="304"/>
      <c r="D15" s="304"/>
      <c r="E15" s="304"/>
      <c r="F15" s="345"/>
      <c r="G15" s="304"/>
      <c r="H15" s="303"/>
      <c r="I15" s="303"/>
      <c r="J15" s="325"/>
    </row>
    <row r="16" spans="1:11" s="300" customFormat="1">
      <c r="A16" s="480">
        <f t="shared" ref="A16:A78" si="0">+A15+1</f>
        <v>4</v>
      </c>
      <c r="B16" s="344"/>
      <c r="C16" s="304"/>
      <c r="D16" s="304"/>
      <c r="E16" s="304"/>
      <c r="F16" s="346"/>
      <c r="G16" s="304"/>
      <c r="H16" s="303"/>
      <c r="I16" s="303"/>
      <c r="J16" s="325"/>
    </row>
    <row r="17" spans="1:12" s="300" customFormat="1">
      <c r="A17" s="480">
        <f t="shared" si="0"/>
        <v>5</v>
      </c>
      <c r="B17" s="344"/>
      <c r="C17" s="304"/>
      <c r="D17" s="304"/>
      <c r="E17" s="304"/>
      <c r="F17" s="346"/>
      <c r="G17" s="304"/>
      <c r="H17" s="304"/>
      <c r="I17" s="304"/>
      <c r="J17" s="304"/>
      <c r="K17" s="347"/>
    </row>
    <row r="18" spans="1:12" s="300" customFormat="1">
      <c r="A18" s="480">
        <f t="shared" si="0"/>
        <v>6</v>
      </c>
      <c r="B18" s="344" t="s">
        <v>109</v>
      </c>
      <c r="C18" s="305"/>
      <c r="D18" s="304"/>
      <c r="E18" s="304"/>
      <c r="F18" s="346"/>
      <c r="G18" s="304"/>
      <c r="H18" s="304"/>
      <c r="J18" s="350"/>
      <c r="K18" s="304"/>
    </row>
    <row r="19" spans="1:12" s="300" customFormat="1">
      <c r="A19" s="480">
        <f t="shared" si="0"/>
        <v>7</v>
      </c>
      <c r="B19" s="344"/>
      <c r="C19" s="305"/>
      <c r="D19" s="304"/>
      <c r="E19" s="304"/>
      <c r="F19" s="346"/>
      <c r="G19" s="304"/>
      <c r="H19" s="304"/>
      <c r="I19" s="304"/>
      <c r="J19" s="304"/>
      <c r="K19" s="304"/>
    </row>
    <row r="20" spans="1:12" s="300" customFormat="1" ht="19.5" customHeight="1" thickBot="1">
      <c r="A20" s="480">
        <f t="shared" si="0"/>
        <v>8</v>
      </c>
      <c r="B20" s="311"/>
      <c r="C20" s="306"/>
      <c r="D20" s="340"/>
      <c r="E20" s="340"/>
      <c r="F20" s="348"/>
      <c r="G20" s="304"/>
      <c r="H20" s="304"/>
      <c r="I20" s="304"/>
      <c r="J20" s="304"/>
      <c r="K20" s="304"/>
    </row>
    <row r="21" spans="1:12" s="300" customFormat="1">
      <c r="A21" s="480"/>
      <c r="B21" s="337"/>
      <c r="D21" s="304"/>
      <c r="E21" s="304"/>
      <c r="F21" s="349"/>
      <c r="G21" s="304"/>
      <c r="H21" s="304"/>
      <c r="I21" s="304"/>
      <c r="J21" s="304"/>
      <c r="K21" s="304"/>
    </row>
    <row r="22" spans="1:12" s="300" customFormat="1" ht="13.8" thickBot="1">
      <c r="A22" s="480"/>
      <c r="B22" s="304" t="s">
        <v>843</v>
      </c>
      <c r="D22" s="304"/>
      <c r="E22" s="304"/>
      <c r="F22" s="350"/>
      <c r="G22" s="304"/>
      <c r="H22" s="304"/>
      <c r="I22" s="304"/>
      <c r="J22" s="304"/>
      <c r="K22" s="304"/>
    </row>
    <row r="23" spans="1:12" s="300" customFormat="1">
      <c r="A23" s="480">
        <f>+A20+1</f>
        <v>9</v>
      </c>
      <c r="B23" s="351"/>
      <c r="C23" s="307"/>
      <c r="D23" s="307"/>
      <c r="E23" s="307"/>
      <c r="F23" s="352"/>
      <c r="G23" s="763"/>
      <c r="H23" s="763"/>
      <c r="I23" s="763"/>
      <c r="J23" s="763"/>
      <c r="K23" s="304"/>
    </row>
    <row r="24" spans="1:12" s="300" customFormat="1">
      <c r="A24" s="480">
        <f t="shared" si="0"/>
        <v>10</v>
      </c>
      <c r="B24" s="344" t="s">
        <v>539</v>
      </c>
      <c r="C24" s="763"/>
      <c r="D24" s="763"/>
      <c r="E24" s="305" t="s">
        <v>655</v>
      </c>
      <c r="F24" s="588" t="s">
        <v>19</v>
      </c>
      <c r="G24" s="763"/>
      <c r="H24" s="763"/>
      <c r="I24" s="763"/>
      <c r="J24" s="763"/>
      <c r="K24" s="304"/>
    </row>
    <row r="25" spans="1:12" s="300" customFormat="1">
      <c r="A25" s="480">
        <f t="shared" si="0"/>
        <v>11</v>
      </c>
      <c r="B25" s="589" t="s">
        <v>110</v>
      </c>
      <c r="C25" s="590"/>
      <c r="D25" s="590"/>
      <c r="E25" s="591"/>
      <c r="F25" s="592"/>
      <c r="G25" s="1145"/>
      <c r="H25" s="1146"/>
      <c r="I25" s="1146"/>
      <c r="J25" s="479"/>
      <c r="K25" s="304"/>
    </row>
    <row r="26" spans="1:12" s="300" customFormat="1">
      <c r="A26" s="480">
        <f t="shared" si="0"/>
        <v>12</v>
      </c>
      <c r="B26" s="589" t="s">
        <v>137</v>
      </c>
      <c r="C26" s="590"/>
      <c r="D26" s="590"/>
      <c r="E26" s="803"/>
      <c r="F26" s="592"/>
      <c r="G26" s="799"/>
      <c r="H26" s="354"/>
      <c r="I26" s="354"/>
      <c r="J26" s="763"/>
      <c r="K26" s="304"/>
      <c r="L26" s="593"/>
    </row>
    <row r="27" spans="1:12" s="300" customFormat="1">
      <c r="A27" s="480">
        <f t="shared" si="0"/>
        <v>13</v>
      </c>
      <c r="B27" s="589" t="s">
        <v>136</v>
      </c>
      <c r="C27" s="590"/>
      <c r="D27" s="590"/>
      <c r="E27" s="591"/>
      <c r="F27" s="592"/>
      <c r="G27" s="799"/>
      <c r="H27" s="354"/>
      <c r="I27" s="354"/>
      <c r="J27" s="481"/>
      <c r="K27" s="304"/>
    </row>
    <row r="28" spans="1:12" s="300" customFormat="1">
      <c r="A28" s="480">
        <f t="shared" si="0"/>
        <v>14</v>
      </c>
      <c r="B28" s="589" t="s">
        <v>135</v>
      </c>
      <c r="C28" s="590"/>
      <c r="D28" s="590"/>
      <c r="E28" s="594">
        <v>0</v>
      </c>
      <c r="F28" s="800">
        <f>E28</f>
        <v>0</v>
      </c>
      <c r="G28" s="799"/>
      <c r="H28" s="763"/>
      <c r="I28" s="763"/>
      <c r="J28" s="763"/>
      <c r="K28" s="304"/>
    </row>
    <row r="29" spans="1:12" s="300" customFormat="1">
      <c r="A29" s="480">
        <f t="shared" si="0"/>
        <v>15</v>
      </c>
      <c r="B29" s="589" t="s">
        <v>134</v>
      </c>
      <c r="C29" s="594"/>
      <c r="D29" s="590"/>
      <c r="E29" s="595">
        <v>0</v>
      </c>
      <c r="F29" s="800">
        <v>0</v>
      </c>
      <c r="G29" s="799"/>
      <c r="H29" s="762"/>
      <c r="I29" s="354"/>
      <c r="J29" s="763"/>
      <c r="K29" s="304"/>
    </row>
    <row r="30" spans="1:12" s="300" customFormat="1">
      <c r="A30" s="480" t="s">
        <v>645</v>
      </c>
      <c r="B30" s="589"/>
      <c r="C30" s="594"/>
      <c r="D30" s="590"/>
      <c r="E30" s="595">
        <v>0</v>
      </c>
      <c r="F30" s="801">
        <v>0</v>
      </c>
      <c r="G30" s="799"/>
      <c r="H30" s="762"/>
      <c r="I30" s="354"/>
      <c r="J30" s="763"/>
      <c r="K30" s="304"/>
    </row>
    <row r="31" spans="1:12" s="300" customFormat="1" ht="13.8" thickBot="1">
      <c r="A31" s="480">
        <f>+A29+1</f>
        <v>16</v>
      </c>
      <c r="B31" s="353" t="s">
        <v>111</v>
      </c>
      <c r="C31" s="355"/>
      <c r="D31" s="763"/>
      <c r="E31" s="596"/>
      <c r="F31" s="597">
        <f>SUM(F25:F29)</f>
        <v>0</v>
      </c>
      <c r="G31" s="799"/>
      <c r="H31" s="763"/>
      <c r="I31" s="763"/>
      <c r="J31" s="763"/>
      <c r="K31" s="304"/>
    </row>
    <row r="32" spans="1:12" s="300" customFormat="1" ht="14.4" thickTop="1" thickBot="1">
      <c r="A32" s="480"/>
      <c r="B32" s="310"/>
      <c r="C32" s="360"/>
      <c r="D32" s="340"/>
      <c r="E32" s="340"/>
      <c r="F32" s="361"/>
      <c r="G32" s="799"/>
      <c r="H32" s="763"/>
      <c r="I32" s="763"/>
      <c r="J32" s="479"/>
      <c r="K32" s="304"/>
    </row>
    <row r="33" spans="1:11" s="300" customFormat="1">
      <c r="A33" s="480">
        <f>+A31+1</f>
        <v>17</v>
      </c>
      <c r="B33" s="598"/>
      <c r="C33" s="599"/>
      <c r="D33" s="600"/>
      <c r="E33" s="600"/>
      <c r="F33" s="601"/>
      <c r="G33" s="799"/>
      <c r="H33" s="763"/>
      <c r="I33" s="763"/>
      <c r="J33" s="356"/>
      <c r="K33" s="304"/>
    </row>
    <row r="34" spans="1:11" s="300" customFormat="1">
      <c r="A34" s="480">
        <f t="shared" si="0"/>
        <v>18</v>
      </c>
      <c r="B34" s="602" t="s">
        <v>138</v>
      </c>
      <c r="C34" s="594"/>
      <c r="D34" s="590"/>
      <c r="E34" s="802">
        <v>0</v>
      </c>
      <c r="F34" s="800">
        <v>0</v>
      </c>
      <c r="G34" s="799"/>
      <c r="H34" s="763"/>
      <c r="I34" s="763"/>
      <c r="J34" s="356"/>
      <c r="K34" s="304"/>
    </row>
    <row r="35" spans="1:11" s="300" customFormat="1">
      <c r="A35" s="480">
        <f t="shared" si="0"/>
        <v>19</v>
      </c>
      <c r="B35" s="602" t="s">
        <v>139</v>
      </c>
      <c r="C35" s="594"/>
      <c r="D35" s="590"/>
      <c r="E35" s="540">
        <v>0</v>
      </c>
      <c r="F35" s="800">
        <v>0</v>
      </c>
      <c r="G35" s="799"/>
      <c r="H35" s="763"/>
      <c r="I35" s="763"/>
      <c r="J35" s="356"/>
      <c r="K35" s="304"/>
    </row>
    <row r="36" spans="1:11" s="300" customFormat="1">
      <c r="A36" s="480">
        <v>21</v>
      </c>
      <c r="B36" s="602" t="s">
        <v>133</v>
      </c>
      <c r="C36" s="594"/>
      <c r="D36" s="590"/>
      <c r="E36" s="595"/>
      <c r="F36" s="603">
        <f>+E36</f>
        <v>0</v>
      </c>
      <c r="G36" s="799"/>
      <c r="H36" s="763"/>
      <c r="I36" s="763"/>
      <c r="J36" s="356"/>
      <c r="K36" s="304"/>
    </row>
    <row r="37" spans="1:11" s="300" customFormat="1" ht="13.8" thickBot="1">
      <c r="A37" s="480" t="s">
        <v>656</v>
      </c>
      <c r="B37" s="604"/>
      <c r="C37" s="605"/>
      <c r="D37" s="606"/>
      <c r="E37" s="607"/>
      <c r="F37" s="482"/>
      <c r="G37" s="799"/>
      <c r="H37" s="357"/>
      <c r="I37" s="354"/>
      <c r="J37" s="762"/>
      <c r="K37" s="304"/>
    </row>
    <row r="38" spans="1:11" s="300" customFormat="1">
      <c r="A38" s="480"/>
      <c r="B38" s="337"/>
      <c r="C38" s="338"/>
      <c r="D38" s="763"/>
      <c r="E38" s="483"/>
      <c r="F38" s="338"/>
      <c r="G38" s="799"/>
      <c r="H38" s="763"/>
      <c r="I38" s="763"/>
      <c r="J38" s="763"/>
      <c r="K38" s="304"/>
    </row>
    <row r="39" spans="1:11" s="300" customFormat="1" ht="13.8" thickBot="1">
      <c r="A39" s="480"/>
      <c r="B39" s="763" t="s">
        <v>844</v>
      </c>
      <c r="C39" s="338"/>
      <c r="D39" s="763"/>
      <c r="E39" s="763"/>
      <c r="F39" s="763"/>
      <c r="G39" s="763"/>
      <c r="H39" s="763"/>
      <c r="I39" s="763"/>
      <c r="J39" s="763"/>
      <c r="K39" s="304"/>
    </row>
    <row r="40" spans="1:11" s="300" customFormat="1" ht="13.8" thickBot="1">
      <c r="A40" s="480">
        <v>22</v>
      </c>
      <c r="B40" s="308"/>
      <c r="C40" s="309">
        <v>2015</v>
      </c>
      <c r="D40" s="309">
        <f t="shared" ref="D40:I40" si="1">+C40+1</f>
        <v>2016</v>
      </c>
      <c r="E40" s="309">
        <f t="shared" si="1"/>
        <v>2017</v>
      </c>
      <c r="F40" s="309">
        <f t="shared" si="1"/>
        <v>2018</v>
      </c>
      <c r="G40" s="309">
        <f t="shared" si="1"/>
        <v>2019</v>
      </c>
      <c r="H40" s="309">
        <f t="shared" si="1"/>
        <v>2020</v>
      </c>
      <c r="I40" s="309">
        <f t="shared" si="1"/>
        <v>2021</v>
      </c>
      <c r="J40" s="762"/>
    </row>
    <row r="41" spans="1:11" s="300" customFormat="1" ht="13.8" thickBot="1">
      <c r="A41" s="480">
        <f t="shared" si="0"/>
        <v>23</v>
      </c>
      <c r="B41" s="310" t="s">
        <v>540</v>
      </c>
      <c r="C41" s="754"/>
      <c r="D41" s="754"/>
      <c r="E41" s="754"/>
      <c r="F41" s="754"/>
      <c r="G41" s="754"/>
      <c r="H41" s="754"/>
      <c r="I41" s="754"/>
      <c r="J41" s="762"/>
    </row>
    <row r="42" spans="1:11" s="300" customFormat="1" ht="13.8" thickBot="1">
      <c r="A42" s="480">
        <f t="shared" si="0"/>
        <v>24</v>
      </c>
      <c r="B42" s="310" t="s">
        <v>132</v>
      </c>
      <c r="C42" s="754"/>
      <c r="D42" s="754"/>
      <c r="E42" s="754"/>
      <c r="F42" s="754"/>
      <c r="G42" s="754"/>
      <c r="H42" s="754"/>
      <c r="I42" s="754"/>
      <c r="J42" s="762"/>
    </row>
    <row r="43" spans="1:11" s="300" customFormat="1" ht="13.8" thickBot="1">
      <c r="A43" s="480">
        <f t="shared" si="0"/>
        <v>25</v>
      </c>
      <c r="B43" s="311" t="s">
        <v>112</v>
      </c>
      <c r="C43" s="484">
        <f>SUM(C41:C42)</f>
        <v>0</v>
      </c>
      <c r="D43" s="484">
        <f t="shared" ref="D43:I43" si="2">SUM(D41:D42)</f>
        <v>0</v>
      </c>
      <c r="E43" s="484">
        <f t="shared" si="2"/>
        <v>0</v>
      </c>
      <c r="F43" s="484">
        <f t="shared" si="2"/>
        <v>0</v>
      </c>
      <c r="G43" s="484">
        <f t="shared" si="2"/>
        <v>0</v>
      </c>
      <c r="H43" s="484">
        <f t="shared" si="2"/>
        <v>0</v>
      </c>
      <c r="I43" s="484">
        <f t="shared" si="2"/>
        <v>0</v>
      </c>
      <c r="J43" s="762"/>
    </row>
    <row r="44" spans="1:11" s="300" customFormat="1">
      <c r="A44" s="480"/>
      <c r="B44" s="762"/>
      <c r="C44" s="762"/>
      <c r="D44" s="762"/>
      <c r="E44" s="762"/>
      <c r="F44" s="762"/>
      <c r="G44" s="762"/>
      <c r="H44" s="762"/>
      <c r="I44" s="762"/>
      <c r="J44" s="762"/>
    </row>
    <row r="45" spans="1:11" s="300" customFormat="1" ht="13.8" thickBot="1">
      <c r="A45" s="480"/>
      <c r="B45" s="762" t="s">
        <v>845</v>
      </c>
      <c r="C45" s="762"/>
      <c r="D45" s="762"/>
      <c r="E45" s="762"/>
      <c r="F45" s="762"/>
      <c r="G45" s="762"/>
      <c r="H45" s="762"/>
      <c r="I45" s="762"/>
      <c r="J45" s="762"/>
    </row>
    <row r="46" spans="1:11" s="300" customFormat="1">
      <c r="A46" s="480">
        <f>+A43+1</f>
        <v>26</v>
      </c>
      <c r="B46" s="312" t="s">
        <v>94</v>
      </c>
      <c r="C46" s="313" t="s">
        <v>93</v>
      </c>
      <c r="D46" s="313" t="s">
        <v>113</v>
      </c>
      <c r="E46" s="313" t="s">
        <v>114</v>
      </c>
      <c r="F46" s="313" t="s">
        <v>115</v>
      </c>
      <c r="G46" s="313" t="s">
        <v>116</v>
      </c>
      <c r="H46" s="313" t="s">
        <v>117</v>
      </c>
      <c r="I46" s="313" t="s">
        <v>118</v>
      </c>
      <c r="J46" s="314" t="s">
        <v>119</v>
      </c>
    </row>
    <row r="47" spans="1:11" s="300" customFormat="1" ht="51" customHeight="1">
      <c r="A47" s="480">
        <f t="shared" si="0"/>
        <v>27</v>
      </c>
      <c r="B47" s="315" t="s">
        <v>96</v>
      </c>
      <c r="C47" s="305"/>
      <c r="D47" s="316" t="s">
        <v>657</v>
      </c>
      <c r="E47" s="316" t="s">
        <v>120</v>
      </c>
      <c r="F47" s="316" t="s">
        <v>121</v>
      </c>
      <c r="G47" s="316" t="s">
        <v>658</v>
      </c>
      <c r="H47" s="316" t="s">
        <v>122</v>
      </c>
      <c r="I47" s="316" t="s">
        <v>167</v>
      </c>
      <c r="J47" s="317" t="s">
        <v>123</v>
      </c>
    </row>
    <row r="48" spans="1:11" s="300" customFormat="1" ht="27.75" customHeight="1" thickBot="1">
      <c r="A48" s="480">
        <f t="shared" si="0"/>
        <v>28</v>
      </c>
      <c r="B48" s="318"/>
      <c r="C48" s="306"/>
      <c r="D48" s="608" t="s">
        <v>659</v>
      </c>
      <c r="E48" s="608" t="s">
        <v>659</v>
      </c>
      <c r="F48" s="608" t="s">
        <v>660</v>
      </c>
      <c r="G48" s="608" t="s">
        <v>661</v>
      </c>
      <c r="H48" s="608" t="s">
        <v>662</v>
      </c>
      <c r="I48" s="608" t="s">
        <v>663</v>
      </c>
      <c r="J48" s="609" t="s">
        <v>124</v>
      </c>
    </row>
    <row r="49" spans="1:12" s="300" customFormat="1">
      <c r="A49" s="480">
        <f t="shared" si="0"/>
        <v>29</v>
      </c>
      <c r="B49" s="312"/>
      <c r="C49" s="313"/>
      <c r="D49" s="307"/>
      <c r="E49" s="307"/>
      <c r="F49" s="307"/>
      <c r="G49" s="307"/>
      <c r="H49" s="307"/>
      <c r="I49" s="307"/>
      <c r="J49" s="319"/>
    </row>
    <row r="50" spans="1:12" s="300" customFormat="1">
      <c r="A50" s="480">
        <f t="shared" si="0"/>
        <v>30</v>
      </c>
      <c r="B50" s="524"/>
      <c r="C50" s="525"/>
      <c r="D50" s="610"/>
      <c r="E50" s="590"/>
      <c r="F50" s="763"/>
      <c r="G50" s="763"/>
      <c r="H50" s="763"/>
      <c r="I50" s="763"/>
      <c r="J50" s="358"/>
    </row>
    <row r="51" spans="1:12" s="300" customFormat="1">
      <c r="A51" s="480">
        <f t="shared" si="0"/>
        <v>31</v>
      </c>
      <c r="B51" s="524"/>
      <c r="C51" s="526"/>
      <c r="D51" s="610"/>
      <c r="E51" s="594"/>
      <c r="F51" s="355">
        <f>+D51*0.4</f>
        <v>0</v>
      </c>
      <c r="G51" s="485">
        <v>0</v>
      </c>
      <c r="H51" s="359"/>
      <c r="I51" s="355"/>
      <c r="J51" s="358">
        <f>E51-G51-H51-I51</f>
        <v>0</v>
      </c>
    </row>
    <row r="52" spans="1:12" s="300" customFormat="1">
      <c r="A52" s="480">
        <f t="shared" si="0"/>
        <v>32</v>
      </c>
      <c r="B52" s="524"/>
      <c r="C52" s="526"/>
      <c r="D52" s="610"/>
      <c r="E52" s="594"/>
      <c r="F52" s="355">
        <f>SUM($E$51:E52)</f>
        <v>0</v>
      </c>
      <c r="G52" s="355">
        <f>F51*SUMIF($C$40:$I$40,YEAR(B51),$C$43:$I$43)*((B52-B51)/365)</f>
        <v>0</v>
      </c>
      <c r="H52" s="355"/>
      <c r="I52" s="355"/>
      <c r="J52" s="358">
        <f>E52-G52-H52-I52</f>
        <v>0</v>
      </c>
      <c r="L52" s="134"/>
    </row>
    <row r="53" spans="1:12" s="300" customFormat="1">
      <c r="A53" s="480">
        <f t="shared" si="0"/>
        <v>33</v>
      </c>
      <c r="B53" s="524"/>
      <c r="C53" s="526"/>
      <c r="D53" s="610"/>
      <c r="E53" s="594"/>
      <c r="F53" s="355">
        <f>SUM($E$51:E53)</f>
        <v>0</v>
      </c>
      <c r="G53" s="355">
        <f>F52*SUMIF($C$40:$I$40,YEAR(B52),$C$43:$I$43)*((B53-B52)/365)</f>
        <v>0</v>
      </c>
      <c r="H53" s="355"/>
      <c r="I53" s="355"/>
      <c r="J53" s="358">
        <f t="shared" ref="J53:J66" si="3">E53-G53-H53-I53</f>
        <v>0</v>
      </c>
      <c r="K53" s="320"/>
      <c r="L53" s="134"/>
    </row>
    <row r="54" spans="1:12" s="300" customFormat="1">
      <c r="A54" s="480">
        <f t="shared" si="0"/>
        <v>34</v>
      </c>
      <c r="B54" s="524"/>
      <c r="C54" s="526"/>
      <c r="D54" s="610"/>
      <c r="E54" s="594"/>
      <c r="F54" s="355">
        <f>SUM($E$51:E54)</f>
        <v>0</v>
      </c>
      <c r="G54" s="355">
        <f t="shared" ref="G54:G65" si="4">F53*SUMIF($C$40:$I$40,YEAR(B53),$C$43:$I$43)*((B54-B53)/365)</f>
        <v>0</v>
      </c>
      <c r="H54" s="359"/>
      <c r="I54" s="355"/>
      <c r="J54" s="358">
        <f t="shared" si="3"/>
        <v>0</v>
      </c>
      <c r="K54" s="320"/>
      <c r="L54" s="134"/>
    </row>
    <row r="55" spans="1:12" s="300" customFormat="1">
      <c r="A55" s="480">
        <f t="shared" si="0"/>
        <v>35</v>
      </c>
      <c r="B55" s="524"/>
      <c r="C55" s="526"/>
      <c r="D55" s="610"/>
      <c r="E55" s="594"/>
      <c r="F55" s="355">
        <f>SUM($E$51:E55)</f>
        <v>0</v>
      </c>
      <c r="G55" s="355">
        <f t="shared" si="4"/>
        <v>0</v>
      </c>
      <c r="H55" s="355">
        <f>F31/1000</f>
        <v>0</v>
      </c>
      <c r="I55" s="355">
        <f>($F$12/1000-F54)*$E$36/4</f>
        <v>0</v>
      </c>
      <c r="J55" s="358">
        <f t="shared" si="3"/>
        <v>0</v>
      </c>
      <c r="K55" s="320"/>
      <c r="L55" s="134"/>
    </row>
    <row r="56" spans="1:12" s="300" customFormat="1">
      <c r="A56" s="480">
        <f t="shared" si="0"/>
        <v>36</v>
      </c>
      <c r="B56" s="524"/>
      <c r="C56" s="526"/>
      <c r="D56" s="610"/>
      <c r="E56" s="594"/>
      <c r="F56" s="355">
        <f>SUM($E$51:E56)</f>
        <v>0</v>
      </c>
      <c r="G56" s="355">
        <f t="shared" si="4"/>
        <v>0</v>
      </c>
      <c r="H56" s="355"/>
      <c r="I56" s="355">
        <f>($F$12/1000-F55)*$E$36/4+$F$35/1000+$F$34/1000</f>
        <v>0</v>
      </c>
      <c r="J56" s="358">
        <f t="shared" si="3"/>
        <v>0</v>
      </c>
      <c r="K56" s="320"/>
      <c r="L56" s="134"/>
    </row>
    <row r="57" spans="1:12" s="300" customFormat="1">
      <c r="A57" s="480">
        <f t="shared" si="0"/>
        <v>37</v>
      </c>
      <c r="B57" s="524"/>
      <c r="C57" s="526"/>
      <c r="D57" s="610"/>
      <c r="E57" s="594"/>
      <c r="F57" s="355">
        <f>SUM($E$51:E57)</f>
        <v>0</v>
      </c>
      <c r="G57" s="355">
        <f t="shared" si="4"/>
        <v>0</v>
      </c>
      <c r="H57" s="355"/>
      <c r="I57" s="355">
        <f t="shared" ref="I57:I71" si="5">($F$12/1000-F56)*$E$36/4+$F$35/1000+$F$34/1000</f>
        <v>0</v>
      </c>
      <c r="J57" s="358">
        <f t="shared" si="3"/>
        <v>0</v>
      </c>
      <c r="K57" s="320"/>
      <c r="L57" s="134"/>
    </row>
    <row r="58" spans="1:12" s="300" customFormat="1">
      <c r="A58" s="480">
        <f t="shared" si="0"/>
        <v>38</v>
      </c>
      <c r="B58" s="524"/>
      <c r="C58" s="526"/>
      <c r="D58" s="610"/>
      <c r="E58" s="594"/>
      <c r="F58" s="355">
        <f>SUM($E$51:E58)</f>
        <v>0</v>
      </c>
      <c r="G58" s="355">
        <f t="shared" si="4"/>
        <v>0</v>
      </c>
      <c r="H58" s="355"/>
      <c r="I58" s="355">
        <f t="shared" si="5"/>
        <v>0</v>
      </c>
      <c r="J58" s="358">
        <f t="shared" si="3"/>
        <v>0</v>
      </c>
      <c r="K58" s="320"/>
      <c r="L58" s="134"/>
    </row>
    <row r="59" spans="1:12" s="300" customFormat="1">
      <c r="A59" s="480">
        <f t="shared" si="0"/>
        <v>39</v>
      </c>
      <c r="B59" s="524"/>
      <c r="C59" s="526"/>
      <c r="D59" s="610"/>
      <c r="E59" s="594"/>
      <c r="F59" s="355">
        <f>SUM($E$51:E59)</f>
        <v>0</v>
      </c>
      <c r="G59" s="355">
        <f t="shared" si="4"/>
        <v>0</v>
      </c>
      <c r="H59" s="355"/>
      <c r="I59" s="355">
        <f t="shared" si="5"/>
        <v>0</v>
      </c>
      <c r="J59" s="358">
        <f t="shared" si="3"/>
        <v>0</v>
      </c>
      <c r="K59" s="320"/>
      <c r="L59" s="134"/>
    </row>
    <row r="60" spans="1:12" s="300" customFormat="1">
      <c r="A60" s="480">
        <f t="shared" si="0"/>
        <v>40</v>
      </c>
      <c r="B60" s="524"/>
      <c r="C60" s="526"/>
      <c r="D60" s="610"/>
      <c r="E60" s="594"/>
      <c r="F60" s="355">
        <f>SUM($E$51:E60)</f>
        <v>0</v>
      </c>
      <c r="G60" s="355">
        <f t="shared" si="4"/>
        <v>0</v>
      </c>
      <c r="H60" s="355"/>
      <c r="I60" s="355">
        <f t="shared" si="5"/>
        <v>0</v>
      </c>
      <c r="J60" s="358">
        <f t="shared" si="3"/>
        <v>0</v>
      </c>
      <c r="K60" s="320"/>
      <c r="L60" s="134"/>
    </row>
    <row r="61" spans="1:12" s="300" customFormat="1">
      <c r="A61" s="480">
        <f t="shared" si="0"/>
        <v>41</v>
      </c>
      <c r="B61" s="524"/>
      <c r="C61" s="526"/>
      <c r="D61" s="610"/>
      <c r="E61" s="594"/>
      <c r="F61" s="355">
        <f>SUM($E$51:E61)</f>
        <v>0</v>
      </c>
      <c r="G61" s="355">
        <f t="shared" si="4"/>
        <v>0</v>
      </c>
      <c r="H61" s="355"/>
      <c r="I61" s="355">
        <f t="shared" si="5"/>
        <v>0</v>
      </c>
      <c r="J61" s="358">
        <f t="shared" si="3"/>
        <v>0</v>
      </c>
      <c r="K61" s="320"/>
      <c r="L61" s="134"/>
    </row>
    <row r="62" spans="1:12" s="300" customFormat="1">
      <c r="A62" s="480">
        <f t="shared" si="0"/>
        <v>42</v>
      </c>
      <c r="B62" s="524"/>
      <c r="C62" s="526"/>
      <c r="D62" s="610"/>
      <c r="E62" s="594"/>
      <c r="F62" s="355">
        <f>SUM($E$51:E62)</f>
        <v>0</v>
      </c>
      <c r="G62" s="355">
        <f t="shared" si="4"/>
        <v>0</v>
      </c>
      <c r="H62" s="355"/>
      <c r="I62" s="355">
        <f t="shared" si="5"/>
        <v>0</v>
      </c>
      <c r="J62" s="358">
        <f t="shared" si="3"/>
        <v>0</v>
      </c>
      <c r="K62" s="320"/>
      <c r="L62" s="134"/>
    </row>
    <row r="63" spans="1:12" s="300" customFormat="1">
      <c r="A63" s="480">
        <f t="shared" si="0"/>
        <v>43</v>
      </c>
      <c r="B63" s="524"/>
      <c r="C63" s="526"/>
      <c r="D63" s="610"/>
      <c r="E63" s="594"/>
      <c r="F63" s="355">
        <f>SUM($E$51:E63)</f>
        <v>0</v>
      </c>
      <c r="G63" s="355">
        <f t="shared" si="4"/>
        <v>0</v>
      </c>
      <c r="H63" s="355"/>
      <c r="I63" s="355">
        <f t="shared" si="5"/>
        <v>0</v>
      </c>
      <c r="J63" s="358">
        <f t="shared" si="3"/>
        <v>0</v>
      </c>
      <c r="K63" s="320"/>
      <c r="L63" s="134"/>
    </row>
    <row r="64" spans="1:12" s="300" customFormat="1">
      <c r="A64" s="480">
        <f t="shared" si="0"/>
        <v>44</v>
      </c>
      <c r="B64" s="524"/>
      <c r="C64" s="526"/>
      <c r="D64" s="610"/>
      <c r="E64" s="594"/>
      <c r="F64" s="355">
        <f>SUM($E$51:E64)</f>
        <v>0</v>
      </c>
      <c r="G64" s="355">
        <f t="shared" si="4"/>
        <v>0</v>
      </c>
      <c r="H64" s="355"/>
      <c r="I64" s="355">
        <f t="shared" si="5"/>
        <v>0</v>
      </c>
      <c r="J64" s="358">
        <f t="shared" si="3"/>
        <v>0</v>
      </c>
      <c r="K64" s="320"/>
      <c r="L64" s="134"/>
    </row>
    <row r="65" spans="1:12" s="300" customFormat="1">
      <c r="A65" s="480">
        <f t="shared" si="0"/>
        <v>45</v>
      </c>
      <c r="B65" s="524"/>
      <c r="C65" s="526"/>
      <c r="D65" s="610"/>
      <c r="E65" s="594"/>
      <c r="F65" s="355">
        <f>SUM($E$51:E65)</f>
        <v>0</v>
      </c>
      <c r="G65" s="355">
        <f t="shared" si="4"/>
        <v>0</v>
      </c>
      <c r="H65" s="355"/>
      <c r="I65" s="355">
        <f t="shared" si="5"/>
        <v>0</v>
      </c>
      <c r="J65" s="358">
        <f t="shared" si="3"/>
        <v>0</v>
      </c>
      <c r="K65" s="320"/>
      <c r="L65" s="134"/>
    </row>
    <row r="66" spans="1:12" s="300" customFormat="1" ht="24" customHeight="1">
      <c r="A66" s="480">
        <f t="shared" si="0"/>
        <v>46</v>
      </c>
      <c r="B66" s="524"/>
      <c r="C66" s="526"/>
      <c r="D66" s="610"/>
      <c r="E66" s="594"/>
      <c r="F66" s="355">
        <f>SUM($E$51:E66)</f>
        <v>0</v>
      </c>
      <c r="G66" s="355">
        <f>F65*SUMIF($C$40:$I$40,YEAR(B65),$C$43:$I$43)*((B66-B65)/365)</f>
        <v>0</v>
      </c>
      <c r="H66" s="355"/>
      <c r="I66" s="355">
        <f t="shared" si="5"/>
        <v>0</v>
      </c>
      <c r="J66" s="358">
        <f t="shared" si="3"/>
        <v>0</v>
      </c>
      <c r="K66" s="320"/>
      <c r="L66" s="134"/>
    </row>
    <row r="67" spans="1:12" s="300" customFormat="1">
      <c r="A67" s="480">
        <f t="shared" si="0"/>
        <v>47</v>
      </c>
      <c r="B67" s="524"/>
      <c r="C67" s="526"/>
      <c r="D67" s="610"/>
      <c r="E67" s="594"/>
      <c r="F67" s="355">
        <f>SUM($E$51:E67)</f>
        <v>0</v>
      </c>
      <c r="G67" s="355">
        <f>F66*SUMIF($C$40:$I$40,YEAR(B66),$C$43:$I$43)*((B67-B66)/365)</f>
        <v>0</v>
      </c>
      <c r="H67" s="355"/>
      <c r="I67" s="355">
        <f t="shared" si="5"/>
        <v>0</v>
      </c>
      <c r="J67" s="358">
        <f>E67-G67-H67-I67</f>
        <v>0</v>
      </c>
      <c r="K67" s="320"/>
      <c r="L67" s="134"/>
    </row>
    <row r="68" spans="1:12" s="300" customFormat="1">
      <c r="A68" s="480">
        <f t="shared" si="0"/>
        <v>48</v>
      </c>
      <c r="B68" s="524"/>
      <c r="C68" s="526"/>
      <c r="D68" s="610"/>
      <c r="E68" s="594"/>
      <c r="F68" s="355">
        <f>SUM($E$51:E68)</f>
        <v>0</v>
      </c>
      <c r="G68" s="355">
        <f>F67*SUMIF($C$40:$I$40,YEAR(B67),$C$43:$I$43)*((B68-B67)/365)</f>
        <v>0</v>
      </c>
      <c r="H68" s="355"/>
      <c r="I68" s="355">
        <f t="shared" si="5"/>
        <v>0</v>
      </c>
      <c r="J68" s="358">
        <f>E68-G68-H68-I68</f>
        <v>0</v>
      </c>
      <c r="K68" s="320"/>
      <c r="L68" s="134"/>
    </row>
    <row r="69" spans="1:12" s="300" customFormat="1">
      <c r="A69" s="480">
        <f t="shared" si="0"/>
        <v>49</v>
      </c>
      <c r="B69" s="524"/>
      <c r="C69" s="526"/>
      <c r="D69" s="610"/>
      <c r="E69" s="594"/>
      <c r="F69" s="355">
        <f>SUM($E$51:E69)</f>
        <v>0</v>
      </c>
      <c r="G69" s="355">
        <f>F68*SUMIF($C$40:$I$40,YEAR(B68),$C$43:$I$43)*((B69-B68)/365)</f>
        <v>0</v>
      </c>
      <c r="H69" s="355"/>
      <c r="I69" s="355">
        <f t="shared" si="5"/>
        <v>0</v>
      </c>
      <c r="J69" s="358">
        <f>E69-G69-H69-I69</f>
        <v>0</v>
      </c>
      <c r="K69" s="320"/>
      <c r="L69" s="134"/>
    </row>
    <row r="70" spans="1:12" s="300" customFormat="1">
      <c r="A70" s="480">
        <f t="shared" si="0"/>
        <v>50</v>
      </c>
      <c r="B70" s="524"/>
      <c r="C70" s="526"/>
      <c r="D70" s="610"/>
      <c r="E70" s="594"/>
      <c r="F70" s="355">
        <f>SUM($E$51:E70)</f>
        <v>0</v>
      </c>
      <c r="G70" s="355">
        <f>F69*SUMIF($C$40:$I$40,YEAR(B69),$C$43:$I$43)*((B70-B69)/365)</f>
        <v>0</v>
      </c>
      <c r="H70" s="355"/>
      <c r="I70" s="355">
        <f t="shared" si="5"/>
        <v>0</v>
      </c>
      <c r="J70" s="358">
        <f>E70-G70-H70-I70</f>
        <v>0</v>
      </c>
      <c r="K70" s="320"/>
    </row>
    <row r="71" spans="1:12" s="300" customFormat="1">
      <c r="A71" s="480">
        <f t="shared" si="0"/>
        <v>51</v>
      </c>
      <c r="B71" s="524"/>
      <c r="C71" s="526"/>
      <c r="D71" s="610"/>
      <c r="E71" s="594"/>
      <c r="F71" s="355">
        <f>SUM($E$51:E71)</f>
        <v>0</v>
      </c>
      <c r="G71" s="355">
        <f>F70*SUMIF($C$40:$I$40,YEAR(B70),$C$43:$I$43)*((B71-B70)/365)+F71</f>
        <v>0</v>
      </c>
      <c r="H71" s="355"/>
      <c r="I71" s="355">
        <f t="shared" si="5"/>
        <v>0</v>
      </c>
      <c r="J71" s="358">
        <f>E71-G71-H71-I71</f>
        <v>0</v>
      </c>
      <c r="K71" s="320"/>
    </row>
    <row r="72" spans="1:12" s="300" customFormat="1">
      <c r="A72" s="480">
        <f t="shared" si="0"/>
        <v>52</v>
      </c>
      <c r="B72" s="611"/>
      <c r="C72" s="525"/>
      <c r="D72" s="594"/>
      <c r="E72" s="594"/>
      <c r="F72" s="355"/>
      <c r="G72" s="355"/>
      <c r="H72" s="355"/>
      <c r="I72" s="355"/>
      <c r="J72" s="358"/>
      <c r="K72" s="320"/>
    </row>
    <row r="73" spans="1:12" s="300" customFormat="1">
      <c r="A73" s="480">
        <f t="shared" si="0"/>
        <v>53</v>
      </c>
      <c r="B73" s="611"/>
      <c r="C73" s="612"/>
      <c r="D73" s="594"/>
      <c r="E73" s="594"/>
      <c r="F73" s="355"/>
      <c r="G73" s="486"/>
      <c r="H73" s="355"/>
      <c r="I73" s="355"/>
      <c r="J73" s="358"/>
      <c r="K73" s="320"/>
    </row>
    <row r="74" spans="1:12" s="300" customFormat="1">
      <c r="A74" s="480">
        <f t="shared" si="0"/>
        <v>54</v>
      </c>
      <c r="B74" s="611"/>
      <c r="C74" s="525"/>
      <c r="D74" s="594"/>
      <c r="E74" s="594"/>
      <c r="F74" s="355"/>
      <c r="G74" s="487"/>
      <c r="H74" s="355"/>
      <c r="I74" s="355"/>
      <c r="J74" s="358"/>
      <c r="K74" s="320"/>
    </row>
    <row r="75" spans="1:12" s="300" customFormat="1">
      <c r="A75" s="480">
        <f t="shared" si="0"/>
        <v>55</v>
      </c>
      <c r="B75" s="611"/>
      <c r="C75" s="525"/>
      <c r="D75" s="594"/>
      <c r="E75" s="594"/>
      <c r="F75" s="355"/>
      <c r="G75" s="355"/>
      <c r="H75" s="355"/>
      <c r="I75" s="355"/>
      <c r="J75" s="358"/>
      <c r="K75" s="320"/>
    </row>
    <row r="76" spans="1:12" s="300" customFormat="1">
      <c r="A76" s="480">
        <f t="shared" si="0"/>
        <v>56</v>
      </c>
      <c r="B76" s="611"/>
      <c r="C76" s="525"/>
      <c r="D76" s="594"/>
      <c r="E76" s="594"/>
      <c r="F76" s="355"/>
      <c r="G76" s="355"/>
      <c r="H76" s="355"/>
      <c r="I76" s="355"/>
      <c r="J76" s="358"/>
      <c r="K76" s="320"/>
    </row>
    <row r="77" spans="1:12" s="300" customFormat="1">
      <c r="A77" s="480">
        <f t="shared" si="0"/>
        <v>57</v>
      </c>
      <c r="B77" s="611"/>
      <c r="C77" s="525"/>
      <c r="D77" s="594"/>
      <c r="E77" s="594"/>
      <c r="F77" s="355"/>
      <c r="G77" s="355"/>
      <c r="H77" s="355"/>
      <c r="I77" s="355"/>
      <c r="J77" s="358"/>
      <c r="K77" s="320"/>
    </row>
    <row r="78" spans="1:12" s="300" customFormat="1" ht="13.8" thickBot="1">
      <c r="A78" s="480">
        <f t="shared" si="0"/>
        <v>58</v>
      </c>
      <c r="B78" s="321"/>
      <c r="C78" s="306"/>
      <c r="D78" s="360"/>
      <c r="E78" s="360"/>
      <c r="F78" s="360"/>
      <c r="G78" s="360"/>
      <c r="H78" s="360"/>
      <c r="I78" s="360"/>
      <c r="J78" s="361"/>
      <c r="K78" s="320"/>
    </row>
    <row r="79" spans="1:12" s="300" customFormat="1">
      <c r="A79" s="322"/>
      <c r="K79" s="320"/>
    </row>
    <row r="80" spans="1:12" s="300" customFormat="1">
      <c r="A80" s="322" t="s">
        <v>664</v>
      </c>
    </row>
    <row r="81" spans="1:10" s="300" customFormat="1">
      <c r="A81" s="322"/>
      <c r="B81" s="762"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62"/>
      <c r="D81" s="762"/>
      <c r="E81" s="762"/>
      <c r="F81" s="762"/>
      <c r="G81" s="762"/>
      <c r="H81" s="762"/>
      <c r="I81" s="762"/>
      <c r="J81" s="762"/>
    </row>
    <row r="82" spans="1:10" s="300" customFormat="1">
      <c r="A82" s="322"/>
      <c r="B82" s="762" t="s">
        <v>781</v>
      </c>
      <c r="C82" s="762"/>
      <c r="D82" s="762"/>
      <c r="E82" s="762"/>
      <c r="F82" s="762"/>
      <c r="G82" s="762"/>
      <c r="H82" s="762"/>
      <c r="I82" s="762"/>
      <c r="J82" s="762"/>
    </row>
    <row r="83" spans="1:10" s="300" customFormat="1">
      <c r="A83" s="322"/>
      <c r="B83" s="762" t="s">
        <v>665</v>
      </c>
      <c r="C83" s="762"/>
      <c r="D83" s="762"/>
      <c r="E83" s="762"/>
      <c r="F83" s="762"/>
      <c r="G83" s="762"/>
      <c r="H83" s="762"/>
      <c r="I83" s="762"/>
      <c r="J83" s="762"/>
    </row>
    <row r="84" spans="1:10" s="300" customFormat="1">
      <c r="A84" s="322"/>
      <c r="B84" s="762" t="s">
        <v>666</v>
      </c>
      <c r="C84" s="762"/>
      <c r="D84" s="762"/>
      <c r="E84" s="762"/>
      <c r="F84" s="762"/>
      <c r="G84" s="762"/>
      <c r="H84" s="762"/>
      <c r="I84" s="762"/>
      <c r="J84" s="762"/>
    </row>
    <row r="85" spans="1:10" s="300" customFormat="1">
      <c r="A85" s="322"/>
      <c r="B85" s="762" t="s">
        <v>835</v>
      </c>
      <c r="C85" s="762"/>
      <c r="D85" s="762"/>
      <c r="E85" s="762"/>
      <c r="F85" s="762"/>
      <c r="G85" s="762"/>
      <c r="H85" s="762"/>
      <c r="I85" s="762"/>
      <c r="J85" s="762"/>
    </row>
    <row r="86" spans="1:10" s="300" customFormat="1">
      <c r="A86" s="322"/>
      <c r="B86" s="762" t="s">
        <v>667</v>
      </c>
      <c r="C86" s="762"/>
      <c r="D86" s="762"/>
      <c r="E86" s="762"/>
      <c r="F86" s="762"/>
      <c r="G86" s="762"/>
      <c r="H86" s="762"/>
      <c r="I86" s="762"/>
      <c r="J86" s="762"/>
    </row>
    <row r="87" spans="1:10" s="300" customFormat="1">
      <c r="A87" s="322"/>
      <c r="B87" s="762" t="s">
        <v>846</v>
      </c>
      <c r="C87" s="762"/>
      <c r="D87" s="762"/>
      <c r="E87" s="762"/>
      <c r="F87" s="762"/>
      <c r="G87" s="762"/>
      <c r="H87" s="762"/>
      <c r="I87" s="762"/>
      <c r="J87" s="762"/>
    </row>
    <row r="88" spans="1:10" s="300" customFormat="1">
      <c r="A88" s="322"/>
      <c r="B88" s="762" t="s">
        <v>668</v>
      </c>
      <c r="C88" s="762"/>
      <c r="D88" s="762"/>
      <c r="E88" s="762"/>
      <c r="F88" s="762"/>
      <c r="G88" s="762"/>
      <c r="H88" s="762"/>
      <c r="I88" s="762"/>
      <c r="J88" s="762"/>
    </row>
    <row r="89" spans="1:10" s="300" customFormat="1">
      <c r="A89" s="322"/>
      <c r="B89" s="762" t="s">
        <v>669</v>
      </c>
      <c r="C89" s="762"/>
      <c r="D89" s="762"/>
      <c r="E89" s="762"/>
      <c r="F89" s="762"/>
      <c r="G89" s="762"/>
      <c r="H89" s="762"/>
      <c r="I89" s="762"/>
      <c r="J89" s="762"/>
    </row>
    <row r="90" spans="1:10" s="300" customFormat="1">
      <c r="A90" s="322"/>
      <c r="B90" s="764" t="s">
        <v>899</v>
      </c>
      <c r="C90" s="762"/>
      <c r="D90" s="762"/>
      <c r="E90" s="762"/>
      <c r="F90" s="762"/>
      <c r="G90" s="762"/>
      <c r="H90" s="762"/>
      <c r="I90" s="762"/>
      <c r="J90" s="762"/>
    </row>
    <row r="91" spans="1:10" s="300" customFormat="1">
      <c r="A91" s="322"/>
      <c r="B91" s="762" t="s">
        <v>670</v>
      </c>
      <c r="C91" s="762"/>
      <c r="D91" s="762"/>
      <c r="E91" s="762"/>
      <c r="F91" s="762"/>
      <c r="G91" s="762"/>
      <c r="H91" s="762"/>
      <c r="I91" s="762"/>
      <c r="J91" s="762"/>
    </row>
    <row r="92" spans="1:10" s="300" customFormat="1">
      <c r="A92" s="322"/>
      <c r="B92" s="762" t="s">
        <v>782</v>
      </c>
      <c r="C92" s="762"/>
      <c r="D92" s="762"/>
      <c r="E92" s="762"/>
      <c r="F92" s="762"/>
      <c r="G92" s="762"/>
      <c r="H92" s="762"/>
      <c r="I92" s="762"/>
      <c r="J92" s="762"/>
    </row>
    <row r="93" spans="1:10" s="300" customFormat="1">
      <c r="A93" s="322"/>
      <c r="B93" s="762" t="s">
        <v>847</v>
      </c>
      <c r="C93" s="762"/>
      <c r="D93" s="762"/>
      <c r="E93" s="766"/>
      <c r="F93" s="762"/>
      <c r="G93" s="766"/>
      <c r="H93" s="766"/>
      <c r="I93" s="762"/>
      <c r="J93" s="766"/>
    </row>
    <row r="94" spans="1:10" s="300" customFormat="1">
      <c r="A94" s="322"/>
      <c r="B94" s="762" t="s">
        <v>836</v>
      </c>
      <c r="C94" s="762"/>
      <c r="D94" s="762"/>
      <c r="E94" s="755"/>
      <c r="F94" s="762"/>
      <c r="G94" s="762"/>
      <c r="H94" s="762"/>
      <c r="I94" s="762"/>
      <c r="J94" s="762"/>
    </row>
    <row r="95" spans="1:10" s="300" customFormat="1">
      <c r="A95" s="322"/>
      <c r="B95" s="762" t="s">
        <v>837</v>
      </c>
      <c r="C95" s="762"/>
      <c r="D95" s="755"/>
      <c r="E95" s="755"/>
      <c r="F95" s="762"/>
      <c r="G95" s="762"/>
      <c r="H95" s="762"/>
      <c r="I95" s="762"/>
      <c r="J95" s="762"/>
    </row>
    <row r="96" spans="1:10" s="300" customFormat="1">
      <c r="A96" s="322"/>
      <c r="B96" s="762" t="s">
        <v>848</v>
      </c>
      <c r="C96" s="762"/>
      <c r="D96" s="755"/>
      <c r="E96" s="755"/>
      <c r="F96" s="762"/>
      <c r="G96" s="762"/>
      <c r="H96" s="762"/>
      <c r="I96" s="762"/>
      <c r="J96" s="762"/>
    </row>
    <row r="97" spans="1:11" s="300" customFormat="1">
      <c r="A97" s="322"/>
      <c r="B97" s="762" t="s">
        <v>783</v>
      </c>
      <c r="C97" s="762"/>
      <c r="D97" s="755"/>
      <c r="E97" s="755"/>
      <c r="F97" s="762"/>
      <c r="G97" s="762"/>
      <c r="H97" s="762"/>
      <c r="I97" s="762"/>
      <c r="J97" s="762"/>
    </row>
    <row r="98" spans="1:11" s="300" customFormat="1">
      <c r="A98" s="322"/>
      <c r="B98" s="762" t="s">
        <v>849</v>
      </c>
      <c r="C98" s="762"/>
      <c r="D98" s="755"/>
      <c r="E98" s="755"/>
      <c r="F98" s="762"/>
      <c r="G98" s="762"/>
      <c r="H98" s="762"/>
      <c r="I98" s="762"/>
      <c r="J98" s="762"/>
    </row>
    <row r="99" spans="1:11" s="300" customFormat="1">
      <c r="A99" s="322"/>
      <c r="B99" s="762" t="s">
        <v>850</v>
      </c>
      <c r="C99" s="762"/>
      <c r="D99" s="755"/>
      <c r="E99" s="755"/>
      <c r="F99" s="762"/>
      <c r="G99" s="762"/>
      <c r="H99" s="762"/>
      <c r="I99" s="762"/>
      <c r="J99" s="762"/>
    </row>
    <row r="100" spans="1:11" s="300" customFormat="1">
      <c r="A100" s="322"/>
      <c r="B100" s="762"/>
      <c r="C100" s="762" t="s">
        <v>839</v>
      </c>
      <c r="D100" s="762"/>
      <c r="E100" s="755"/>
      <c r="F100" s="762"/>
      <c r="G100" s="762"/>
      <c r="H100" s="762"/>
      <c r="I100" s="762"/>
      <c r="J100" s="762"/>
    </row>
    <row r="101" spans="1:11" s="300" customFormat="1">
      <c r="A101" s="322"/>
      <c r="B101" s="769" t="s">
        <v>838</v>
      </c>
      <c r="C101" s="762" t="s">
        <v>840</v>
      </c>
      <c r="D101" s="762"/>
      <c r="E101" s="755"/>
      <c r="F101" s="762"/>
      <c r="G101" s="762"/>
      <c r="H101" s="762"/>
      <c r="I101" s="762"/>
      <c r="J101" s="762"/>
    </row>
    <row r="102" spans="1:11" s="300" customFormat="1">
      <c r="A102" s="322"/>
      <c r="B102" s="762" t="s">
        <v>784</v>
      </c>
      <c r="C102" s="768"/>
      <c r="D102" s="768"/>
      <c r="E102" s="762"/>
      <c r="F102" s="762"/>
      <c r="G102" s="762"/>
      <c r="H102" s="762"/>
      <c r="I102" s="762"/>
      <c r="J102" s="762"/>
    </row>
    <row r="103" spans="1:11" s="300" customFormat="1" ht="12.75" customHeight="1">
      <c r="A103" s="322"/>
      <c r="B103" s="762" t="s">
        <v>671</v>
      </c>
      <c r="C103" s="762"/>
      <c r="D103" s="762"/>
      <c r="E103" s="762"/>
      <c r="F103" s="762"/>
      <c r="G103" s="762"/>
      <c r="H103" s="762"/>
      <c r="I103" s="762"/>
      <c r="J103" s="762"/>
    </row>
    <row r="104" spans="1:11" s="300" customFormat="1" ht="59.4" customHeight="1">
      <c r="A104" s="322"/>
      <c r="B104" s="1123" t="s">
        <v>1073</v>
      </c>
      <c r="C104" s="1123"/>
      <c r="D104" s="1123"/>
      <c r="E104" s="1123"/>
      <c r="F104" s="1123"/>
      <c r="G104" s="1123"/>
      <c r="H104" s="1123"/>
      <c r="I104" s="1123"/>
      <c r="J104" s="1123"/>
      <c r="K104" s="683"/>
    </row>
    <row r="105" spans="1:11" s="300" customFormat="1">
      <c r="A105" s="613"/>
      <c r="B105" s="762"/>
      <c r="C105" s="762"/>
      <c r="D105" s="762"/>
      <c r="E105" s="762"/>
      <c r="F105" s="762"/>
      <c r="G105" s="762"/>
      <c r="H105" s="762"/>
      <c r="I105" s="762"/>
      <c r="J105" s="762"/>
    </row>
    <row r="106" spans="1:11" s="300" customFormat="1">
      <c r="A106" s="613"/>
      <c r="B106" s="762"/>
      <c r="C106" s="762"/>
      <c r="D106" s="762"/>
      <c r="E106" s="762"/>
      <c r="F106" s="762"/>
      <c r="G106" s="762"/>
      <c r="H106" s="762"/>
      <c r="I106" s="762"/>
      <c r="J106" s="762"/>
    </row>
    <row r="107" spans="1:11" s="300" customFormat="1">
      <c r="A107" s="613"/>
      <c r="B107" s="762"/>
      <c r="C107" s="762"/>
      <c r="D107" s="768"/>
      <c r="E107" s="762"/>
      <c r="F107" s="762"/>
      <c r="G107" s="762"/>
      <c r="H107" s="762"/>
      <c r="I107" s="762"/>
      <c r="J107" s="762"/>
    </row>
    <row r="108" spans="1:11" s="300" customFormat="1">
      <c r="A108" s="613"/>
      <c r="B108" s="762"/>
      <c r="C108" s="762"/>
      <c r="D108" s="762"/>
      <c r="E108" s="762"/>
      <c r="F108" s="762"/>
      <c r="G108" s="762"/>
      <c r="H108" s="762"/>
      <c r="I108" s="762"/>
      <c r="J108" s="762"/>
    </row>
    <row r="109" spans="1:11">
      <c r="B109" s="762"/>
      <c r="C109" s="762"/>
      <c r="D109" s="762"/>
      <c r="E109" s="762"/>
      <c r="F109" s="762"/>
      <c r="G109" s="762"/>
      <c r="H109" s="762"/>
      <c r="I109" s="762"/>
      <c r="J109" s="762"/>
    </row>
    <row r="110" spans="1:11">
      <c r="B110" s="762"/>
      <c r="C110" s="762"/>
      <c r="D110" s="762"/>
      <c r="E110" s="762"/>
      <c r="F110" s="762"/>
      <c r="G110" s="762"/>
      <c r="H110" s="762"/>
      <c r="I110" s="762"/>
      <c r="J110" s="762"/>
    </row>
    <row r="111" spans="1:11">
      <c r="B111" s="762"/>
      <c r="C111" s="762"/>
      <c r="D111" s="765"/>
      <c r="E111" s="765"/>
      <c r="F111" s="765"/>
      <c r="G111" s="765"/>
      <c r="H111" s="765"/>
      <c r="I111" s="765"/>
      <c r="J111" s="765"/>
    </row>
    <row r="112" spans="1:11">
      <c r="B112" s="762"/>
      <c r="C112" s="762"/>
      <c r="D112" s="762"/>
      <c r="E112" s="762"/>
      <c r="F112" s="762"/>
      <c r="G112" s="762"/>
      <c r="H112" s="762"/>
      <c r="I112" s="762"/>
      <c r="J112" s="762"/>
    </row>
    <row r="113" spans="2:10">
      <c r="B113" s="762"/>
      <c r="C113" s="762"/>
      <c r="D113" s="762"/>
      <c r="E113" s="762"/>
      <c r="F113" s="762"/>
      <c r="G113" s="762"/>
      <c r="H113" s="762"/>
      <c r="I113" s="762"/>
      <c r="J113" s="762"/>
    </row>
    <row r="114" spans="2:10">
      <c r="B114" s="762"/>
      <c r="C114" s="762"/>
      <c r="D114" s="762"/>
      <c r="E114" s="762"/>
      <c r="F114" s="762"/>
      <c r="G114" s="762"/>
      <c r="H114" s="762"/>
      <c r="I114" s="762"/>
      <c r="J114" s="762"/>
    </row>
    <row r="115" spans="2:10">
      <c r="B115" s="764"/>
      <c r="C115" s="762"/>
      <c r="D115" s="762"/>
      <c r="E115" s="762"/>
      <c r="F115" s="762"/>
      <c r="G115" s="762"/>
      <c r="H115" s="762"/>
      <c r="I115" s="762"/>
      <c r="J115" s="762"/>
    </row>
    <row r="116" spans="2:10">
      <c r="B116" s="762"/>
      <c r="C116" s="765"/>
      <c r="D116" s="762"/>
      <c r="E116" s="766"/>
      <c r="F116" s="762"/>
      <c r="G116" s="766"/>
      <c r="H116" s="766"/>
      <c r="I116" s="762"/>
      <c r="J116" s="766"/>
    </row>
    <row r="117" spans="2:10">
      <c r="B117" s="762"/>
      <c r="C117" s="762"/>
      <c r="D117" s="767"/>
      <c r="E117" s="767"/>
      <c r="F117" s="762"/>
      <c r="G117" s="762"/>
      <c r="H117" s="762"/>
      <c r="I117" s="762"/>
      <c r="J117" s="762"/>
    </row>
    <row r="118" spans="2:10">
      <c r="B118" s="762"/>
      <c r="C118" s="762"/>
      <c r="D118" s="767"/>
      <c r="E118" s="767"/>
      <c r="F118" s="762"/>
      <c r="G118" s="762"/>
      <c r="H118" s="762"/>
      <c r="I118" s="762"/>
      <c r="J118" s="762"/>
    </row>
    <row r="119" spans="2:10">
      <c r="B119" s="762"/>
      <c r="C119" s="762"/>
      <c r="D119" s="767"/>
      <c r="E119" s="767"/>
      <c r="F119" s="762"/>
      <c r="G119" s="762"/>
      <c r="H119" s="762"/>
      <c r="I119" s="762"/>
      <c r="J119" s="762"/>
    </row>
    <row r="120" spans="2:10">
      <c r="B120" s="762"/>
      <c r="C120" s="762"/>
      <c r="D120" s="767"/>
      <c r="E120" s="767"/>
      <c r="F120" s="762"/>
      <c r="G120" s="762"/>
      <c r="H120" s="762"/>
      <c r="I120" s="762"/>
      <c r="J120" s="762"/>
    </row>
    <row r="121" spans="2:10">
      <c r="B121" s="762"/>
      <c r="C121" s="762"/>
      <c r="D121" s="767"/>
      <c r="E121" s="767"/>
      <c r="F121" s="762"/>
      <c r="G121" s="762"/>
      <c r="H121" s="762"/>
      <c r="I121" s="762"/>
      <c r="J121" s="762"/>
    </row>
    <row r="122" spans="2:10">
      <c r="B122" s="762"/>
      <c r="C122" s="762"/>
      <c r="D122" s="767"/>
      <c r="E122" s="767"/>
      <c r="F122" s="762"/>
      <c r="G122" s="762"/>
      <c r="H122" s="762"/>
      <c r="I122" s="762"/>
      <c r="J122" s="762"/>
    </row>
    <row r="123" spans="2:10">
      <c r="B123" s="762"/>
      <c r="C123" s="762"/>
      <c r="D123" s="767"/>
      <c r="E123" s="767"/>
      <c r="F123" s="762"/>
      <c r="G123" s="762"/>
      <c r="H123" s="762"/>
      <c r="I123" s="762"/>
      <c r="J123" s="762"/>
    </row>
    <row r="124" spans="2:10">
      <c r="B124" s="762"/>
      <c r="C124" s="762"/>
      <c r="D124" s="762"/>
      <c r="E124" s="762"/>
      <c r="F124" s="762"/>
      <c r="G124" s="762"/>
      <c r="H124" s="762"/>
      <c r="I124" s="762"/>
      <c r="J124" s="762"/>
    </row>
    <row r="125" spans="2:10">
      <c r="B125" s="769"/>
      <c r="C125" s="762"/>
      <c r="D125" s="762"/>
      <c r="E125" s="762"/>
      <c r="F125" s="762"/>
      <c r="G125" s="762"/>
      <c r="H125" s="762"/>
      <c r="I125" s="762"/>
      <c r="J125" s="762"/>
    </row>
    <row r="126" spans="2:10">
      <c r="B126" s="762"/>
      <c r="C126" s="768"/>
      <c r="D126" s="762"/>
      <c r="E126" s="762"/>
      <c r="F126" s="762"/>
      <c r="G126" s="762"/>
      <c r="H126" s="762"/>
      <c r="I126" s="762"/>
      <c r="J126" s="762"/>
    </row>
    <row r="127" spans="2:10">
      <c r="B127" s="762"/>
      <c r="C127" s="768"/>
      <c r="D127" s="762"/>
      <c r="E127" s="762"/>
      <c r="F127" s="762"/>
      <c r="G127" s="762"/>
      <c r="H127" s="762"/>
      <c r="I127" s="762"/>
      <c r="J127" s="762"/>
    </row>
    <row r="128" spans="2:10">
      <c r="B128" s="762"/>
      <c r="C128" s="762"/>
      <c r="D128" s="762"/>
      <c r="E128" s="762"/>
      <c r="F128" s="762"/>
      <c r="G128" s="762"/>
      <c r="H128" s="762"/>
      <c r="I128" s="762"/>
      <c r="J128" s="762"/>
    </row>
    <row r="129" spans="2:10">
      <c r="B129" s="762"/>
      <c r="C129" s="762"/>
      <c r="D129" s="765"/>
      <c r="E129" s="765"/>
      <c r="F129" s="765"/>
      <c r="G129" s="765"/>
      <c r="H129" s="765"/>
      <c r="I129" s="765"/>
      <c r="J129" s="765"/>
    </row>
    <row r="130" spans="2:10">
      <c r="B130" s="762"/>
      <c r="C130" s="765"/>
      <c r="D130" s="765"/>
      <c r="E130" s="765"/>
      <c r="F130" s="765"/>
      <c r="G130" s="765"/>
      <c r="H130" s="765"/>
      <c r="I130" s="765"/>
      <c r="J130" s="765"/>
    </row>
    <row r="181" spans="2:3">
      <c r="B181" s="300"/>
      <c r="C181" s="300"/>
    </row>
  </sheetData>
  <mergeCells count="6">
    <mergeCell ref="B104:J104"/>
    <mergeCell ref="G25:I25"/>
    <mergeCell ref="A2:J2"/>
    <mergeCell ref="A3:J3"/>
    <mergeCell ref="A4:J4"/>
    <mergeCell ref="H12:I12"/>
  </mergeCells>
  <printOptions horizontalCentered="1"/>
  <pageMargins left="0.25" right="0.25" top="0.75" bottom="0.75" header="0.3" footer="0.3"/>
  <pageSetup scale="46" orientation="portrait" r:id="rId1"/>
  <drawing r:id="rId2"/>
  <legacyDrawing r:id="rId3"/>
  <oleObjects>
    <mc:AlternateContent xmlns:mc="http://schemas.openxmlformats.org/markup-compatibility/2006">
      <mc:Choice Requires="x14">
        <oleObject progId="Equation.3" shapeId="37890" r:id="rId4">
          <objectPr defaultSize="0" autoPict="0" r:id="rId5">
            <anchor moveWithCells="1">
              <from>
                <xdr:col>1</xdr:col>
                <xdr:colOff>822960</xdr:colOff>
                <xdr:row>15</xdr:row>
                <xdr:rowOff>106680</xdr:rowOff>
              </from>
              <to>
                <xdr:col>4</xdr:col>
                <xdr:colOff>83820</xdr:colOff>
                <xdr:row>19</xdr:row>
                <xdr:rowOff>83820</xdr:rowOff>
              </to>
            </anchor>
          </objectPr>
        </oleObject>
      </mc:Choice>
      <mc:Fallback>
        <oleObject progId="Equation.3" shapeId="37890" r:id="rId4"/>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4424-6394-4A95-AC8A-E9069C26C1D2}">
  <dimension ref="A1:R255"/>
  <sheetViews>
    <sheetView tabSelected="1" view="pageBreakPreview" topLeftCell="A132" zoomScale="75" zoomScaleNormal="75" zoomScaleSheetLayoutView="75" workbookViewId="0">
      <selection activeCell="A163" sqref="A163"/>
    </sheetView>
  </sheetViews>
  <sheetFormatPr defaultColWidth="8.90625" defaultRowHeight="13.2"/>
  <cols>
    <col min="1" max="1" width="4.54296875" style="1020" bestFit="1" customWidth="1"/>
    <col min="2" max="2" width="21.81640625" style="324" customWidth="1"/>
    <col min="3" max="3" width="2.08984375" style="324" customWidth="1"/>
    <col min="4" max="4" width="26.36328125" style="324" customWidth="1"/>
    <col min="5" max="5" width="2.36328125" style="324" customWidth="1"/>
    <col min="6" max="6" width="26.1796875" style="324" customWidth="1"/>
    <col min="7" max="7" width="1.81640625" style="324" customWidth="1"/>
    <col min="8" max="8" width="16.36328125" style="324" customWidth="1"/>
    <col min="9" max="9" width="2.1796875" style="324" customWidth="1"/>
    <col min="10" max="10" width="15.453125" style="324" customWidth="1"/>
    <col min="11" max="11" width="2.453125" style="324" customWidth="1"/>
    <col min="12" max="12" width="15" style="324" customWidth="1"/>
    <col min="13" max="13" width="2.08984375" style="324" customWidth="1"/>
    <col min="14" max="14" width="15.81640625" style="324" customWidth="1"/>
    <col min="15" max="15" width="1.453125" style="324" customWidth="1"/>
    <col min="16" max="16" width="20.36328125" style="324" customWidth="1"/>
    <col min="17" max="18" width="10.81640625" style="324" bestFit="1" customWidth="1"/>
    <col min="19" max="16384" width="8.90625" style="324"/>
  </cols>
  <sheetData>
    <row r="1" spans="1:16">
      <c r="H1" s="1020" t="s">
        <v>491</v>
      </c>
      <c r="P1" s="324" t="s">
        <v>945</v>
      </c>
    </row>
    <row r="2" spans="1:16">
      <c r="C2" s="1021"/>
      <c r="D2" s="1021"/>
      <c r="E2" s="1021"/>
      <c r="F2" s="1022"/>
      <c r="G2" s="1021"/>
      <c r="H2" s="1023" t="s">
        <v>490</v>
      </c>
      <c r="I2" s="1021"/>
      <c r="J2" s="1021"/>
      <c r="K2" s="1021"/>
      <c r="L2" s="1021"/>
      <c r="M2" s="1021"/>
      <c r="N2" s="1021"/>
    </row>
    <row r="3" spans="1:16">
      <c r="C3" s="1022"/>
      <c r="D3" s="1022"/>
      <c r="E3" s="1022"/>
      <c r="F3" s="1022"/>
      <c r="H3" s="1020" t="str">
        <f>'Attachment H'!D5</f>
        <v>Gridliance High Plains LLC</v>
      </c>
      <c r="I3" s="1022"/>
      <c r="J3" s="1022"/>
      <c r="K3" s="1022"/>
      <c r="L3" s="1022"/>
      <c r="M3" s="1022"/>
      <c r="N3" s="1022"/>
    </row>
    <row r="4" spans="1:16">
      <c r="B4" s="1150"/>
      <c r="C4" s="1150"/>
      <c r="D4" s="1150"/>
      <c r="E4" s="1150"/>
      <c r="F4" s="1150"/>
      <c r="G4" s="1150"/>
      <c r="H4" s="1150"/>
      <c r="I4" s="1150"/>
      <c r="J4" s="1150"/>
      <c r="K4" s="1150"/>
      <c r="L4" s="1150"/>
      <c r="M4" s="1150"/>
      <c r="N4" s="1150"/>
      <c r="O4" s="1021"/>
      <c r="P4" s="1021"/>
    </row>
    <row r="5" spans="1:16">
      <c r="B5" s="1024"/>
      <c r="C5" s="1024"/>
      <c r="D5" s="1024"/>
      <c r="E5" s="1024"/>
      <c r="F5" s="1024"/>
      <c r="G5" s="1024"/>
      <c r="H5" s="1024"/>
      <c r="I5" s="1024"/>
      <c r="J5" s="1024"/>
      <c r="K5" s="1024"/>
      <c r="L5" s="1024"/>
      <c r="M5" s="1024"/>
      <c r="N5" s="1024"/>
      <c r="O5" s="1021"/>
      <c r="P5" s="1021"/>
    </row>
    <row r="6" spans="1:16" ht="14.4" thickBot="1">
      <c r="B6" s="1025"/>
      <c r="C6" s="1024"/>
      <c r="D6" s="1024"/>
      <c r="E6" s="1024"/>
      <c r="F6" s="1024"/>
      <c r="G6" s="1024"/>
      <c r="H6" s="1024"/>
      <c r="I6" s="1024"/>
      <c r="J6" s="1024"/>
      <c r="K6" s="1024"/>
      <c r="L6" s="1024"/>
      <c r="M6" s="1024"/>
      <c r="N6" s="1024"/>
      <c r="O6" s="1021"/>
      <c r="P6" s="1021"/>
    </row>
    <row r="7" spans="1:16">
      <c r="B7" s="1151" t="s">
        <v>153</v>
      </c>
      <c r="C7" s="1152"/>
      <c r="D7" s="1152"/>
      <c r="E7" s="1152"/>
      <c r="F7" s="1152"/>
      <c r="G7" s="1152"/>
      <c r="H7" s="1152"/>
      <c r="I7" s="1152"/>
      <c r="J7" s="1152"/>
      <c r="K7" s="1152"/>
      <c r="L7" s="1152"/>
      <c r="M7" s="1152"/>
      <c r="N7" s="1152"/>
      <c r="O7" s="1152"/>
      <c r="P7" s="1153"/>
    </row>
    <row r="8" spans="1:16">
      <c r="B8" s="583" t="s">
        <v>292</v>
      </c>
      <c r="C8" s="1019"/>
      <c r="D8" s="1019" t="s">
        <v>293</v>
      </c>
      <c r="E8" s="1019"/>
      <c r="F8" s="1019" t="s">
        <v>294</v>
      </c>
      <c r="G8" s="1024"/>
      <c r="H8" s="1024" t="s">
        <v>295</v>
      </c>
      <c r="I8" s="1024"/>
      <c r="J8" s="1024" t="s">
        <v>297</v>
      </c>
      <c r="K8" s="1024"/>
      <c r="L8" s="1024" t="s">
        <v>296</v>
      </c>
      <c r="M8" s="1024"/>
      <c r="N8" s="1024" t="s">
        <v>298</v>
      </c>
      <c r="O8" s="1024"/>
      <c r="P8" s="1026" t="s">
        <v>299</v>
      </c>
    </row>
    <row r="9" spans="1:16" ht="88.5" customHeight="1">
      <c r="B9" s="1027" t="s">
        <v>152</v>
      </c>
      <c r="C9" s="1024"/>
      <c r="D9" s="1028" t="s">
        <v>912</v>
      </c>
      <c r="E9" s="1022"/>
      <c r="F9" s="1028" t="s">
        <v>648</v>
      </c>
      <c r="G9" s="1029"/>
      <c r="H9" s="1028" t="s">
        <v>649</v>
      </c>
      <c r="I9" s="1030"/>
      <c r="J9" s="1028" t="s">
        <v>650</v>
      </c>
      <c r="K9" s="1030"/>
      <c r="L9" s="1028" t="s">
        <v>651</v>
      </c>
      <c r="N9" s="1028" t="s">
        <v>902</v>
      </c>
      <c r="O9" s="1021"/>
      <c r="P9" s="1031" t="s">
        <v>911</v>
      </c>
    </row>
    <row r="10" spans="1:16">
      <c r="A10" s="842">
        <v>1</v>
      </c>
      <c r="B10" s="584"/>
      <c r="C10" s="830"/>
      <c r="D10" s="1032"/>
      <c r="F10" s="1032"/>
      <c r="G10" s="1021"/>
      <c r="H10" s="1033"/>
      <c r="I10" s="1034"/>
      <c r="J10" s="1033"/>
      <c r="K10" s="1021"/>
      <c r="L10" s="1035">
        <f t="shared" ref="L10:L15" si="0">H10-J10</f>
        <v>0</v>
      </c>
      <c r="N10" s="1036"/>
      <c r="O10" s="1021"/>
      <c r="P10" s="630">
        <f>N71</f>
        <v>0</v>
      </c>
    </row>
    <row r="11" spans="1:16">
      <c r="A11" s="827">
        <v>2</v>
      </c>
      <c r="B11" s="585"/>
      <c r="C11" s="1037"/>
      <c r="D11" s="1038"/>
      <c r="E11" s="1021"/>
      <c r="F11" s="1032"/>
      <c r="G11" s="1021"/>
      <c r="H11" s="1033"/>
      <c r="I11" s="1021"/>
      <c r="J11" s="1033"/>
      <c r="K11" s="1021"/>
      <c r="L11" s="1035">
        <f t="shared" si="0"/>
        <v>0</v>
      </c>
      <c r="M11" s="1021"/>
      <c r="N11" s="1036"/>
      <c r="O11" s="1021"/>
      <c r="P11" s="630">
        <f>N120</f>
        <v>0</v>
      </c>
    </row>
    <row r="12" spans="1:16">
      <c r="A12" s="827">
        <v>3</v>
      </c>
      <c r="B12" s="585"/>
      <c r="C12" s="1037"/>
      <c r="D12" s="1038"/>
      <c r="E12" s="1021"/>
      <c r="F12" s="1032"/>
      <c r="G12" s="1021"/>
      <c r="H12" s="1033"/>
      <c r="I12" s="1021"/>
      <c r="J12" s="1033"/>
      <c r="K12" s="1021"/>
      <c r="L12" s="1035">
        <f t="shared" si="0"/>
        <v>0</v>
      </c>
      <c r="M12" s="1021"/>
      <c r="N12" s="1036"/>
      <c r="O12" s="1021"/>
      <c r="P12" s="630">
        <f>N164</f>
        <v>0</v>
      </c>
    </row>
    <row r="13" spans="1:16">
      <c r="A13" s="827">
        <v>4</v>
      </c>
      <c r="B13" s="585"/>
      <c r="C13" s="1037"/>
      <c r="D13" s="1038"/>
      <c r="E13" s="1021"/>
      <c r="F13" s="1032"/>
      <c r="G13" s="1021"/>
      <c r="H13" s="1033"/>
      <c r="I13" s="1021"/>
      <c r="J13" s="1033"/>
      <c r="K13" s="1021"/>
      <c r="L13" s="1035">
        <f t="shared" si="0"/>
        <v>0</v>
      </c>
      <c r="M13" s="1021"/>
      <c r="N13" s="1036"/>
      <c r="O13" s="1021"/>
      <c r="P13" s="630">
        <f>N211</f>
        <v>0</v>
      </c>
    </row>
    <row r="14" spans="1:16">
      <c r="A14" s="827">
        <v>5</v>
      </c>
      <c r="B14" s="585"/>
      <c r="C14" s="1037" t="s">
        <v>170</v>
      </c>
      <c r="D14" s="1038"/>
      <c r="E14" s="1021"/>
      <c r="F14" s="1032"/>
      <c r="G14" s="1021"/>
      <c r="H14" s="1033"/>
      <c r="I14" s="1021"/>
      <c r="J14" s="1033"/>
      <c r="K14" s="1021"/>
      <c r="L14" s="1035">
        <f t="shared" si="0"/>
        <v>0</v>
      </c>
      <c r="M14" s="1021"/>
      <c r="N14" s="1036"/>
      <c r="O14" s="1021"/>
      <c r="P14" s="630">
        <f>N253</f>
        <v>0</v>
      </c>
    </row>
    <row r="15" spans="1:16">
      <c r="A15" s="827">
        <v>6</v>
      </c>
      <c r="B15" s="585"/>
      <c r="C15" s="1037" t="s">
        <v>1129</v>
      </c>
      <c r="D15" s="1039"/>
      <c r="E15" s="1021"/>
      <c r="F15" s="1032"/>
      <c r="G15" s="1021"/>
      <c r="H15" s="1033"/>
      <c r="I15" s="1021"/>
      <c r="J15" s="1033"/>
      <c r="K15" s="1021"/>
      <c r="L15" s="1035">
        <f t="shared" si="0"/>
        <v>0</v>
      </c>
      <c r="M15" s="1021"/>
      <c r="N15" s="1040"/>
      <c r="O15" s="1021"/>
      <c r="P15" s="631"/>
    </row>
    <row r="16" spans="1:16">
      <c r="A16" s="827">
        <v>7</v>
      </c>
      <c r="B16" s="1041"/>
      <c r="C16" s="1021"/>
      <c r="D16" s="1042"/>
      <c r="E16" s="1021"/>
      <c r="F16" s="1043"/>
      <c r="G16" s="1021"/>
      <c r="H16" s="1044"/>
      <c r="I16" s="1021"/>
      <c r="J16" s="1045"/>
      <c r="K16" s="1021"/>
      <c r="L16" s="1035"/>
      <c r="M16" s="1021"/>
      <c r="N16" s="1040"/>
      <c r="O16" s="1021"/>
      <c r="P16" s="632">
        <f>SUM(P10:P15)</f>
        <v>0</v>
      </c>
    </row>
    <row r="17" spans="1:16" ht="13.8">
      <c r="A17" s="827">
        <v>8</v>
      </c>
      <c r="B17" s="1046" t="s">
        <v>288</v>
      </c>
      <c r="C17" s="1021"/>
      <c r="D17" s="1021"/>
      <c r="E17" s="1021"/>
      <c r="F17" s="1021"/>
      <c r="G17" s="1021"/>
      <c r="H17" s="1021"/>
      <c r="I17" s="1021"/>
      <c r="J17" s="1021"/>
      <c r="K17" s="1021"/>
      <c r="L17" s="1021"/>
      <c r="M17" s="1021"/>
      <c r="N17" s="1040"/>
      <c r="O17" s="1021"/>
      <c r="P17" s="1047"/>
    </row>
    <row r="18" spans="1:16" ht="13.8">
      <c r="A18" s="827">
        <v>9</v>
      </c>
      <c r="B18" s="1046" t="s">
        <v>541</v>
      </c>
      <c r="C18" s="1021"/>
      <c r="D18" s="1021"/>
      <c r="E18" s="1021"/>
      <c r="F18" s="1021"/>
      <c r="G18" s="1021"/>
      <c r="H18" s="1021"/>
      <c r="I18" s="1021"/>
      <c r="J18" s="1021"/>
      <c r="K18" s="1021"/>
      <c r="L18" s="1021"/>
      <c r="M18" s="1021"/>
      <c r="N18" s="1021"/>
      <c r="O18" s="1021"/>
      <c r="P18" s="1047"/>
    </row>
    <row r="19" spans="1:16" ht="13.8">
      <c r="A19" s="827">
        <v>10</v>
      </c>
      <c r="B19" s="1046" t="s">
        <v>542</v>
      </c>
      <c r="C19" s="1021"/>
      <c r="D19" s="1021"/>
      <c r="E19" s="1021"/>
      <c r="F19" s="1021"/>
      <c r="G19" s="1021"/>
      <c r="H19" s="1021"/>
      <c r="I19" s="1021"/>
      <c r="J19" s="1021"/>
      <c r="K19" s="1021"/>
      <c r="L19" s="1021"/>
      <c r="M19" s="1021"/>
      <c r="N19" s="1021"/>
      <c r="O19" s="1021"/>
      <c r="P19" s="1047"/>
    </row>
    <row r="20" spans="1:16" ht="13.8">
      <c r="A20" s="827">
        <v>11</v>
      </c>
      <c r="B20" s="488"/>
      <c r="C20" s="1021"/>
      <c r="D20" s="1021"/>
      <c r="E20" s="1021"/>
      <c r="F20" s="1021"/>
      <c r="G20" s="1021"/>
      <c r="H20" s="1021"/>
      <c r="I20" s="1021"/>
      <c r="J20" s="1021"/>
      <c r="K20" s="1021"/>
      <c r="L20" s="1021"/>
      <c r="M20" s="1021"/>
      <c r="N20" s="1021"/>
      <c r="O20" s="1021"/>
      <c r="P20" s="1047"/>
    </row>
    <row r="21" spans="1:16" ht="13.8">
      <c r="A21" s="827">
        <v>12</v>
      </c>
      <c r="B21" s="1046"/>
      <c r="C21" s="1021"/>
      <c r="D21" s="1021"/>
      <c r="E21" s="1021"/>
      <c r="F21" s="1021"/>
      <c r="G21" s="1021"/>
      <c r="H21" s="1021"/>
      <c r="I21" s="1021"/>
      <c r="J21" s="1021"/>
      <c r="K21" s="1021"/>
      <c r="L21" s="1021"/>
      <c r="M21" s="1021"/>
      <c r="N21" s="1021"/>
      <c r="O21" s="1021"/>
      <c r="P21" s="1047"/>
    </row>
    <row r="22" spans="1:16">
      <c r="A22" s="827">
        <v>13</v>
      </c>
      <c r="B22" s="1048"/>
      <c r="C22" s="1049"/>
      <c r="E22" s="1021"/>
      <c r="F22" s="1021"/>
      <c r="G22" s="1021"/>
      <c r="H22" s="1021"/>
      <c r="I22" s="1021"/>
      <c r="J22" s="1021"/>
      <c r="K22" s="1021"/>
      <c r="L22" s="1021"/>
      <c r="M22" s="1021"/>
      <c r="N22" s="1021"/>
      <c r="O22" s="1021"/>
      <c r="P22" s="1047"/>
    </row>
    <row r="23" spans="1:16">
      <c r="A23" s="827">
        <v>14</v>
      </c>
      <c r="B23" s="1050"/>
      <c r="C23" s="1051"/>
      <c r="D23" s="1023"/>
      <c r="E23" s="1023"/>
      <c r="F23" s="1051"/>
      <c r="G23" s="1051"/>
      <c r="H23" s="1023"/>
      <c r="I23" s="1023"/>
      <c r="J23" s="1051"/>
      <c r="K23" s="1051"/>
      <c r="L23" s="1021"/>
      <c r="M23" s="1021"/>
      <c r="N23" s="1021"/>
      <c r="O23" s="1021"/>
      <c r="P23" s="1047"/>
    </row>
    <row r="24" spans="1:16" ht="13.8" thickBot="1">
      <c r="A24" s="827">
        <v>15</v>
      </c>
      <c r="B24" s="1052"/>
      <c r="C24" s="1053"/>
      <c r="D24" s="1054"/>
      <c r="E24" s="1054"/>
      <c r="F24" s="1053"/>
      <c r="G24" s="1053"/>
      <c r="H24" s="1054"/>
      <c r="I24" s="1054"/>
      <c r="J24" s="1053"/>
      <c r="K24" s="1053"/>
      <c r="L24" s="1055"/>
      <c r="M24" s="1055"/>
      <c r="N24" s="1055"/>
      <c r="O24" s="1055"/>
      <c r="P24" s="1056"/>
    </row>
    <row r="25" spans="1:16" ht="35.25" customHeight="1">
      <c r="A25" s="827">
        <v>16</v>
      </c>
      <c r="B25" s="1154" t="s">
        <v>1130</v>
      </c>
      <c r="C25" s="1154"/>
      <c r="D25" s="1154"/>
      <c r="E25" s="1154"/>
      <c r="F25" s="1154"/>
      <c r="G25" s="1154"/>
      <c r="H25" s="1154"/>
      <c r="I25" s="1154"/>
      <c r="J25" s="1154"/>
      <c r="K25" s="1154"/>
      <c r="L25" s="1154"/>
      <c r="M25" s="1154"/>
      <c r="N25" s="1154"/>
      <c r="O25" s="1154"/>
      <c r="P25" s="1154"/>
    </row>
    <row r="26" spans="1:16" ht="53.25" customHeight="1">
      <c r="A26" s="827">
        <v>17</v>
      </c>
      <c r="B26" s="1057" t="s">
        <v>154</v>
      </c>
      <c r="C26" s="1057"/>
      <c r="D26" s="1023"/>
      <c r="E26" s="1023"/>
      <c r="F26" s="1030" t="s">
        <v>900</v>
      </c>
      <c r="G26" s="1051"/>
      <c r="H26" s="1030" t="s">
        <v>140</v>
      </c>
      <c r="I26" s="1030"/>
      <c r="J26" s="1024" t="s">
        <v>141</v>
      </c>
      <c r="K26" s="1024"/>
      <c r="L26" s="1014" t="s">
        <v>1131</v>
      </c>
      <c r="M26" s="1014"/>
      <c r="N26" s="1030" t="s">
        <v>142</v>
      </c>
      <c r="O26" s="1058"/>
      <c r="P26" s="1030" t="s">
        <v>143</v>
      </c>
    </row>
    <row r="27" spans="1:16">
      <c r="A27" s="827">
        <v>18</v>
      </c>
      <c r="B27" s="1057"/>
      <c r="C27" s="1057"/>
      <c r="D27" s="1023"/>
      <c r="E27" s="1023"/>
      <c r="F27" s="1023"/>
      <c r="G27" s="812"/>
      <c r="H27" s="812" t="s">
        <v>903</v>
      </c>
      <c r="I27" s="327"/>
      <c r="J27" s="1051"/>
      <c r="K27" s="1051"/>
      <c r="L27" s="1021"/>
      <c r="M27" s="1021"/>
      <c r="N27" s="1021"/>
      <c r="O27" s="1021"/>
      <c r="P27" s="1021"/>
    </row>
    <row r="28" spans="1:16">
      <c r="A28" s="827">
        <v>19</v>
      </c>
      <c r="B28" s="1057"/>
      <c r="C28" s="1057"/>
      <c r="D28" s="1023"/>
      <c r="E28" s="1023"/>
      <c r="F28" s="1023" t="s">
        <v>951</v>
      </c>
      <c r="G28" s="812"/>
      <c r="H28" s="1023" t="s">
        <v>904</v>
      </c>
      <c r="I28" s="327"/>
      <c r="J28" s="1051"/>
      <c r="K28" s="1051"/>
      <c r="L28" s="1023" t="s">
        <v>906</v>
      </c>
      <c r="M28" s="1021"/>
      <c r="N28" s="1021"/>
      <c r="O28" s="1021"/>
      <c r="P28" s="1021"/>
    </row>
    <row r="29" spans="1:16">
      <c r="A29" s="827">
        <v>20</v>
      </c>
      <c r="B29" s="1059" t="s">
        <v>10</v>
      </c>
      <c r="C29" s="1059"/>
      <c r="D29" s="1023"/>
      <c r="E29" s="1023"/>
      <c r="F29" s="1020" t="s">
        <v>952</v>
      </c>
      <c r="G29" s="1023"/>
      <c r="H29" s="1020" t="s">
        <v>901</v>
      </c>
      <c r="I29" s="1023"/>
      <c r="J29" s="1023" t="s">
        <v>905</v>
      </c>
      <c r="K29" s="1021"/>
      <c r="L29" s="1023" t="s">
        <v>907</v>
      </c>
      <c r="M29" s="1021"/>
      <c r="N29" s="1021"/>
      <c r="O29" s="1021"/>
      <c r="P29" s="1021"/>
    </row>
    <row r="30" spans="1:16">
      <c r="A30" s="827">
        <v>21</v>
      </c>
      <c r="B30" s="1060" t="s">
        <v>543</v>
      </c>
      <c r="C30" s="1061"/>
      <c r="D30" s="1062"/>
      <c r="E30" s="1062"/>
      <c r="F30" s="1062"/>
      <c r="G30" s="1062"/>
      <c r="H30" s="1063"/>
      <c r="I30" s="1063"/>
      <c r="J30" s="1063"/>
      <c r="K30" s="1063"/>
      <c r="L30" s="1064"/>
      <c r="M30" s="1064"/>
      <c r="N30" s="1062"/>
      <c r="O30" s="1062"/>
      <c r="P30" s="1065"/>
    </row>
    <row r="31" spans="1:16">
      <c r="A31" s="827">
        <v>22</v>
      </c>
      <c r="B31" s="1066"/>
      <c r="C31" s="1067"/>
      <c r="D31" s="1023"/>
      <c r="E31" s="1023"/>
      <c r="F31" s="1023"/>
      <c r="G31" s="1023"/>
      <c r="H31" s="1021"/>
      <c r="I31" s="1021"/>
      <c r="J31" s="1021"/>
      <c r="K31" s="1021"/>
      <c r="L31" s="1024" t="s">
        <v>144</v>
      </c>
      <c r="M31" s="1024"/>
      <c r="N31" s="1023"/>
      <c r="O31" s="1023"/>
      <c r="P31" s="1068"/>
    </row>
    <row r="32" spans="1:16">
      <c r="A32" s="827">
        <v>23</v>
      </c>
      <c r="B32" s="1069"/>
      <c r="C32" s="1067"/>
      <c r="D32" s="1023"/>
      <c r="E32" s="1023"/>
      <c r="F32" s="1023"/>
      <c r="G32" s="1023"/>
      <c r="H32" s="1021"/>
      <c r="I32" s="1021"/>
      <c r="J32" s="1021"/>
      <c r="K32" s="1021"/>
      <c r="L32" s="1024"/>
      <c r="M32" s="1024"/>
      <c r="N32" s="1023"/>
      <c r="O32" s="1023"/>
      <c r="P32" s="1068"/>
    </row>
    <row r="33" spans="1:16">
      <c r="A33" s="827">
        <v>24</v>
      </c>
      <c r="B33" s="1070" t="s">
        <v>105</v>
      </c>
      <c r="C33" s="1021"/>
      <c r="D33" s="1021" t="s">
        <v>171</v>
      </c>
      <c r="E33" s="1021"/>
      <c r="F33" s="1071"/>
      <c r="G33" s="328"/>
      <c r="H33" s="1072"/>
      <c r="I33" s="1073"/>
      <c r="J33" s="1074">
        <v>12</v>
      </c>
      <c r="K33" s="1021"/>
      <c r="L33" s="328">
        <f t="shared" ref="L33:L44" si="1">H33*F33*J33*-1</f>
        <v>0</v>
      </c>
      <c r="M33" s="328"/>
      <c r="N33" s="328"/>
      <c r="O33" s="328"/>
      <c r="P33" s="329">
        <f t="shared" ref="P33:P44" si="2">(-L33+F33)*-1</f>
        <v>0</v>
      </c>
    </row>
    <row r="34" spans="1:16">
      <c r="A34" s="827">
        <v>25</v>
      </c>
      <c r="B34" s="1070" t="s">
        <v>104</v>
      </c>
      <c r="C34" s="1021"/>
      <c r="D34" s="1021" t="str">
        <f t="shared" ref="D34:D44" si="3">D33</f>
        <v>Year 2015</v>
      </c>
      <c r="E34" s="1021"/>
      <c r="F34" s="1071"/>
      <c r="G34" s="328"/>
      <c r="H34" s="1072"/>
      <c r="I34" s="1073"/>
      <c r="J34" s="1075">
        <f t="shared" ref="J34:J44" si="4">+J33-1</f>
        <v>11</v>
      </c>
      <c r="L34" s="328">
        <f t="shared" si="1"/>
        <v>0</v>
      </c>
      <c r="M34" s="328"/>
      <c r="N34" s="328"/>
      <c r="O34" s="328"/>
      <c r="P34" s="329">
        <f t="shared" si="2"/>
        <v>0</v>
      </c>
    </row>
    <row r="35" spans="1:16">
      <c r="A35" s="827">
        <v>26</v>
      </c>
      <c r="B35" s="1070" t="s">
        <v>103</v>
      </c>
      <c r="C35" s="1021"/>
      <c r="D35" s="1021" t="str">
        <f t="shared" si="3"/>
        <v>Year 2015</v>
      </c>
      <c r="E35" s="1021"/>
      <c r="F35" s="1071"/>
      <c r="G35" s="328"/>
      <c r="H35" s="1072"/>
      <c r="I35" s="1073"/>
      <c r="J35" s="1075">
        <f t="shared" si="4"/>
        <v>10</v>
      </c>
      <c r="L35" s="328">
        <f t="shared" si="1"/>
        <v>0</v>
      </c>
      <c r="M35" s="328"/>
      <c r="N35" s="328"/>
      <c r="O35" s="328"/>
      <c r="P35" s="329">
        <f t="shared" si="2"/>
        <v>0</v>
      </c>
    </row>
    <row r="36" spans="1:16">
      <c r="A36" s="827">
        <v>27</v>
      </c>
      <c r="B36" s="1070" t="s">
        <v>95</v>
      </c>
      <c r="C36" s="1021"/>
      <c r="D36" s="1021" t="str">
        <f t="shared" si="3"/>
        <v>Year 2015</v>
      </c>
      <c r="E36" s="1021"/>
      <c r="F36" s="1071"/>
      <c r="G36" s="328"/>
      <c r="H36" s="1072"/>
      <c r="I36" s="1073"/>
      <c r="J36" s="1075">
        <f t="shared" si="4"/>
        <v>9</v>
      </c>
      <c r="L36" s="328">
        <f t="shared" si="1"/>
        <v>0</v>
      </c>
      <c r="M36" s="328"/>
      <c r="N36" s="328"/>
      <c r="O36" s="328"/>
      <c r="P36" s="329">
        <f t="shared" si="2"/>
        <v>0</v>
      </c>
    </row>
    <row r="37" spans="1:16">
      <c r="A37" s="827">
        <v>28</v>
      </c>
      <c r="B37" s="1070" t="s">
        <v>92</v>
      </c>
      <c r="C37" s="1021"/>
      <c r="D37" s="1021" t="str">
        <f t="shared" si="3"/>
        <v>Year 2015</v>
      </c>
      <c r="E37" s="1021"/>
      <c r="F37" s="1071"/>
      <c r="G37" s="328"/>
      <c r="H37" s="1072"/>
      <c r="I37" s="1073"/>
      <c r="J37" s="1075">
        <f t="shared" si="4"/>
        <v>8</v>
      </c>
      <c r="L37" s="328">
        <f t="shared" si="1"/>
        <v>0</v>
      </c>
      <c r="M37" s="328"/>
      <c r="N37" s="328"/>
      <c r="O37" s="328"/>
      <c r="P37" s="329">
        <f t="shared" si="2"/>
        <v>0</v>
      </c>
    </row>
    <row r="38" spans="1:16">
      <c r="A38" s="827">
        <v>29</v>
      </c>
      <c r="B38" s="1070" t="s">
        <v>145</v>
      </c>
      <c r="C38" s="1021"/>
      <c r="D38" s="1021" t="str">
        <f t="shared" si="3"/>
        <v>Year 2015</v>
      </c>
      <c r="E38" s="1021"/>
      <c r="F38" s="1071"/>
      <c r="G38" s="328"/>
      <c r="H38" s="1072"/>
      <c r="I38" s="1073"/>
      <c r="J38" s="1075">
        <f t="shared" si="4"/>
        <v>7</v>
      </c>
      <c r="L38" s="328">
        <f t="shared" si="1"/>
        <v>0</v>
      </c>
      <c r="M38" s="328"/>
      <c r="N38" s="328"/>
      <c r="O38" s="328"/>
      <c r="P38" s="329">
        <f t="shared" si="2"/>
        <v>0</v>
      </c>
    </row>
    <row r="39" spans="1:16">
      <c r="A39" s="827">
        <v>30</v>
      </c>
      <c r="B39" s="1070" t="s">
        <v>102</v>
      </c>
      <c r="C39" s="1021"/>
      <c r="D39" s="1021" t="str">
        <f t="shared" si="3"/>
        <v>Year 2015</v>
      </c>
      <c r="E39" s="1021"/>
      <c r="F39" s="1071"/>
      <c r="G39" s="328"/>
      <c r="H39" s="1072"/>
      <c r="I39" s="1073"/>
      <c r="J39" s="1075">
        <f t="shared" si="4"/>
        <v>6</v>
      </c>
      <c r="L39" s="328">
        <f t="shared" si="1"/>
        <v>0</v>
      </c>
      <c r="M39" s="328"/>
      <c r="N39" s="328"/>
      <c r="O39" s="328"/>
      <c r="P39" s="329">
        <f t="shared" si="2"/>
        <v>0</v>
      </c>
    </row>
    <row r="40" spans="1:16">
      <c r="A40" s="827">
        <v>31</v>
      </c>
      <c r="B40" s="1070" t="s">
        <v>101</v>
      </c>
      <c r="C40" s="1021"/>
      <c r="D40" s="1021" t="str">
        <f t="shared" si="3"/>
        <v>Year 2015</v>
      </c>
      <c r="E40" s="1021"/>
      <c r="F40" s="1071"/>
      <c r="G40" s="328"/>
      <c r="H40" s="1072"/>
      <c r="I40" s="1073"/>
      <c r="J40" s="1075">
        <f t="shared" si="4"/>
        <v>5</v>
      </c>
      <c r="L40" s="328">
        <f t="shared" si="1"/>
        <v>0</v>
      </c>
      <c r="M40" s="328"/>
      <c r="N40" s="328"/>
      <c r="O40" s="328"/>
      <c r="P40" s="329">
        <f t="shared" si="2"/>
        <v>0</v>
      </c>
    </row>
    <row r="41" spans="1:16">
      <c r="A41" s="827">
        <v>32</v>
      </c>
      <c r="B41" s="1070" t="s">
        <v>100</v>
      </c>
      <c r="C41" s="1021"/>
      <c r="D41" s="1021" t="str">
        <f t="shared" si="3"/>
        <v>Year 2015</v>
      </c>
      <c r="E41" s="1021"/>
      <c r="F41" s="1071"/>
      <c r="G41" s="328"/>
      <c r="H41" s="1072"/>
      <c r="I41" s="1073"/>
      <c r="J41" s="1075">
        <f t="shared" si="4"/>
        <v>4</v>
      </c>
      <c r="L41" s="328">
        <f t="shared" si="1"/>
        <v>0</v>
      </c>
      <c r="M41" s="328"/>
      <c r="N41" s="328"/>
      <c r="O41" s="328"/>
      <c r="P41" s="329">
        <f t="shared" si="2"/>
        <v>0</v>
      </c>
    </row>
    <row r="42" spans="1:16">
      <c r="A42" s="827">
        <v>33</v>
      </c>
      <c r="B42" s="1070" t="s">
        <v>106</v>
      </c>
      <c r="C42" s="1021"/>
      <c r="D42" s="1021" t="str">
        <f t="shared" si="3"/>
        <v>Year 2015</v>
      </c>
      <c r="E42" s="1021"/>
      <c r="F42" s="1071"/>
      <c r="G42" s="328"/>
      <c r="H42" s="1072"/>
      <c r="I42" s="1073"/>
      <c r="J42" s="1075">
        <f t="shared" si="4"/>
        <v>3</v>
      </c>
      <c r="L42" s="328">
        <f t="shared" si="1"/>
        <v>0</v>
      </c>
      <c r="M42" s="328"/>
      <c r="N42" s="328"/>
      <c r="O42" s="328"/>
      <c r="P42" s="329">
        <f t="shared" si="2"/>
        <v>0</v>
      </c>
    </row>
    <row r="43" spans="1:16">
      <c r="A43" s="827">
        <v>34</v>
      </c>
      <c r="B43" s="1070" t="s">
        <v>99</v>
      </c>
      <c r="C43" s="1021"/>
      <c r="D43" s="1021" t="str">
        <f t="shared" si="3"/>
        <v>Year 2015</v>
      </c>
      <c r="E43" s="1021"/>
      <c r="F43" s="1071"/>
      <c r="G43" s="328"/>
      <c r="H43" s="1072"/>
      <c r="I43" s="1073"/>
      <c r="J43" s="1075">
        <f t="shared" si="4"/>
        <v>2</v>
      </c>
      <c r="L43" s="328">
        <f t="shared" si="1"/>
        <v>0</v>
      </c>
      <c r="M43" s="328"/>
      <c r="N43" s="328"/>
      <c r="O43" s="328"/>
      <c r="P43" s="329">
        <f t="shared" si="2"/>
        <v>0</v>
      </c>
    </row>
    <row r="44" spans="1:16">
      <c r="A44" s="827">
        <v>35</v>
      </c>
      <c r="B44" s="1070" t="s">
        <v>98</v>
      </c>
      <c r="C44" s="1021"/>
      <c r="D44" s="1021" t="str">
        <f t="shared" si="3"/>
        <v>Year 2015</v>
      </c>
      <c r="E44" s="1021"/>
      <c r="F44" s="1071"/>
      <c r="G44" s="328"/>
      <c r="H44" s="1072"/>
      <c r="I44" s="1073"/>
      <c r="J44" s="1075">
        <f t="shared" si="4"/>
        <v>1</v>
      </c>
      <c r="L44" s="331">
        <f t="shared" si="1"/>
        <v>0</v>
      </c>
      <c r="M44" s="328"/>
      <c r="N44" s="328"/>
      <c r="O44" s="328"/>
      <c r="P44" s="329">
        <f t="shared" si="2"/>
        <v>0</v>
      </c>
    </row>
    <row r="45" spans="1:16">
      <c r="A45" s="827">
        <v>36</v>
      </c>
      <c r="B45" s="1070"/>
      <c r="C45" s="1021"/>
      <c r="D45" s="1021"/>
      <c r="E45" s="1021"/>
      <c r="F45" s="328"/>
      <c r="G45" s="328"/>
      <c r="H45" s="1073"/>
      <c r="I45" s="1073"/>
      <c r="L45" s="328">
        <f>SUM(L33:L44)</f>
        <v>0</v>
      </c>
      <c r="M45" s="328"/>
      <c r="N45" s="328"/>
      <c r="O45" s="328"/>
      <c r="P45" s="332">
        <f>SUM(P33:P44)</f>
        <v>0</v>
      </c>
    </row>
    <row r="46" spans="1:16">
      <c r="A46" s="827">
        <v>37</v>
      </c>
      <c r="B46" s="1070"/>
      <c r="C46" s="1021"/>
      <c r="D46" s="1021"/>
      <c r="E46" s="1021"/>
      <c r="F46" s="328"/>
      <c r="G46" s="328"/>
      <c r="H46" s="1073"/>
      <c r="I46" s="1073"/>
      <c r="L46" s="328"/>
      <c r="M46" s="328"/>
      <c r="N46" s="328"/>
      <c r="O46" s="328"/>
      <c r="P46" s="332"/>
    </row>
    <row r="47" spans="1:16">
      <c r="A47" s="827">
        <v>38</v>
      </c>
      <c r="B47" s="1070"/>
      <c r="C47" s="1021"/>
      <c r="D47" s="1021"/>
      <c r="E47" s="1021"/>
      <c r="F47" s="328"/>
      <c r="G47" s="328"/>
      <c r="H47" s="1073"/>
      <c r="I47" s="1073"/>
      <c r="L47" s="128" t="s">
        <v>1132</v>
      </c>
      <c r="M47" s="328"/>
      <c r="N47" s="328"/>
      <c r="O47" s="328"/>
      <c r="P47" s="332"/>
    </row>
    <row r="48" spans="1:16">
      <c r="A48" s="827">
        <v>39</v>
      </c>
      <c r="B48" s="1070"/>
      <c r="C48" s="1021"/>
      <c r="D48" s="1021"/>
      <c r="E48" s="1021"/>
      <c r="F48" s="328"/>
      <c r="G48" s="328"/>
      <c r="H48" s="1073"/>
      <c r="I48" s="1073"/>
      <c r="L48" s="128"/>
      <c r="M48" s="328"/>
      <c r="N48" s="328"/>
      <c r="O48" s="328"/>
      <c r="P48" s="332"/>
    </row>
    <row r="49" spans="1:18">
      <c r="A49" s="827">
        <v>40</v>
      </c>
      <c r="B49" s="1070" t="s">
        <v>146</v>
      </c>
      <c r="C49" s="1021"/>
      <c r="D49" s="1021" t="s">
        <v>169</v>
      </c>
      <c r="E49" s="1021"/>
      <c r="F49" s="328">
        <f>P45</f>
        <v>0</v>
      </c>
      <c r="G49" s="328"/>
      <c r="H49" s="1072"/>
      <c r="I49" s="1073"/>
      <c r="J49" s="1074">
        <v>12</v>
      </c>
      <c r="K49" s="1021"/>
      <c r="L49" s="328">
        <f>+J49*H49*F49</f>
        <v>0</v>
      </c>
      <c r="M49" s="328"/>
      <c r="N49" s="328" t="s">
        <v>10</v>
      </c>
      <c r="O49" s="328"/>
      <c r="P49" s="332">
        <f>+F49+L49</f>
        <v>0</v>
      </c>
    </row>
    <row r="50" spans="1:18">
      <c r="A50" s="827">
        <v>41</v>
      </c>
      <c r="B50" s="1070" t="s">
        <v>146</v>
      </c>
      <c r="C50" s="1021"/>
      <c r="D50" s="1021" t="s">
        <v>168</v>
      </c>
      <c r="E50" s="1021"/>
      <c r="F50" s="1051">
        <f>P49</f>
        <v>0</v>
      </c>
      <c r="G50" s="1051"/>
      <c r="H50" s="1072"/>
      <c r="I50" s="1073"/>
      <c r="J50" s="1074">
        <v>12</v>
      </c>
      <c r="K50" s="1021"/>
      <c r="L50" s="328">
        <f>+J50*H50*F50</f>
        <v>0</v>
      </c>
      <c r="M50" s="328"/>
      <c r="N50" s="328"/>
      <c r="O50" s="328"/>
      <c r="P50" s="332">
        <f>+F50+L50</f>
        <v>0</v>
      </c>
    </row>
    <row r="51" spans="1:18">
      <c r="A51" s="827">
        <v>42</v>
      </c>
      <c r="B51" s="1070" t="s">
        <v>146</v>
      </c>
      <c r="C51" s="1021"/>
      <c r="D51" s="324" t="s">
        <v>172</v>
      </c>
      <c r="E51" s="1021"/>
      <c r="F51" s="1051">
        <f>P50</f>
        <v>0</v>
      </c>
      <c r="G51" s="1051"/>
      <c r="H51" s="1072"/>
      <c r="I51" s="1073"/>
      <c r="J51" s="1074">
        <v>12</v>
      </c>
      <c r="K51" s="1021"/>
      <c r="L51" s="328">
        <f>+J51*H51*F51</f>
        <v>0</v>
      </c>
      <c r="M51" s="328"/>
      <c r="N51" s="328"/>
      <c r="O51" s="328"/>
      <c r="P51" s="332">
        <f>+F51+L51</f>
        <v>0</v>
      </c>
    </row>
    <row r="52" spans="1:18">
      <c r="A52" s="827">
        <v>43</v>
      </c>
      <c r="B52" s="1070" t="s">
        <v>146</v>
      </c>
      <c r="C52" s="1021"/>
      <c r="D52" s="1021" t="s">
        <v>484</v>
      </c>
      <c r="E52" s="1021"/>
      <c r="F52" s="1051">
        <f>P51</f>
        <v>0</v>
      </c>
      <c r="G52" s="1051"/>
      <c r="H52" s="1072"/>
      <c r="I52" s="1073"/>
      <c r="J52" s="1074">
        <v>12</v>
      </c>
      <c r="K52" s="1021"/>
      <c r="L52" s="328">
        <f>+J52*H52*F52</f>
        <v>0</v>
      </c>
      <c r="M52" s="328"/>
      <c r="N52" s="328"/>
      <c r="O52" s="328"/>
      <c r="P52" s="332">
        <f>+F52+L52</f>
        <v>0</v>
      </c>
    </row>
    <row r="53" spans="1:18">
      <c r="A53" s="827">
        <v>44</v>
      </c>
      <c r="B53" s="1070" t="s">
        <v>146</v>
      </c>
      <c r="C53" s="1021"/>
      <c r="D53" s="1021" t="s">
        <v>485</v>
      </c>
      <c r="E53" s="1021"/>
      <c r="F53" s="1051">
        <f>P52</f>
        <v>0</v>
      </c>
      <c r="G53" s="1051"/>
      <c r="H53" s="1072"/>
      <c r="I53" s="1073"/>
      <c r="J53" s="1074">
        <v>12</v>
      </c>
      <c r="K53" s="1021"/>
      <c r="L53" s="328">
        <f>+J53*H53*F53</f>
        <v>0</v>
      </c>
      <c r="M53" s="328"/>
      <c r="N53" s="328"/>
      <c r="O53" s="328"/>
      <c r="P53" s="332">
        <f>+F53+L53</f>
        <v>0</v>
      </c>
    </row>
    <row r="54" spans="1:18">
      <c r="A54" s="827">
        <v>45</v>
      </c>
      <c r="B54" s="1070"/>
      <c r="C54" s="1021"/>
      <c r="D54" s="1021"/>
      <c r="E54" s="1021"/>
      <c r="F54" s="1051"/>
      <c r="G54" s="1051"/>
      <c r="H54" s="1073"/>
      <c r="I54" s="1073"/>
      <c r="J54" s="1021"/>
      <c r="K54" s="1021"/>
      <c r="L54" s="328"/>
      <c r="M54" s="328"/>
      <c r="N54" s="328"/>
      <c r="O54" s="328"/>
      <c r="P54" s="332"/>
    </row>
    <row r="55" spans="1:18">
      <c r="A55" s="827">
        <v>46</v>
      </c>
      <c r="B55" s="1070"/>
      <c r="C55" s="1021"/>
      <c r="D55" s="1021"/>
      <c r="E55" s="1021"/>
      <c r="F55" s="1051"/>
      <c r="G55" s="1051"/>
      <c r="H55" s="1073"/>
      <c r="I55" s="1073"/>
      <c r="J55" s="1021"/>
      <c r="K55" s="1021"/>
      <c r="L55" s="328"/>
      <c r="M55" s="328"/>
      <c r="N55" s="328"/>
      <c r="O55" s="328"/>
      <c r="P55" s="329"/>
    </row>
    <row r="56" spans="1:18">
      <c r="A56" s="827">
        <v>47</v>
      </c>
      <c r="B56" s="1076" t="s">
        <v>147</v>
      </c>
      <c r="C56" s="1077"/>
      <c r="D56" s="1021"/>
      <c r="E56" s="1021"/>
      <c r="F56" s="328"/>
      <c r="G56" s="328"/>
      <c r="H56" s="1073"/>
      <c r="I56" s="1073"/>
      <c r="J56" s="1021"/>
      <c r="K56" s="1021"/>
      <c r="L56" s="128" t="s">
        <v>144</v>
      </c>
      <c r="M56" s="128"/>
      <c r="N56" s="328"/>
      <c r="O56" s="328"/>
      <c r="P56" s="329"/>
    </row>
    <row r="57" spans="1:18">
      <c r="A57" s="827">
        <v>48</v>
      </c>
      <c r="B57" s="1070" t="s">
        <v>105</v>
      </c>
      <c r="C57" s="1021"/>
      <c r="D57" s="1021" t="s">
        <v>486</v>
      </c>
      <c r="E57" s="1021"/>
      <c r="F57" s="1078">
        <f>-P53</f>
        <v>0</v>
      </c>
      <c r="G57" s="1051"/>
      <c r="H57" s="1072"/>
      <c r="I57" s="1073"/>
      <c r="J57" s="1021"/>
      <c r="K57" s="1021"/>
      <c r="L57" s="328">
        <f t="shared" ref="L57:L68" si="5" xml:space="preserve"> -H57*F57</f>
        <v>0</v>
      </c>
      <c r="M57" s="328"/>
      <c r="N57" s="328">
        <f>-PMT(H57,12,P53)</f>
        <v>0</v>
      </c>
      <c r="O57" s="328"/>
      <c r="P57" s="329">
        <f t="shared" ref="P57:P68" si="6">(+F57+F57*H57+N57)*-1</f>
        <v>0</v>
      </c>
      <c r="Q57" s="1051"/>
      <c r="R57" s="1079"/>
    </row>
    <row r="58" spans="1:18">
      <c r="A58" s="827">
        <v>49</v>
      </c>
      <c r="B58" s="1070" t="s">
        <v>104</v>
      </c>
      <c r="C58" s="1021"/>
      <c r="D58" s="1021" t="str">
        <f>+D57</f>
        <v>Year 2021</v>
      </c>
      <c r="E58" s="1021"/>
      <c r="F58" s="1051">
        <f t="shared" ref="F58:F68" si="7">-P57</f>
        <v>0</v>
      </c>
      <c r="G58" s="1051"/>
      <c r="H58" s="1072"/>
      <c r="I58" s="1073"/>
      <c r="J58" s="1021"/>
      <c r="K58" s="1021"/>
      <c r="L58" s="328">
        <f t="shared" si="5"/>
        <v>0</v>
      </c>
      <c r="M58" s="328"/>
      <c r="N58" s="328">
        <f t="shared" ref="N58:N68" si="8">N57</f>
        <v>0</v>
      </c>
      <c r="O58" s="328"/>
      <c r="P58" s="329">
        <f t="shared" si="6"/>
        <v>0</v>
      </c>
      <c r="Q58" s="1051"/>
      <c r="R58" s="1079"/>
    </row>
    <row r="59" spans="1:18">
      <c r="A59" s="827">
        <v>50</v>
      </c>
      <c r="B59" s="1070" t="s">
        <v>103</v>
      </c>
      <c r="C59" s="1021"/>
      <c r="D59" s="1021" t="str">
        <f>+D58</f>
        <v>Year 2021</v>
      </c>
      <c r="E59" s="1021"/>
      <c r="F59" s="1051">
        <f t="shared" si="7"/>
        <v>0</v>
      </c>
      <c r="G59" s="1051"/>
      <c r="H59" s="1072"/>
      <c r="I59" s="1073"/>
      <c r="J59" s="1021"/>
      <c r="K59" s="1021"/>
      <c r="L59" s="328">
        <f t="shared" si="5"/>
        <v>0</v>
      </c>
      <c r="M59" s="328"/>
      <c r="N59" s="328">
        <f t="shared" si="8"/>
        <v>0</v>
      </c>
      <c r="O59" s="328"/>
      <c r="P59" s="329">
        <f t="shared" si="6"/>
        <v>0</v>
      </c>
      <c r="Q59" s="1051"/>
      <c r="R59" s="1079"/>
    </row>
    <row r="60" spans="1:18">
      <c r="A60" s="827">
        <v>51</v>
      </c>
      <c r="B60" s="1070" t="s">
        <v>95</v>
      </c>
      <c r="C60" s="1021"/>
      <c r="D60" s="1021" t="str">
        <f>+D59</f>
        <v>Year 2021</v>
      </c>
      <c r="E60" s="1021"/>
      <c r="F60" s="1051">
        <f t="shared" si="7"/>
        <v>0</v>
      </c>
      <c r="G60" s="1051"/>
      <c r="H60" s="1072"/>
      <c r="I60" s="1073"/>
      <c r="J60" s="1021"/>
      <c r="K60" s="1021"/>
      <c r="L60" s="328">
        <f t="shared" si="5"/>
        <v>0</v>
      </c>
      <c r="M60" s="328"/>
      <c r="N60" s="328">
        <f t="shared" si="8"/>
        <v>0</v>
      </c>
      <c r="O60" s="328"/>
      <c r="P60" s="329">
        <f t="shared" si="6"/>
        <v>0</v>
      </c>
      <c r="Q60" s="1051"/>
      <c r="R60" s="1079"/>
    </row>
    <row r="61" spans="1:18">
      <c r="A61" s="827">
        <v>52</v>
      </c>
      <c r="B61" s="1070" t="s">
        <v>92</v>
      </c>
      <c r="C61" s="1021"/>
      <c r="D61" s="1021" t="str">
        <f>+D60</f>
        <v>Year 2021</v>
      </c>
      <c r="E61" s="1021"/>
      <c r="F61" s="1051">
        <f t="shared" si="7"/>
        <v>0</v>
      </c>
      <c r="G61" s="1051"/>
      <c r="H61" s="1072"/>
      <c r="I61" s="1073"/>
      <c r="J61" s="1021"/>
      <c r="K61" s="1021"/>
      <c r="L61" s="328">
        <f t="shared" si="5"/>
        <v>0</v>
      </c>
      <c r="M61" s="328"/>
      <c r="N61" s="328">
        <f t="shared" si="8"/>
        <v>0</v>
      </c>
      <c r="O61" s="328"/>
      <c r="P61" s="329">
        <f t="shared" si="6"/>
        <v>0</v>
      </c>
      <c r="Q61" s="1051"/>
      <c r="R61" s="1079"/>
    </row>
    <row r="62" spans="1:18">
      <c r="A62" s="827">
        <v>53</v>
      </c>
      <c r="B62" s="1070" t="s">
        <v>145</v>
      </c>
      <c r="C62" s="1021"/>
      <c r="D62" s="1021" t="str">
        <f>D61</f>
        <v>Year 2021</v>
      </c>
      <c r="E62" s="1021"/>
      <c r="F62" s="1051">
        <f t="shared" si="7"/>
        <v>0</v>
      </c>
      <c r="G62" s="1051"/>
      <c r="H62" s="1072"/>
      <c r="I62" s="1073"/>
      <c r="J62" s="1021"/>
      <c r="K62" s="1021"/>
      <c r="L62" s="328">
        <f t="shared" si="5"/>
        <v>0</v>
      </c>
      <c r="M62" s="328"/>
      <c r="N62" s="328">
        <f t="shared" si="8"/>
        <v>0</v>
      </c>
      <c r="O62" s="328"/>
      <c r="P62" s="329">
        <f t="shared" si="6"/>
        <v>0</v>
      </c>
      <c r="Q62" s="1051"/>
      <c r="R62" s="1079"/>
    </row>
    <row r="63" spans="1:18">
      <c r="A63" s="827">
        <v>54</v>
      </c>
      <c r="B63" s="1070" t="s">
        <v>102</v>
      </c>
      <c r="C63" s="1021"/>
      <c r="D63" s="1021" t="str">
        <f t="shared" ref="D63:D68" si="9">+D62</f>
        <v>Year 2021</v>
      </c>
      <c r="E63" s="1021"/>
      <c r="F63" s="1051">
        <f t="shared" si="7"/>
        <v>0</v>
      </c>
      <c r="G63" s="1051"/>
      <c r="H63" s="1072"/>
      <c r="I63" s="1073"/>
      <c r="J63" s="1021"/>
      <c r="K63" s="1021"/>
      <c r="L63" s="328">
        <f t="shared" si="5"/>
        <v>0</v>
      </c>
      <c r="M63" s="328"/>
      <c r="N63" s="328">
        <f t="shared" si="8"/>
        <v>0</v>
      </c>
      <c r="O63" s="328"/>
      <c r="P63" s="329">
        <f t="shared" si="6"/>
        <v>0</v>
      </c>
      <c r="Q63" s="1051"/>
      <c r="R63" s="1079"/>
    </row>
    <row r="64" spans="1:18">
      <c r="A64" s="827">
        <v>55</v>
      </c>
      <c r="B64" s="1070" t="s">
        <v>101</v>
      </c>
      <c r="C64" s="1021"/>
      <c r="D64" s="1021" t="str">
        <f t="shared" si="9"/>
        <v>Year 2021</v>
      </c>
      <c r="E64" s="1021"/>
      <c r="F64" s="1051">
        <f t="shared" si="7"/>
        <v>0</v>
      </c>
      <c r="G64" s="1051"/>
      <c r="H64" s="1072"/>
      <c r="I64" s="1073"/>
      <c r="J64" s="1021"/>
      <c r="K64" s="1021"/>
      <c r="L64" s="328">
        <f t="shared" si="5"/>
        <v>0</v>
      </c>
      <c r="M64" s="328"/>
      <c r="N64" s="328">
        <f t="shared" si="8"/>
        <v>0</v>
      </c>
      <c r="O64" s="328"/>
      <c r="P64" s="329">
        <f t="shared" si="6"/>
        <v>0</v>
      </c>
      <c r="Q64" s="1051"/>
      <c r="R64" s="1079"/>
    </row>
    <row r="65" spans="1:18">
      <c r="A65" s="827">
        <v>56</v>
      </c>
      <c r="B65" s="1070" t="s">
        <v>100</v>
      </c>
      <c r="C65" s="1021"/>
      <c r="D65" s="1021" t="str">
        <f t="shared" si="9"/>
        <v>Year 2021</v>
      </c>
      <c r="E65" s="1021"/>
      <c r="F65" s="1051">
        <f t="shared" si="7"/>
        <v>0</v>
      </c>
      <c r="G65" s="1051"/>
      <c r="H65" s="1072"/>
      <c r="I65" s="1073"/>
      <c r="J65" s="1021"/>
      <c r="K65" s="1021"/>
      <c r="L65" s="328">
        <f t="shared" si="5"/>
        <v>0</v>
      </c>
      <c r="M65" s="328"/>
      <c r="N65" s="328">
        <f t="shared" si="8"/>
        <v>0</v>
      </c>
      <c r="O65" s="328"/>
      <c r="P65" s="329">
        <f t="shared" si="6"/>
        <v>0</v>
      </c>
      <c r="Q65" s="1051"/>
      <c r="R65" s="1079"/>
    </row>
    <row r="66" spans="1:18">
      <c r="A66" s="827">
        <v>57</v>
      </c>
      <c r="B66" s="1070" t="s">
        <v>106</v>
      </c>
      <c r="C66" s="1021"/>
      <c r="D66" s="1021" t="str">
        <f t="shared" si="9"/>
        <v>Year 2021</v>
      </c>
      <c r="E66" s="1021"/>
      <c r="F66" s="1051">
        <f t="shared" si="7"/>
        <v>0</v>
      </c>
      <c r="G66" s="1051"/>
      <c r="H66" s="1072"/>
      <c r="I66" s="1073"/>
      <c r="J66" s="1021"/>
      <c r="K66" s="1021"/>
      <c r="L66" s="328">
        <f t="shared" si="5"/>
        <v>0</v>
      </c>
      <c r="M66" s="328"/>
      <c r="N66" s="328">
        <f t="shared" si="8"/>
        <v>0</v>
      </c>
      <c r="O66" s="328"/>
      <c r="P66" s="329">
        <f t="shared" si="6"/>
        <v>0</v>
      </c>
      <c r="Q66" s="1051"/>
      <c r="R66" s="1079"/>
    </row>
    <row r="67" spans="1:18">
      <c r="A67" s="827">
        <v>58</v>
      </c>
      <c r="B67" s="1070" t="s">
        <v>99</v>
      </c>
      <c r="C67" s="1021"/>
      <c r="D67" s="1021" t="str">
        <f t="shared" si="9"/>
        <v>Year 2021</v>
      </c>
      <c r="E67" s="1021"/>
      <c r="F67" s="1051">
        <f t="shared" si="7"/>
        <v>0</v>
      </c>
      <c r="G67" s="1051"/>
      <c r="H67" s="1072"/>
      <c r="I67" s="1073"/>
      <c r="J67" s="1021"/>
      <c r="K67" s="1021"/>
      <c r="L67" s="328">
        <f t="shared" si="5"/>
        <v>0</v>
      </c>
      <c r="M67" s="328"/>
      <c r="N67" s="328">
        <f t="shared" si="8"/>
        <v>0</v>
      </c>
      <c r="O67" s="328"/>
      <c r="P67" s="329">
        <f t="shared" si="6"/>
        <v>0</v>
      </c>
      <c r="Q67" s="1051"/>
      <c r="R67" s="1079"/>
    </row>
    <row r="68" spans="1:18">
      <c r="A68" s="827">
        <v>59</v>
      </c>
      <c r="B68" s="1070" t="s">
        <v>98</v>
      </c>
      <c r="C68" s="1021"/>
      <c r="D68" s="1021" t="str">
        <f t="shared" si="9"/>
        <v>Year 2021</v>
      </c>
      <c r="E68" s="1021"/>
      <c r="F68" s="1051">
        <f t="shared" si="7"/>
        <v>0</v>
      </c>
      <c r="G68" s="1051"/>
      <c r="H68" s="1072"/>
      <c r="I68" s="1073"/>
      <c r="J68" s="1021"/>
      <c r="K68" s="1021"/>
      <c r="L68" s="331">
        <f t="shared" si="5"/>
        <v>0</v>
      </c>
      <c r="M68" s="328"/>
      <c r="N68" s="328">
        <f t="shared" si="8"/>
        <v>0</v>
      </c>
      <c r="O68" s="328"/>
      <c r="P68" s="329">
        <f t="shared" si="6"/>
        <v>0</v>
      </c>
      <c r="Q68" s="1051"/>
      <c r="R68" s="1079"/>
    </row>
    <row r="69" spans="1:18" ht="24" customHeight="1">
      <c r="A69" s="827">
        <v>60</v>
      </c>
      <c r="B69" s="1070"/>
      <c r="C69" s="1021"/>
      <c r="D69" s="1021"/>
      <c r="E69" s="1021"/>
      <c r="F69" s="1051"/>
      <c r="G69" s="1051"/>
      <c r="H69" s="1073"/>
      <c r="I69" s="1073"/>
      <c r="J69" s="1021"/>
      <c r="K69" s="1021"/>
      <c r="L69" s="328">
        <f>SUM(L57:L68)</f>
        <v>0</v>
      </c>
      <c r="M69" s="328"/>
      <c r="N69" s="328"/>
      <c r="O69" s="328"/>
      <c r="P69" s="329"/>
      <c r="Q69" s="1051"/>
      <c r="R69" s="1079"/>
    </row>
    <row r="70" spans="1:18">
      <c r="A70" s="827">
        <v>61</v>
      </c>
      <c r="B70" s="1080"/>
      <c r="P70" s="1081"/>
    </row>
    <row r="71" spans="1:18">
      <c r="A71" s="827">
        <v>62</v>
      </c>
      <c r="B71" s="1070" t="s">
        <v>174</v>
      </c>
      <c r="C71" s="1021"/>
      <c r="F71" s="324" t="s">
        <v>1133</v>
      </c>
      <c r="N71" s="333">
        <f>SUM(N57:N68)</f>
        <v>0</v>
      </c>
      <c r="P71" s="1081"/>
    </row>
    <row r="72" spans="1:18">
      <c r="A72" s="827">
        <v>63</v>
      </c>
      <c r="B72" s="1070" t="s">
        <v>148</v>
      </c>
      <c r="C72" s="1021"/>
      <c r="F72" s="324" t="s">
        <v>953</v>
      </c>
      <c r="N72" s="333">
        <f>L10</f>
        <v>0</v>
      </c>
      <c r="P72" s="1081"/>
    </row>
    <row r="73" spans="1:18">
      <c r="A73" s="827">
        <v>64</v>
      </c>
      <c r="B73" s="1082" t="s">
        <v>149</v>
      </c>
      <c r="C73" s="1083"/>
      <c r="D73" s="566"/>
      <c r="E73" s="566"/>
      <c r="F73" s="566" t="s">
        <v>955</v>
      </c>
      <c r="G73" s="566"/>
      <c r="H73" s="566"/>
      <c r="I73" s="566"/>
      <c r="J73" s="566"/>
      <c r="K73" s="566"/>
      <c r="L73" s="566"/>
      <c r="M73" s="566"/>
      <c r="N73" s="335">
        <f>(N71+N72)</f>
        <v>0</v>
      </c>
      <c r="O73" s="566"/>
      <c r="P73" s="1084"/>
    </row>
    <row r="74" spans="1:18">
      <c r="A74" s="827">
        <v>65</v>
      </c>
    </row>
    <row r="75" spans="1:18">
      <c r="A75" s="827">
        <v>66</v>
      </c>
      <c r="P75" s="364" t="s">
        <v>946</v>
      </c>
    </row>
    <row r="76" spans="1:18">
      <c r="A76" s="827">
        <v>67</v>
      </c>
      <c r="B76" s="1150" t="s">
        <v>155</v>
      </c>
      <c r="C76" s="1150"/>
      <c r="D76" s="1150"/>
      <c r="E76" s="1150"/>
      <c r="F76" s="1150"/>
      <c r="G76" s="1150"/>
      <c r="H76" s="1150"/>
      <c r="I76" s="1150"/>
      <c r="J76" s="1150"/>
      <c r="K76" s="1150"/>
      <c r="L76" s="1150"/>
      <c r="M76" s="1150"/>
      <c r="N76" s="1150"/>
    </row>
    <row r="77" spans="1:18">
      <c r="A77" s="827">
        <v>68</v>
      </c>
      <c r="B77" s="1125" t="str">
        <f>+H3</f>
        <v>Gridliance High Plains LLC</v>
      </c>
      <c r="C77" s="1125"/>
      <c r="D77" s="1125"/>
      <c r="E77" s="1125"/>
      <c r="F77" s="1125"/>
      <c r="G77" s="1125"/>
      <c r="H77" s="1125"/>
      <c r="I77" s="1125"/>
      <c r="J77" s="1125"/>
      <c r="K77" s="1125"/>
      <c r="L77" s="1125"/>
      <c r="M77" s="1125"/>
      <c r="N77" s="1125"/>
    </row>
    <row r="78" spans="1:18" ht="3" customHeight="1">
      <c r="A78" s="827">
        <v>69</v>
      </c>
      <c r="B78" s="1150"/>
      <c r="C78" s="1150"/>
      <c r="D78" s="1150"/>
      <c r="E78" s="1150"/>
      <c r="F78" s="1150"/>
      <c r="G78" s="1150"/>
      <c r="H78" s="1150"/>
      <c r="I78" s="1150"/>
      <c r="J78" s="1150"/>
      <c r="K78" s="1150"/>
      <c r="L78" s="1150"/>
      <c r="M78" s="1150"/>
      <c r="N78" s="1150"/>
    </row>
    <row r="79" spans="1:18">
      <c r="A79" s="827">
        <v>70</v>
      </c>
      <c r="B79" s="1021"/>
      <c r="C79" s="1021"/>
      <c r="H79" s="1085"/>
      <c r="I79" s="1085"/>
      <c r="N79" s="336"/>
    </row>
    <row r="80" spans="1:18">
      <c r="A80" s="827">
        <v>71</v>
      </c>
      <c r="B80" s="1060" t="s">
        <v>544</v>
      </c>
      <c r="C80" s="1061"/>
      <c r="D80" s="1062"/>
      <c r="E80" s="1062"/>
      <c r="F80" s="1062"/>
      <c r="G80" s="1062"/>
      <c r="H80" s="1063"/>
      <c r="I80" s="1063"/>
      <c r="J80" s="1063"/>
      <c r="K80" s="1063"/>
      <c r="L80" s="1064"/>
      <c r="M80" s="1064"/>
      <c r="N80" s="1062"/>
      <c r="O80" s="1062"/>
      <c r="P80" s="1065"/>
    </row>
    <row r="81" spans="1:16">
      <c r="A81" s="827">
        <v>72</v>
      </c>
      <c r="B81" s="1066"/>
      <c r="C81" s="1067"/>
      <c r="D81" s="1023"/>
      <c r="E81" s="1023"/>
      <c r="F81" s="1023"/>
      <c r="G81" s="1023"/>
      <c r="H81" s="1021"/>
      <c r="I81" s="1021"/>
      <c r="J81" s="1021"/>
      <c r="K81" s="1021"/>
      <c r="L81" s="1024" t="s">
        <v>144</v>
      </c>
      <c r="M81" s="1024"/>
      <c r="N81" s="1023"/>
      <c r="O81" s="1023"/>
      <c r="P81" s="1068"/>
    </row>
    <row r="82" spans="1:16">
      <c r="A82" s="827">
        <v>73</v>
      </c>
      <c r="B82" s="1069"/>
      <c r="C82" s="1067"/>
      <c r="D82" s="1023"/>
      <c r="E82" s="1023"/>
      <c r="F82" s="1023"/>
      <c r="G82" s="1023"/>
      <c r="H82" s="1021"/>
      <c r="I82" s="1021"/>
      <c r="J82" s="1021"/>
      <c r="K82" s="1021"/>
      <c r="L82" s="1024"/>
      <c r="M82" s="1024"/>
      <c r="N82" s="1023"/>
      <c r="O82" s="1023"/>
      <c r="P82" s="1068"/>
    </row>
    <row r="83" spans="1:16">
      <c r="A83" s="827">
        <v>74</v>
      </c>
      <c r="B83" s="1070" t="s">
        <v>105</v>
      </c>
      <c r="C83" s="1021"/>
      <c r="D83" s="1021" t="str">
        <f>+D49</f>
        <v>Year 2016</v>
      </c>
      <c r="E83" s="1021"/>
      <c r="F83" s="1071"/>
      <c r="G83" s="328"/>
      <c r="H83" s="1072"/>
      <c r="I83" s="1073"/>
      <c r="J83" s="1074">
        <v>12</v>
      </c>
      <c r="K83" s="1021"/>
      <c r="L83" s="328">
        <f t="shared" ref="L83:L94" si="10">H83*F83*J83*-1</f>
        <v>0</v>
      </c>
      <c r="M83" s="328"/>
      <c r="N83" s="328"/>
      <c r="O83" s="328"/>
      <c r="P83" s="329">
        <f t="shared" ref="P83:P94" si="11">(-L83+F83)*-1</f>
        <v>0</v>
      </c>
    </row>
    <row r="84" spans="1:16">
      <c r="A84" s="827">
        <v>75</v>
      </c>
      <c r="B84" s="1070" t="s">
        <v>104</v>
      </c>
      <c r="C84" s="1021"/>
      <c r="D84" s="1021" t="str">
        <f t="shared" ref="D84:D94" si="12">D83</f>
        <v>Year 2016</v>
      </c>
      <c r="E84" s="1021"/>
      <c r="F84" s="1071"/>
      <c r="G84" s="328"/>
      <c r="H84" s="1072"/>
      <c r="I84" s="1073"/>
      <c r="J84" s="1075">
        <f t="shared" ref="J84:J94" si="13">+J83-1</f>
        <v>11</v>
      </c>
      <c r="L84" s="328">
        <f t="shared" si="10"/>
        <v>0</v>
      </c>
      <c r="M84" s="328"/>
      <c r="N84" s="328"/>
      <c r="O84" s="328"/>
      <c r="P84" s="329">
        <f t="shared" si="11"/>
        <v>0</v>
      </c>
    </row>
    <row r="85" spans="1:16">
      <c r="A85" s="827">
        <v>76</v>
      </c>
      <c r="B85" s="1070" t="s">
        <v>103</v>
      </c>
      <c r="C85" s="1021"/>
      <c r="D85" s="1021" t="str">
        <f t="shared" si="12"/>
        <v>Year 2016</v>
      </c>
      <c r="E85" s="1021"/>
      <c r="F85" s="1071"/>
      <c r="G85" s="328"/>
      <c r="H85" s="1072"/>
      <c r="I85" s="1073"/>
      <c r="J85" s="1075">
        <f t="shared" si="13"/>
        <v>10</v>
      </c>
      <c r="L85" s="328">
        <f t="shared" si="10"/>
        <v>0</v>
      </c>
      <c r="M85" s="328"/>
      <c r="N85" s="328"/>
      <c r="O85" s="328"/>
      <c r="P85" s="329">
        <f t="shared" si="11"/>
        <v>0</v>
      </c>
    </row>
    <row r="86" spans="1:16">
      <c r="A86" s="827">
        <v>77</v>
      </c>
      <c r="B86" s="1070" t="s">
        <v>95</v>
      </c>
      <c r="C86" s="1021"/>
      <c r="D86" s="1021" t="str">
        <f t="shared" si="12"/>
        <v>Year 2016</v>
      </c>
      <c r="E86" s="1021"/>
      <c r="F86" s="1071"/>
      <c r="G86" s="328"/>
      <c r="H86" s="1072"/>
      <c r="I86" s="1073"/>
      <c r="J86" s="1075">
        <f t="shared" si="13"/>
        <v>9</v>
      </c>
      <c r="L86" s="328">
        <f t="shared" si="10"/>
        <v>0</v>
      </c>
      <c r="M86" s="328"/>
      <c r="N86" s="328"/>
      <c r="O86" s="328"/>
      <c r="P86" s="329">
        <f t="shared" si="11"/>
        <v>0</v>
      </c>
    </row>
    <row r="87" spans="1:16">
      <c r="A87" s="827">
        <v>78</v>
      </c>
      <c r="B87" s="1070" t="s">
        <v>92</v>
      </c>
      <c r="C87" s="1021"/>
      <c r="D87" s="1021" t="str">
        <f t="shared" si="12"/>
        <v>Year 2016</v>
      </c>
      <c r="E87" s="1021"/>
      <c r="F87" s="1071"/>
      <c r="G87" s="328"/>
      <c r="H87" s="1072"/>
      <c r="I87" s="1073"/>
      <c r="J87" s="1075">
        <f t="shared" si="13"/>
        <v>8</v>
      </c>
      <c r="L87" s="328">
        <f t="shared" si="10"/>
        <v>0</v>
      </c>
      <c r="M87" s="328"/>
      <c r="N87" s="328"/>
      <c r="O87" s="328"/>
      <c r="P87" s="329">
        <f t="shared" si="11"/>
        <v>0</v>
      </c>
    </row>
    <row r="88" spans="1:16">
      <c r="A88" s="827">
        <v>79</v>
      </c>
      <c r="B88" s="1070" t="s">
        <v>145</v>
      </c>
      <c r="C88" s="1021"/>
      <c r="D88" s="1021" t="str">
        <f t="shared" si="12"/>
        <v>Year 2016</v>
      </c>
      <c r="E88" s="1021"/>
      <c r="F88" s="1071"/>
      <c r="G88" s="328"/>
      <c r="H88" s="1072"/>
      <c r="I88" s="1073"/>
      <c r="J88" s="1075">
        <f t="shared" si="13"/>
        <v>7</v>
      </c>
      <c r="L88" s="328">
        <f t="shared" si="10"/>
        <v>0</v>
      </c>
      <c r="M88" s="328"/>
      <c r="N88" s="328"/>
      <c r="O88" s="328"/>
      <c r="P88" s="329">
        <f t="shared" si="11"/>
        <v>0</v>
      </c>
    </row>
    <row r="89" spans="1:16">
      <c r="A89" s="827">
        <v>80</v>
      </c>
      <c r="B89" s="1070" t="s">
        <v>102</v>
      </c>
      <c r="C89" s="1021"/>
      <c r="D89" s="1021" t="str">
        <f t="shared" si="12"/>
        <v>Year 2016</v>
      </c>
      <c r="E89" s="1021"/>
      <c r="F89" s="1071"/>
      <c r="G89" s="328"/>
      <c r="H89" s="1072"/>
      <c r="I89" s="1073"/>
      <c r="J89" s="1075">
        <f t="shared" si="13"/>
        <v>6</v>
      </c>
      <c r="L89" s="328">
        <f t="shared" si="10"/>
        <v>0</v>
      </c>
      <c r="M89" s="328"/>
      <c r="N89" s="328"/>
      <c r="O89" s="328"/>
      <c r="P89" s="329">
        <f t="shared" si="11"/>
        <v>0</v>
      </c>
    </row>
    <row r="90" spans="1:16">
      <c r="A90" s="827">
        <v>81</v>
      </c>
      <c r="B90" s="1070" t="s">
        <v>101</v>
      </c>
      <c r="C90" s="1021"/>
      <c r="D90" s="1021" t="str">
        <f t="shared" si="12"/>
        <v>Year 2016</v>
      </c>
      <c r="E90" s="1021"/>
      <c r="F90" s="1071"/>
      <c r="G90" s="328"/>
      <c r="H90" s="1072"/>
      <c r="I90" s="1073"/>
      <c r="J90" s="1075">
        <f t="shared" si="13"/>
        <v>5</v>
      </c>
      <c r="L90" s="328">
        <f t="shared" si="10"/>
        <v>0</v>
      </c>
      <c r="M90" s="328"/>
      <c r="N90" s="328"/>
      <c r="O90" s="328"/>
      <c r="P90" s="329">
        <f t="shared" si="11"/>
        <v>0</v>
      </c>
    </row>
    <row r="91" spans="1:16">
      <c r="A91" s="827">
        <v>82</v>
      </c>
      <c r="B91" s="1070" t="s">
        <v>100</v>
      </c>
      <c r="C91" s="1021"/>
      <c r="D91" s="1021" t="str">
        <f t="shared" si="12"/>
        <v>Year 2016</v>
      </c>
      <c r="E91" s="1021"/>
      <c r="F91" s="1071"/>
      <c r="G91" s="328"/>
      <c r="H91" s="1072"/>
      <c r="I91" s="1073"/>
      <c r="J91" s="1075">
        <f t="shared" si="13"/>
        <v>4</v>
      </c>
      <c r="L91" s="328">
        <f t="shared" si="10"/>
        <v>0</v>
      </c>
      <c r="M91" s="328"/>
      <c r="N91" s="328"/>
      <c r="O91" s="328"/>
      <c r="P91" s="329">
        <f t="shared" si="11"/>
        <v>0</v>
      </c>
    </row>
    <row r="92" spans="1:16">
      <c r="A92" s="827">
        <v>83</v>
      </c>
      <c r="B92" s="1070" t="s">
        <v>106</v>
      </c>
      <c r="C92" s="1021"/>
      <c r="D92" s="1021" t="str">
        <f t="shared" si="12"/>
        <v>Year 2016</v>
      </c>
      <c r="E92" s="1021"/>
      <c r="F92" s="1071"/>
      <c r="G92" s="328"/>
      <c r="H92" s="1072"/>
      <c r="I92" s="1073"/>
      <c r="J92" s="1075">
        <f t="shared" si="13"/>
        <v>3</v>
      </c>
      <c r="L92" s="328">
        <f t="shared" si="10"/>
        <v>0</v>
      </c>
      <c r="M92" s="328"/>
      <c r="N92" s="328"/>
      <c r="O92" s="328"/>
      <c r="P92" s="329">
        <f t="shared" si="11"/>
        <v>0</v>
      </c>
    </row>
    <row r="93" spans="1:16">
      <c r="A93" s="827">
        <v>84</v>
      </c>
      <c r="B93" s="1070" t="s">
        <v>99</v>
      </c>
      <c r="C93" s="1021"/>
      <c r="D93" s="1021" t="str">
        <f t="shared" si="12"/>
        <v>Year 2016</v>
      </c>
      <c r="E93" s="1021"/>
      <c r="F93" s="1071"/>
      <c r="G93" s="328"/>
      <c r="H93" s="1072"/>
      <c r="I93" s="1073"/>
      <c r="J93" s="1075">
        <f t="shared" si="13"/>
        <v>2</v>
      </c>
      <c r="L93" s="328">
        <f t="shared" si="10"/>
        <v>0</v>
      </c>
      <c r="M93" s="328"/>
      <c r="N93" s="328"/>
      <c r="O93" s="328"/>
      <c r="P93" s="329">
        <f t="shared" si="11"/>
        <v>0</v>
      </c>
    </row>
    <row r="94" spans="1:16">
      <c r="A94" s="827">
        <v>85</v>
      </c>
      <c r="B94" s="1070" t="s">
        <v>98</v>
      </c>
      <c r="C94" s="1021"/>
      <c r="D94" s="1021" t="str">
        <f t="shared" si="12"/>
        <v>Year 2016</v>
      </c>
      <c r="E94" s="1021"/>
      <c r="F94" s="1071"/>
      <c r="G94" s="328"/>
      <c r="H94" s="1072"/>
      <c r="I94" s="1073"/>
      <c r="J94" s="1075">
        <f t="shared" si="13"/>
        <v>1</v>
      </c>
      <c r="L94" s="331">
        <f t="shared" si="10"/>
        <v>0</v>
      </c>
      <c r="M94" s="328"/>
      <c r="N94" s="328"/>
      <c r="O94" s="328"/>
      <c r="P94" s="329">
        <f t="shared" si="11"/>
        <v>0</v>
      </c>
    </row>
    <row r="95" spans="1:16">
      <c r="A95" s="827">
        <v>86</v>
      </c>
      <c r="B95" s="1070"/>
      <c r="C95" s="1021"/>
      <c r="D95" s="1021"/>
      <c r="E95" s="1021"/>
      <c r="F95" s="328"/>
      <c r="G95" s="328"/>
      <c r="H95" s="1073"/>
      <c r="I95" s="1073"/>
      <c r="L95" s="328">
        <f>SUM(L83:L94)</f>
        <v>0</v>
      </c>
      <c r="M95" s="328"/>
      <c r="N95" s="328"/>
      <c r="O95" s="328"/>
      <c r="P95" s="332">
        <f>SUM(P83:P94)</f>
        <v>0</v>
      </c>
    </row>
    <row r="96" spans="1:16">
      <c r="A96" s="827">
        <v>87</v>
      </c>
      <c r="B96" s="1070"/>
      <c r="C96" s="1021"/>
      <c r="D96" s="1021"/>
      <c r="E96" s="1021"/>
      <c r="F96" s="328"/>
      <c r="G96" s="328"/>
      <c r="H96" s="1073"/>
      <c r="I96" s="1073"/>
      <c r="L96" s="328"/>
      <c r="M96" s="328"/>
      <c r="N96" s="328"/>
      <c r="O96" s="328"/>
      <c r="P96" s="332"/>
    </row>
    <row r="97" spans="1:16">
      <c r="A97" s="827">
        <v>88</v>
      </c>
      <c r="B97" s="1070"/>
      <c r="C97" s="1021"/>
      <c r="D97" s="1021"/>
      <c r="E97" s="1021"/>
      <c r="F97" s="328"/>
      <c r="G97" s="328"/>
      <c r="H97" s="1073"/>
      <c r="I97" s="1073"/>
      <c r="L97" s="128" t="s">
        <v>1132</v>
      </c>
      <c r="M97" s="328"/>
      <c r="N97" s="328"/>
      <c r="O97" s="328"/>
      <c r="P97" s="332"/>
    </row>
    <row r="98" spans="1:16">
      <c r="A98" s="827">
        <v>89</v>
      </c>
      <c r="B98" s="1070"/>
      <c r="C98" s="1021"/>
      <c r="D98" s="1021"/>
      <c r="E98" s="1021"/>
      <c r="F98" s="328"/>
      <c r="G98" s="328"/>
      <c r="H98" s="1073"/>
      <c r="I98" s="1073"/>
      <c r="L98" s="128"/>
      <c r="M98" s="328"/>
      <c r="N98" s="328"/>
      <c r="O98" s="328"/>
      <c r="P98" s="332"/>
    </row>
    <row r="99" spans="1:16">
      <c r="A99" s="827">
        <v>90</v>
      </c>
      <c r="B99" s="1070" t="s">
        <v>146</v>
      </c>
      <c r="C99" s="1021"/>
      <c r="D99" s="1021" t="str">
        <f>+D50</f>
        <v>Year 2017</v>
      </c>
      <c r="E99" s="1021"/>
      <c r="F99" s="1051">
        <f>P95</f>
        <v>0</v>
      </c>
      <c r="G99" s="1051"/>
      <c r="H99" s="1072"/>
      <c r="I99" s="1073"/>
      <c r="J99" s="1074">
        <v>12</v>
      </c>
      <c r="K99" s="1021"/>
      <c r="L99" s="328">
        <f>+J99*H99*F99</f>
        <v>0</v>
      </c>
      <c r="M99" s="328"/>
      <c r="N99" s="328"/>
      <c r="O99" s="328"/>
      <c r="P99" s="332">
        <f>+F99+L99</f>
        <v>0</v>
      </c>
    </row>
    <row r="100" spans="1:16">
      <c r="A100" s="827">
        <v>91</v>
      </c>
      <c r="B100" s="1070" t="s">
        <v>146</v>
      </c>
      <c r="C100" s="1021"/>
      <c r="D100" s="1021" t="str">
        <f>+D51</f>
        <v>Year 2018</v>
      </c>
      <c r="E100" s="1021"/>
      <c r="F100" s="1051">
        <f>P99</f>
        <v>0</v>
      </c>
      <c r="G100" s="1051"/>
      <c r="H100" s="1072"/>
      <c r="I100" s="1073"/>
      <c r="J100" s="1074">
        <v>12</v>
      </c>
      <c r="K100" s="1021"/>
      <c r="L100" s="328">
        <f>+J100*H100*F100</f>
        <v>0</v>
      </c>
      <c r="M100" s="328"/>
      <c r="N100" s="328"/>
      <c r="O100" s="328"/>
      <c r="P100" s="332">
        <f>+F100+L100</f>
        <v>0</v>
      </c>
    </row>
    <row r="101" spans="1:16">
      <c r="A101" s="827">
        <v>92</v>
      </c>
      <c r="B101" s="1070" t="s">
        <v>146</v>
      </c>
      <c r="C101" s="1021"/>
      <c r="D101" s="1021" t="str">
        <f>+D52</f>
        <v>Year 2019</v>
      </c>
      <c r="E101" s="1021"/>
      <c r="F101" s="1051">
        <f>P100</f>
        <v>0</v>
      </c>
      <c r="G101" s="1051"/>
      <c r="H101" s="1072"/>
      <c r="I101" s="1073"/>
      <c r="J101" s="1074">
        <v>12</v>
      </c>
      <c r="K101" s="1021"/>
      <c r="L101" s="328">
        <f>+J101*H101*F101</f>
        <v>0</v>
      </c>
      <c r="M101" s="328"/>
      <c r="N101" s="328"/>
      <c r="O101" s="328"/>
      <c r="P101" s="332">
        <f>+F101+L101</f>
        <v>0</v>
      </c>
    </row>
    <row r="102" spans="1:16">
      <c r="A102" s="827">
        <v>93</v>
      </c>
      <c r="B102" s="1070" t="s">
        <v>146</v>
      </c>
      <c r="C102" s="1021"/>
      <c r="D102" s="1021" t="str">
        <f>+D53</f>
        <v>Year 2020</v>
      </c>
      <c r="E102" s="1021"/>
      <c r="F102" s="1051">
        <f>P101</f>
        <v>0</v>
      </c>
      <c r="G102" s="1051"/>
      <c r="H102" s="1072"/>
      <c r="I102" s="1073"/>
      <c r="J102" s="1074">
        <v>12</v>
      </c>
      <c r="K102" s="1021"/>
      <c r="L102" s="328">
        <f>+J102*H102*F102</f>
        <v>0</v>
      </c>
      <c r="M102" s="328"/>
      <c r="N102" s="328"/>
      <c r="O102" s="328"/>
      <c r="P102" s="332">
        <f>+F102+L102</f>
        <v>0</v>
      </c>
    </row>
    <row r="103" spans="1:16">
      <c r="A103" s="827">
        <v>94</v>
      </c>
      <c r="B103" s="1070"/>
      <c r="C103" s="1021"/>
      <c r="D103" s="1021"/>
      <c r="E103" s="1021"/>
      <c r="F103" s="1051"/>
      <c r="G103" s="1051"/>
      <c r="H103" s="1073"/>
      <c r="I103" s="1073"/>
      <c r="J103" s="1021"/>
      <c r="K103" s="1021"/>
      <c r="L103" s="328"/>
      <c r="M103" s="328"/>
      <c r="N103" s="328"/>
      <c r="O103" s="328"/>
      <c r="P103" s="332"/>
    </row>
    <row r="104" spans="1:16">
      <c r="A104" s="827">
        <v>95</v>
      </c>
      <c r="B104" s="1070"/>
      <c r="C104" s="1021"/>
      <c r="D104" s="1021"/>
      <c r="E104" s="1021"/>
      <c r="F104" s="1051"/>
      <c r="G104" s="1051"/>
      <c r="H104" s="1073"/>
      <c r="I104" s="1073"/>
      <c r="J104" s="1021"/>
      <c r="K104" s="1021"/>
      <c r="L104" s="328"/>
      <c r="M104" s="328"/>
      <c r="N104" s="328"/>
      <c r="O104" s="328"/>
      <c r="P104" s="329"/>
    </row>
    <row r="105" spans="1:16">
      <c r="A105" s="827">
        <v>96</v>
      </c>
      <c r="B105" s="1076" t="s">
        <v>147</v>
      </c>
      <c r="C105" s="1077"/>
      <c r="D105" s="1021"/>
      <c r="E105" s="1021"/>
      <c r="F105" s="328"/>
      <c r="G105" s="328"/>
      <c r="H105" s="1073"/>
      <c r="I105" s="1073"/>
      <c r="J105" s="1021"/>
      <c r="K105" s="1021"/>
      <c r="L105" s="128" t="s">
        <v>144</v>
      </c>
      <c r="M105" s="128"/>
      <c r="N105" s="328"/>
      <c r="O105" s="328"/>
      <c r="P105" s="329"/>
    </row>
    <row r="106" spans="1:16">
      <c r="A106" s="827">
        <v>97</v>
      </c>
      <c r="B106" s="1070" t="s">
        <v>105</v>
      </c>
      <c r="C106" s="1021"/>
      <c r="D106" s="1021" t="str">
        <f>+D57</f>
        <v>Year 2021</v>
      </c>
      <c r="E106" s="1021"/>
      <c r="F106" s="1078">
        <f>-P102</f>
        <v>0</v>
      </c>
      <c r="G106" s="1051"/>
      <c r="H106" s="1072"/>
      <c r="I106" s="1073"/>
      <c r="J106" s="1021"/>
      <c r="K106" s="1021"/>
      <c r="L106" s="328">
        <f t="shared" ref="L106:L117" si="14" xml:space="preserve"> -H106*F106</f>
        <v>0</v>
      </c>
      <c r="M106" s="328"/>
      <c r="N106" s="328">
        <f>-PMT(H106,12,P102)</f>
        <v>0</v>
      </c>
      <c r="O106" s="328"/>
      <c r="P106" s="329">
        <f t="shared" ref="P106:P117" si="15">(+F106+F106*H106+N106)*-1</f>
        <v>0</v>
      </c>
    </row>
    <row r="107" spans="1:16">
      <c r="A107" s="827">
        <v>98</v>
      </c>
      <c r="B107" s="1070" t="s">
        <v>104</v>
      </c>
      <c r="C107" s="1021"/>
      <c r="D107" s="1021" t="str">
        <f>+D106</f>
        <v>Year 2021</v>
      </c>
      <c r="E107" s="1021"/>
      <c r="F107" s="1051">
        <f t="shared" ref="F107:F117" si="16">-P106</f>
        <v>0</v>
      </c>
      <c r="G107" s="1051"/>
      <c r="H107" s="1072"/>
      <c r="I107" s="1073"/>
      <c r="J107" s="1021"/>
      <c r="K107" s="1021"/>
      <c r="L107" s="328">
        <f t="shared" si="14"/>
        <v>0</v>
      </c>
      <c r="M107" s="328"/>
      <c r="N107" s="328">
        <f t="shared" ref="N107:N117" si="17">N106</f>
        <v>0</v>
      </c>
      <c r="O107" s="328"/>
      <c r="P107" s="329">
        <f t="shared" si="15"/>
        <v>0</v>
      </c>
    </row>
    <row r="108" spans="1:16">
      <c r="A108" s="827">
        <v>99</v>
      </c>
      <c r="B108" s="1070" t="s">
        <v>103</v>
      </c>
      <c r="C108" s="1021"/>
      <c r="D108" s="1021" t="str">
        <f>+D107</f>
        <v>Year 2021</v>
      </c>
      <c r="E108" s="1021"/>
      <c r="F108" s="1051">
        <f t="shared" si="16"/>
        <v>0</v>
      </c>
      <c r="G108" s="1051"/>
      <c r="H108" s="1072"/>
      <c r="I108" s="1073"/>
      <c r="J108" s="1021"/>
      <c r="K108" s="1021"/>
      <c r="L108" s="328">
        <f t="shared" si="14"/>
        <v>0</v>
      </c>
      <c r="M108" s="328"/>
      <c r="N108" s="328">
        <f t="shared" si="17"/>
        <v>0</v>
      </c>
      <c r="O108" s="328"/>
      <c r="P108" s="329">
        <f t="shared" si="15"/>
        <v>0</v>
      </c>
    </row>
    <row r="109" spans="1:16">
      <c r="A109" s="827">
        <v>100</v>
      </c>
      <c r="B109" s="1070" t="s">
        <v>95</v>
      </c>
      <c r="C109" s="1021"/>
      <c r="D109" s="1021" t="str">
        <f>+D108</f>
        <v>Year 2021</v>
      </c>
      <c r="E109" s="1021"/>
      <c r="F109" s="1051">
        <f t="shared" si="16"/>
        <v>0</v>
      </c>
      <c r="G109" s="1051"/>
      <c r="H109" s="1072"/>
      <c r="I109" s="1073"/>
      <c r="J109" s="1021"/>
      <c r="K109" s="1021"/>
      <c r="L109" s="328">
        <f t="shared" si="14"/>
        <v>0</v>
      </c>
      <c r="M109" s="328"/>
      <c r="N109" s="328">
        <f t="shared" si="17"/>
        <v>0</v>
      </c>
      <c r="O109" s="328"/>
      <c r="P109" s="329">
        <f t="shared" si="15"/>
        <v>0</v>
      </c>
    </row>
    <row r="110" spans="1:16">
      <c r="A110" s="827">
        <v>101</v>
      </c>
      <c r="B110" s="1070" t="s">
        <v>92</v>
      </c>
      <c r="C110" s="1021"/>
      <c r="D110" s="1021" t="str">
        <f>+D109</f>
        <v>Year 2021</v>
      </c>
      <c r="E110" s="1021"/>
      <c r="F110" s="1051">
        <f t="shared" si="16"/>
        <v>0</v>
      </c>
      <c r="G110" s="1051"/>
      <c r="H110" s="1072"/>
      <c r="I110" s="1073"/>
      <c r="J110" s="1021"/>
      <c r="K110" s="1021"/>
      <c r="L110" s="328">
        <f t="shared" si="14"/>
        <v>0</v>
      </c>
      <c r="M110" s="328"/>
      <c r="N110" s="328">
        <f t="shared" si="17"/>
        <v>0</v>
      </c>
      <c r="O110" s="328"/>
      <c r="P110" s="329">
        <f t="shared" si="15"/>
        <v>0</v>
      </c>
    </row>
    <row r="111" spans="1:16">
      <c r="A111" s="827">
        <v>102</v>
      </c>
      <c r="B111" s="1070" t="s">
        <v>145</v>
      </c>
      <c r="C111" s="1021"/>
      <c r="D111" s="1021" t="str">
        <f>D110</f>
        <v>Year 2021</v>
      </c>
      <c r="E111" s="1021"/>
      <c r="F111" s="1051">
        <f t="shared" si="16"/>
        <v>0</v>
      </c>
      <c r="G111" s="1051"/>
      <c r="H111" s="1072"/>
      <c r="I111" s="1073"/>
      <c r="J111" s="1021"/>
      <c r="K111" s="1021"/>
      <c r="L111" s="328">
        <f t="shared" si="14"/>
        <v>0</v>
      </c>
      <c r="M111" s="328"/>
      <c r="N111" s="328">
        <f t="shared" si="17"/>
        <v>0</v>
      </c>
      <c r="O111" s="328"/>
      <c r="P111" s="329">
        <f t="shared" si="15"/>
        <v>0</v>
      </c>
    </row>
    <row r="112" spans="1:16">
      <c r="A112" s="827">
        <v>103</v>
      </c>
      <c r="B112" s="1070" t="s">
        <v>102</v>
      </c>
      <c r="C112" s="1021"/>
      <c r="D112" s="1021" t="str">
        <f t="shared" ref="D112:D117" si="18">+D111</f>
        <v>Year 2021</v>
      </c>
      <c r="E112" s="1021"/>
      <c r="F112" s="1051">
        <f t="shared" si="16"/>
        <v>0</v>
      </c>
      <c r="G112" s="1051"/>
      <c r="H112" s="1072"/>
      <c r="I112" s="1073"/>
      <c r="J112" s="1021"/>
      <c r="K112" s="1021"/>
      <c r="L112" s="328">
        <f t="shared" si="14"/>
        <v>0</v>
      </c>
      <c r="M112" s="328"/>
      <c r="N112" s="328">
        <f t="shared" si="17"/>
        <v>0</v>
      </c>
      <c r="O112" s="328"/>
      <c r="P112" s="329">
        <f t="shared" si="15"/>
        <v>0</v>
      </c>
    </row>
    <row r="113" spans="1:16">
      <c r="A113" s="827">
        <v>104</v>
      </c>
      <c r="B113" s="1070" t="s">
        <v>101</v>
      </c>
      <c r="C113" s="1021"/>
      <c r="D113" s="1021" t="str">
        <f t="shared" si="18"/>
        <v>Year 2021</v>
      </c>
      <c r="E113" s="1021"/>
      <c r="F113" s="1051">
        <f t="shared" si="16"/>
        <v>0</v>
      </c>
      <c r="G113" s="1051"/>
      <c r="H113" s="1072"/>
      <c r="I113" s="1073"/>
      <c r="J113" s="1021"/>
      <c r="K113" s="1021"/>
      <c r="L113" s="328">
        <f t="shared" si="14"/>
        <v>0</v>
      </c>
      <c r="M113" s="328"/>
      <c r="N113" s="328">
        <f t="shared" si="17"/>
        <v>0</v>
      </c>
      <c r="O113" s="328"/>
      <c r="P113" s="329">
        <f t="shared" si="15"/>
        <v>0</v>
      </c>
    </row>
    <row r="114" spans="1:16">
      <c r="A114" s="827">
        <v>105</v>
      </c>
      <c r="B114" s="1070" t="s">
        <v>100</v>
      </c>
      <c r="C114" s="1021"/>
      <c r="D114" s="1021" t="str">
        <f t="shared" si="18"/>
        <v>Year 2021</v>
      </c>
      <c r="E114" s="1021"/>
      <c r="F114" s="1051">
        <f t="shared" si="16"/>
        <v>0</v>
      </c>
      <c r="G114" s="1051"/>
      <c r="H114" s="1072"/>
      <c r="I114" s="1073"/>
      <c r="J114" s="1021"/>
      <c r="K114" s="1021"/>
      <c r="L114" s="328">
        <f t="shared" si="14"/>
        <v>0</v>
      </c>
      <c r="M114" s="328"/>
      <c r="N114" s="328">
        <f t="shared" si="17"/>
        <v>0</v>
      </c>
      <c r="O114" s="328"/>
      <c r="P114" s="329">
        <f t="shared" si="15"/>
        <v>0</v>
      </c>
    </row>
    <row r="115" spans="1:16">
      <c r="A115" s="827">
        <v>106</v>
      </c>
      <c r="B115" s="1070" t="s">
        <v>106</v>
      </c>
      <c r="C115" s="1021"/>
      <c r="D115" s="1021" t="str">
        <f t="shared" si="18"/>
        <v>Year 2021</v>
      </c>
      <c r="E115" s="1021"/>
      <c r="F115" s="1051">
        <f t="shared" si="16"/>
        <v>0</v>
      </c>
      <c r="G115" s="1051"/>
      <c r="H115" s="1072"/>
      <c r="I115" s="1073"/>
      <c r="J115" s="1021"/>
      <c r="K115" s="1021"/>
      <c r="L115" s="328">
        <f t="shared" si="14"/>
        <v>0</v>
      </c>
      <c r="M115" s="328"/>
      <c r="N115" s="328">
        <f t="shared" si="17"/>
        <v>0</v>
      </c>
      <c r="O115" s="328"/>
      <c r="P115" s="329">
        <f t="shared" si="15"/>
        <v>0</v>
      </c>
    </row>
    <row r="116" spans="1:16">
      <c r="A116" s="827">
        <v>107</v>
      </c>
      <c r="B116" s="1070" t="s">
        <v>99</v>
      </c>
      <c r="C116" s="1021"/>
      <c r="D116" s="1021" t="str">
        <f t="shared" si="18"/>
        <v>Year 2021</v>
      </c>
      <c r="E116" s="1021"/>
      <c r="F116" s="1051">
        <f t="shared" si="16"/>
        <v>0</v>
      </c>
      <c r="G116" s="1051"/>
      <c r="H116" s="1072"/>
      <c r="I116" s="1073"/>
      <c r="J116" s="1021"/>
      <c r="K116" s="1021"/>
      <c r="L116" s="328">
        <f t="shared" si="14"/>
        <v>0</v>
      </c>
      <c r="M116" s="328"/>
      <c r="N116" s="328">
        <f t="shared" si="17"/>
        <v>0</v>
      </c>
      <c r="O116" s="328"/>
      <c r="P116" s="329">
        <f t="shared" si="15"/>
        <v>0</v>
      </c>
    </row>
    <row r="117" spans="1:16">
      <c r="A117" s="827">
        <v>108</v>
      </c>
      <c r="B117" s="1070" t="s">
        <v>98</v>
      </c>
      <c r="C117" s="1021"/>
      <c r="D117" s="1021" t="str">
        <f t="shared" si="18"/>
        <v>Year 2021</v>
      </c>
      <c r="E117" s="1021"/>
      <c r="F117" s="1051">
        <f t="shared" si="16"/>
        <v>0</v>
      </c>
      <c r="G117" s="1051"/>
      <c r="H117" s="1072"/>
      <c r="I117" s="1073"/>
      <c r="J117" s="1021"/>
      <c r="K117" s="1021"/>
      <c r="L117" s="331">
        <f t="shared" si="14"/>
        <v>0</v>
      </c>
      <c r="M117" s="328"/>
      <c r="N117" s="328">
        <f t="shared" si="17"/>
        <v>0</v>
      </c>
      <c r="O117" s="328"/>
      <c r="P117" s="329">
        <f t="shared" si="15"/>
        <v>0</v>
      </c>
    </row>
    <row r="118" spans="1:16">
      <c r="A118" s="827">
        <v>109</v>
      </c>
      <c r="B118" s="1070"/>
      <c r="C118" s="1021"/>
      <c r="D118" s="1021"/>
      <c r="E118" s="1021"/>
      <c r="F118" s="1051"/>
      <c r="G118" s="1051"/>
      <c r="H118" s="1073"/>
      <c r="I118" s="1073"/>
      <c r="J118" s="1021"/>
      <c r="K118" s="1021"/>
      <c r="L118" s="328">
        <f>SUM(L106:L117)</f>
        <v>0</v>
      </c>
      <c r="M118" s="328"/>
      <c r="N118" s="328"/>
      <c r="O118" s="328"/>
      <c r="P118" s="329"/>
    </row>
    <row r="119" spans="1:16">
      <c r="A119" s="827">
        <v>110</v>
      </c>
      <c r="B119" s="1080"/>
      <c r="P119" s="1081"/>
    </row>
    <row r="120" spans="1:16">
      <c r="A120" s="827">
        <v>111</v>
      </c>
      <c r="B120" s="1070" t="s">
        <v>173</v>
      </c>
      <c r="C120" s="1021"/>
      <c r="F120" s="324" t="s">
        <v>1134</v>
      </c>
      <c r="N120" s="333">
        <f>SUM(N106:N117)</f>
        <v>0</v>
      </c>
      <c r="P120" s="1081"/>
    </row>
    <row r="121" spans="1:16">
      <c r="A121" s="827">
        <v>112</v>
      </c>
      <c r="B121" s="1070" t="s">
        <v>148</v>
      </c>
      <c r="C121" s="1021"/>
      <c r="F121" s="324" t="s">
        <v>954</v>
      </c>
      <c r="N121" s="333">
        <f>L11</f>
        <v>0</v>
      </c>
      <c r="P121" s="1081"/>
    </row>
    <row r="122" spans="1:16">
      <c r="A122" s="827">
        <v>113</v>
      </c>
      <c r="B122" s="1082" t="s">
        <v>149</v>
      </c>
      <c r="C122" s="1083"/>
      <c r="D122" s="566"/>
      <c r="E122" s="566"/>
      <c r="F122" s="566" t="s">
        <v>956</v>
      </c>
      <c r="G122" s="566"/>
      <c r="H122" s="566"/>
      <c r="I122" s="566"/>
      <c r="J122" s="566"/>
      <c r="K122" s="566"/>
      <c r="L122" s="566"/>
      <c r="M122" s="566"/>
      <c r="N122" s="335">
        <f>(N120+N121)</f>
        <v>0</v>
      </c>
      <c r="O122" s="566"/>
      <c r="P122" s="1084"/>
    </row>
    <row r="123" spans="1:16" ht="7.8" customHeight="1">
      <c r="A123" s="827">
        <v>114</v>
      </c>
    </row>
    <row r="124" spans="1:16" ht="6" customHeight="1">
      <c r="A124" s="827">
        <v>115</v>
      </c>
    </row>
    <row r="125" spans="1:16">
      <c r="A125" s="827">
        <v>116</v>
      </c>
      <c r="B125" s="1060" t="s">
        <v>545</v>
      </c>
      <c r="C125" s="1061"/>
      <c r="D125" s="1062"/>
      <c r="E125" s="1062"/>
      <c r="F125" s="1062"/>
      <c r="G125" s="1062"/>
      <c r="H125" s="1063"/>
      <c r="I125" s="1063"/>
      <c r="J125" s="1063"/>
      <c r="K125" s="1063"/>
      <c r="L125" s="1064"/>
      <c r="M125" s="1064"/>
      <c r="N125" s="1062"/>
      <c r="O125" s="1062"/>
      <c r="P125" s="1065"/>
    </row>
    <row r="126" spans="1:16">
      <c r="A126" s="827">
        <v>117</v>
      </c>
      <c r="B126" s="1066"/>
      <c r="C126" s="1067"/>
      <c r="D126" s="1023"/>
      <c r="E126" s="1023"/>
      <c r="F126" s="1023"/>
      <c r="G126" s="1023"/>
      <c r="H126" s="1021"/>
      <c r="I126" s="1021"/>
      <c r="J126" s="1021"/>
      <c r="K126" s="1021"/>
      <c r="L126" s="1024" t="s">
        <v>144</v>
      </c>
      <c r="M126" s="1024"/>
      <c r="N126" s="1023"/>
      <c r="O126" s="1023"/>
      <c r="P126" s="1068"/>
    </row>
    <row r="127" spans="1:16">
      <c r="A127" s="827">
        <v>118</v>
      </c>
      <c r="B127" s="1069"/>
      <c r="C127" s="1067"/>
      <c r="D127" s="1023"/>
      <c r="E127" s="1023"/>
      <c r="F127" s="1023"/>
      <c r="G127" s="1023"/>
      <c r="H127" s="1021"/>
      <c r="I127" s="1021"/>
      <c r="J127" s="1021"/>
      <c r="K127" s="1021"/>
      <c r="L127" s="1024"/>
      <c r="M127" s="1024"/>
      <c r="N127" s="1023"/>
      <c r="O127" s="1023"/>
      <c r="P127" s="1068"/>
    </row>
    <row r="128" spans="1:16">
      <c r="A128" s="827">
        <v>119</v>
      </c>
      <c r="B128" s="1070" t="s">
        <v>105</v>
      </c>
      <c r="C128" s="1021"/>
      <c r="D128" s="1021" t="str">
        <f>+D99</f>
        <v>Year 2017</v>
      </c>
      <c r="E128" s="1021"/>
      <c r="F128" s="1071"/>
      <c r="G128" s="328"/>
      <c r="H128" s="1072"/>
      <c r="I128" s="1073"/>
      <c r="J128" s="1074">
        <v>12</v>
      </c>
      <c r="K128" s="1021"/>
      <c r="L128" s="328">
        <f t="shared" ref="L128:L139" si="19">H128*F128*J128*-1</f>
        <v>0</v>
      </c>
      <c r="M128" s="328"/>
      <c r="N128" s="328"/>
      <c r="O128" s="328"/>
      <c r="P128" s="329">
        <f t="shared" ref="P128:P139" si="20">(-L128+F128)*-1</f>
        <v>0</v>
      </c>
    </row>
    <row r="129" spans="1:16">
      <c r="A129" s="827">
        <v>120</v>
      </c>
      <c r="B129" s="1070" t="s">
        <v>104</v>
      </c>
      <c r="C129" s="1021"/>
      <c r="D129" s="1021" t="str">
        <f t="shared" ref="D129:D139" si="21">D128</f>
        <v>Year 2017</v>
      </c>
      <c r="E129" s="1021"/>
      <c r="F129" s="1071"/>
      <c r="G129" s="328"/>
      <c r="H129" s="1072"/>
      <c r="I129" s="1073"/>
      <c r="J129" s="1075">
        <f t="shared" ref="J129:J139" si="22">+J128-1</f>
        <v>11</v>
      </c>
      <c r="L129" s="328">
        <f t="shared" si="19"/>
        <v>0</v>
      </c>
      <c r="M129" s="328"/>
      <c r="N129" s="328"/>
      <c r="O129" s="328"/>
      <c r="P129" s="329">
        <f t="shared" si="20"/>
        <v>0</v>
      </c>
    </row>
    <row r="130" spans="1:16">
      <c r="A130" s="827">
        <v>121</v>
      </c>
      <c r="B130" s="1070" t="s">
        <v>103</v>
      </c>
      <c r="C130" s="1021"/>
      <c r="D130" s="1021" t="str">
        <f t="shared" si="21"/>
        <v>Year 2017</v>
      </c>
      <c r="E130" s="1021"/>
      <c r="F130" s="1071"/>
      <c r="G130" s="328"/>
      <c r="H130" s="1072"/>
      <c r="I130" s="1073"/>
      <c r="J130" s="1075">
        <f t="shared" si="22"/>
        <v>10</v>
      </c>
      <c r="L130" s="328">
        <f t="shared" si="19"/>
        <v>0</v>
      </c>
      <c r="M130" s="328"/>
      <c r="N130" s="328"/>
      <c r="O130" s="328"/>
      <c r="P130" s="329">
        <f t="shared" si="20"/>
        <v>0</v>
      </c>
    </row>
    <row r="131" spans="1:16">
      <c r="A131" s="827">
        <v>122</v>
      </c>
      <c r="B131" s="1070" t="s">
        <v>95</v>
      </c>
      <c r="C131" s="1021"/>
      <c r="D131" s="1021" t="str">
        <f t="shared" si="21"/>
        <v>Year 2017</v>
      </c>
      <c r="E131" s="1021"/>
      <c r="F131" s="1071"/>
      <c r="G131" s="328"/>
      <c r="H131" s="1072"/>
      <c r="I131" s="1073"/>
      <c r="J131" s="1075">
        <f t="shared" si="22"/>
        <v>9</v>
      </c>
      <c r="L131" s="328">
        <f t="shared" si="19"/>
        <v>0</v>
      </c>
      <c r="M131" s="328"/>
      <c r="N131" s="328"/>
      <c r="O131" s="328"/>
      <c r="P131" s="329">
        <f t="shared" si="20"/>
        <v>0</v>
      </c>
    </row>
    <row r="132" spans="1:16">
      <c r="A132" s="827">
        <v>123</v>
      </c>
      <c r="B132" s="1070" t="s">
        <v>92</v>
      </c>
      <c r="C132" s="1021"/>
      <c r="D132" s="1021" t="str">
        <f t="shared" si="21"/>
        <v>Year 2017</v>
      </c>
      <c r="E132" s="1021"/>
      <c r="F132" s="1071"/>
      <c r="G132" s="328"/>
      <c r="H132" s="1072"/>
      <c r="I132" s="1073"/>
      <c r="J132" s="1075">
        <f t="shared" si="22"/>
        <v>8</v>
      </c>
      <c r="L132" s="328">
        <f t="shared" si="19"/>
        <v>0</v>
      </c>
      <c r="M132" s="328"/>
      <c r="N132" s="328"/>
      <c r="O132" s="328"/>
      <c r="P132" s="329">
        <f t="shared" si="20"/>
        <v>0</v>
      </c>
    </row>
    <row r="133" spans="1:16">
      <c r="A133" s="827">
        <v>124</v>
      </c>
      <c r="B133" s="1070" t="s">
        <v>145</v>
      </c>
      <c r="C133" s="1021"/>
      <c r="D133" s="1021" t="str">
        <f t="shared" si="21"/>
        <v>Year 2017</v>
      </c>
      <c r="E133" s="1021"/>
      <c r="F133" s="1071"/>
      <c r="G133" s="328"/>
      <c r="H133" s="1072"/>
      <c r="I133" s="1073"/>
      <c r="J133" s="1075">
        <f t="shared" si="22"/>
        <v>7</v>
      </c>
      <c r="L133" s="328">
        <f t="shared" si="19"/>
        <v>0</v>
      </c>
      <c r="M133" s="328"/>
      <c r="N133" s="328"/>
      <c r="O133" s="328"/>
      <c r="P133" s="329">
        <f t="shared" si="20"/>
        <v>0</v>
      </c>
    </row>
    <row r="134" spans="1:16">
      <c r="A134" s="827">
        <v>125</v>
      </c>
      <c r="B134" s="1070" t="s">
        <v>102</v>
      </c>
      <c r="C134" s="1021"/>
      <c r="D134" s="1021" t="str">
        <f t="shared" si="21"/>
        <v>Year 2017</v>
      </c>
      <c r="E134" s="1021"/>
      <c r="F134" s="1071"/>
      <c r="G134" s="328"/>
      <c r="H134" s="1072"/>
      <c r="I134" s="1073"/>
      <c r="J134" s="1075">
        <f t="shared" si="22"/>
        <v>6</v>
      </c>
      <c r="L134" s="328">
        <f t="shared" si="19"/>
        <v>0</v>
      </c>
      <c r="M134" s="328"/>
      <c r="N134" s="328"/>
      <c r="O134" s="328"/>
      <c r="P134" s="329">
        <f t="shared" si="20"/>
        <v>0</v>
      </c>
    </row>
    <row r="135" spans="1:16">
      <c r="A135" s="827">
        <v>126</v>
      </c>
      <c r="B135" s="1070" t="s">
        <v>101</v>
      </c>
      <c r="C135" s="1021"/>
      <c r="D135" s="1021" t="str">
        <f t="shared" si="21"/>
        <v>Year 2017</v>
      </c>
      <c r="E135" s="1021"/>
      <c r="F135" s="1071"/>
      <c r="G135" s="328"/>
      <c r="H135" s="1072"/>
      <c r="I135" s="1073"/>
      <c r="J135" s="1075">
        <f t="shared" si="22"/>
        <v>5</v>
      </c>
      <c r="L135" s="328">
        <f t="shared" si="19"/>
        <v>0</v>
      </c>
      <c r="M135" s="328"/>
      <c r="N135" s="328"/>
      <c r="O135" s="328"/>
      <c r="P135" s="329">
        <f t="shared" si="20"/>
        <v>0</v>
      </c>
    </row>
    <row r="136" spans="1:16">
      <c r="A136" s="827">
        <v>127</v>
      </c>
      <c r="B136" s="1070" t="s">
        <v>100</v>
      </c>
      <c r="C136" s="1021"/>
      <c r="D136" s="1021" t="str">
        <f t="shared" si="21"/>
        <v>Year 2017</v>
      </c>
      <c r="E136" s="1021"/>
      <c r="F136" s="1071"/>
      <c r="G136" s="328"/>
      <c r="H136" s="1072"/>
      <c r="I136" s="1073"/>
      <c r="J136" s="1075">
        <f t="shared" si="22"/>
        <v>4</v>
      </c>
      <c r="L136" s="328">
        <f t="shared" si="19"/>
        <v>0</v>
      </c>
      <c r="M136" s="328"/>
      <c r="N136" s="328"/>
      <c r="O136" s="328"/>
      <c r="P136" s="329">
        <f t="shared" si="20"/>
        <v>0</v>
      </c>
    </row>
    <row r="137" spans="1:16">
      <c r="A137" s="827">
        <v>128</v>
      </c>
      <c r="B137" s="1070" t="s">
        <v>106</v>
      </c>
      <c r="C137" s="1021"/>
      <c r="D137" s="1021" t="str">
        <f t="shared" si="21"/>
        <v>Year 2017</v>
      </c>
      <c r="E137" s="1021"/>
      <c r="F137" s="1071"/>
      <c r="G137" s="328"/>
      <c r="H137" s="1072"/>
      <c r="I137" s="1073"/>
      <c r="J137" s="1075">
        <f t="shared" si="22"/>
        <v>3</v>
      </c>
      <c r="L137" s="328">
        <f t="shared" si="19"/>
        <v>0</v>
      </c>
      <c r="M137" s="328"/>
      <c r="N137" s="328"/>
      <c r="O137" s="328"/>
      <c r="P137" s="329">
        <f t="shared" si="20"/>
        <v>0</v>
      </c>
    </row>
    <row r="138" spans="1:16">
      <c r="A138" s="827">
        <v>129</v>
      </c>
      <c r="B138" s="1070" t="s">
        <v>99</v>
      </c>
      <c r="C138" s="1021"/>
      <c r="D138" s="1021" t="str">
        <f t="shared" si="21"/>
        <v>Year 2017</v>
      </c>
      <c r="E138" s="1021"/>
      <c r="F138" s="1071"/>
      <c r="G138" s="328"/>
      <c r="H138" s="1072"/>
      <c r="I138" s="1073"/>
      <c r="J138" s="1075">
        <f t="shared" si="22"/>
        <v>2</v>
      </c>
      <c r="L138" s="328">
        <f t="shared" si="19"/>
        <v>0</v>
      </c>
      <c r="M138" s="328"/>
      <c r="N138" s="328"/>
      <c r="O138" s="328"/>
      <c r="P138" s="329">
        <f t="shared" si="20"/>
        <v>0</v>
      </c>
    </row>
    <row r="139" spans="1:16">
      <c r="A139" s="827">
        <v>130</v>
      </c>
      <c r="B139" s="1070" t="s">
        <v>98</v>
      </c>
      <c r="C139" s="1021"/>
      <c r="D139" s="1021" t="str">
        <f t="shared" si="21"/>
        <v>Year 2017</v>
      </c>
      <c r="E139" s="1021"/>
      <c r="F139" s="1071"/>
      <c r="G139" s="328"/>
      <c r="H139" s="1072"/>
      <c r="I139" s="1073"/>
      <c r="J139" s="1075">
        <f t="shared" si="22"/>
        <v>1</v>
      </c>
      <c r="L139" s="331">
        <f t="shared" si="19"/>
        <v>0</v>
      </c>
      <c r="M139" s="328"/>
      <c r="N139" s="328"/>
      <c r="O139" s="328"/>
      <c r="P139" s="329">
        <f t="shared" si="20"/>
        <v>0</v>
      </c>
    </row>
    <row r="140" spans="1:16">
      <c r="A140" s="827">
        <v>131</v>
      </c>
      <c r="B140" s="1070"/>
      <c r="C140" s="1021"/>
      <c r="D140" s="1021"/>
      <c r="E140" s="1021"/>
      <c r="F140" s="328"/>
      <c r="G140" s="328"/>
      <c r="H140" s="1073"/>
      <c r="I140" s="1073"/>
      <c r="L140" s="328">
        <f>SUM(L128:L139)</f>
        <v>0</v>
      </c>
      <c r="M140" s="328"/>
      <c r="N140" s="328"/>
      <c r="O140" s="328"/>
      <c r="P140" s="332">
        <f>SUM(P128:P139)</f>
        <v>0</v>
      </c>
    </row>
    <row r="141" spans="1:16">
      <c r="A141" s="827">
        <v>132</v>
      </c>
      <c r="B141" s="1070"/>
      <c r="C141" s="1021"/>
      <c r="D141" s="1021"/>
      <c r="E141" s="1021"/>
      <c r="F141" s="328"/>
      <c r="G141" s="328"/>
      <c r="H141" s="1073"/>
      <c r="I141" s="1073"/>
      <c r="L141" s="328"/>
      <c r="M141" s="328"/>
      <c r="N141" s="328"/>
      <c r="O141" s="328"/>
      <c r="P141" s="332"/>
    </row>
    <row r="142" spans="1:16">
      <c r="A142" s="827">
        <v>133</v>
      </c>
      <c r="B142" s="1070"/>
      <c r="C142" s="1021"/>
      <c r="D142" s="1021"/>
      <c r="E142" s="1021"/>
      <c r="F142" s="328"/>
      <c r="G142" s="328"/>
      <c r="H142" s="1073"/>
      <c r="I142" s="1073"/>
      <c r="L142" s="128" t="s">
        <v>1132</v>
      </c>
      <c r="M142" s="328"/>
      <c r="N142" s="328"/>
      <c r="O142" s="328"/>
      <c r="P142" s="332"/>
    </row>
    <row r="143" spans="1:16">
      <c r="A143" s="827">
        <v>134</v>
      </c>
      <c r="B143" s="1070"/>
      <c r="C143" s="1021"/>
      <c r="D143" s="1021"/>
      <c r="E143" s="1021"/>
      <c r="F143" s="328"/>
      <c r="G143" s="328"/>
      <c r="H143" s="1073"/>
      <c r="I143" s="1073"/>
      <c r="L143" s="128"/>
      <c r="M143" s="328"/>
      <c r="N143" s="328"/>
      <c r="O143" s="328"/>
      <c r="P143" s="332"/>
    </row>
    <row r="144" spans="1:16">
      <c r="A144" s="827">
        <v>135</v>
      </c>
      <c r="B144" s="1070" t="s">
        <v>146</v>
      </c>
      <c r="C144" s="1021"/>
      <c r="D144" s="324" t="str">
        <f>+D100</f>
        <v>Year 2018</v>
      </c>
      <c r="E144" s="1021"/>
      <c r="F144" s="1051">
        <f>P140</f>
        <v>0</v>
      </c>
      <c r="G144" s="1051"/>
      <c r="H144" s="1072"/>
      <c r="I144" s="1073"/>
      <c r="J144" s="1074">
        <v>12</v>
      </c>
      <c r="K144" s="1021"/>
      <c r="L144" s="328">
        <f>+J144*H144*F144</f>
        <v>0</v>
      </c>
      <c r="M144" s="328"/>
      <c r="N144" s="328"/>
      <c r="O144" s="328"/>
      <c r="P144" s="332">
        <f>+F144+L144</f>
        <v>0</v>
      </c>
    </row>
    <row r="145" spans="1:16">
      <c r="A145" s="827">
        <v>136</v>
      </c>
      <c r="B145" s="1070" t="s">
        <v>146</v>
      </c>
      <c r="C145" s="1021"/>
      <c r="D145" s="324" t="str">
        <f>+D101</f>
        <v>Year 2019</v>
      </c>
      <c r="E145" s="1021"/>
      <c r="F145" s="1051">
        <f>P144</f>
        <v>0</v>
      </c>
      <c r="G145" s="1051"/>
      <c r="H145" s="1072"/>
      <c r="I145" s="1073"/>
      <c r="J145" s="1074">
        <v>12</v>
      </c>
      <c r="K145" s="1021"/>
      <c r="L145" s="328">
        <f>+J145*H145*F145</f>
        <v>0</v>
      </c>
      <c r="M145" s="328"/>
      <c r="N145" s="328"/>
      <c r="O145" s="328"/>
      <c r="P145" s="332">
        <f>+F145+L145</f>
        <v>0</v>
      </c>
    </row>
    <row r="146" spans="1:16">
      <c r="A146" s="827">
        <v>137</v>
      </c>
      <c r="B146" s="1070" t="s">
        <v>146</v>
      </c>
      <c r="C146" s="1021"/>
      <c r="D146" s="324" t="str">
        <f>+D102</f>
        <v>Year 2020</v>
      </c>
      <c r="E146" s="1021"/>
      <c r="F146" s="1051">
        <f>P145</f>
        <v>0</v>
      </c>
      <c r="G146" s="1051"/>
      <c r="H146" s="1072"/>
      <c r="I146" s="1073"/>
      <c r="J146" s="1074">
        <v>12</v>
      </c>
      <c r="K146" s="1021"/>
      <c r="L146" s="328">
        <f>+J146*H146*F146</f>
        <v>0</v>
      </c>
      <c r="M146" s="328"/>
      <c r="N146" s="328"/>
      <c r="O146" s="328"/>
      <c r="P146" s="332">
        <f>+F146+L146</f>
        <v>0</v>
      </c>
    </row>
    <row r="147" spans="1:16">
      <c r="A147" s="827">
        <v>138</v>
      </c>
      <c r="B147" s="1070"/>
      <c r="C147" s="1021"/>
      <c r="D147" s="1021"/>
      <c r="E147" s="1021"/>
      <c r="F147" s="1051"/>
      <c r="G147" s="1051"/>
      <c r="H147" s="1073"/>
      <c r="I147" s="1073"/>
      <c r="J147" s="1021"/>
      <c r="K147" s="1021"/>
      <c r="L147" s="328"/>
      <c r="M147" s="328"/>
      <c r="N147" s="328"/>
      <c r="O147" s="328"/>
      <c r="P147" s="332"/>
    </row>
    <row r="148" spans="1:16">
      <c r="A148" s="827">
        <v>139</v>
      </c>
      <c r="B148" s="1070"/>
      <c r="C148" s="1021"/>
      <c r="D148" s="1021"/>
      <c r="E148" s="1021"/>
      <c r="F148" s="1051"/>
      <c r="G148" s="1051"/>
      <c r="H148" s="1073"/>
      <c r="I148" s="1073"/>
      <c r="J148" s="1021"/>
      <c r="K148" s="1021"/>
      <c r="L148" s="328"/>
      <c r="M148" s="328"/>
      <c r="N148" s="328"/>
      <c r="O148" s="328"/>
      <c r="P148" s="329"/>
    </row>
    <row r="149" spans="1:16">
      <c r="A149" s="827">
        <v>140</v>
      </c>
      <c r="B149" s="1076" t="s">
        <v>147</v>
      </c>
      <c r="C149" s="1077"/>
      <c r="D149" s="1021"/>
      <c r="E149" s="1021"/>
      <c r="F149" s="328"/>
      <c r="G149" s="328"/>
      <c r="H149" s="1073"/>
      <c r="I149" s="1073"/>
      <c r="J149" s="1021"/>
      <c r="K149" s="1021"/>
      <c r="L149" s="128" t="s">
        <v>144</v>
      </c>
      <c r="M149" s="128"/>
      <c r="N149" s="328"/>
      <c r="O149" s="328"/>
      <c r="P149" s="329"/>
    </row>
    <row r="150" spans="1:16">
      <c r="A150" s="827">
        <v>141</v>
      </c>
      <c r="B150" s="1070" t="s">
        <v>105</v>
      </c>
      <c r="C150" s="1021"/>
      <c r="D150" s="1021" t="str">
        <f>+D106</f>
        <v>Year 2021</v>
      </c>
      <c r="E150" s="1021"/>
      <c r="F150" s="1078">
        <f>-P146</f>
        <v>0</v>
      </c>
      <c r="G150" s="1051"/>
      <c r="H150" s="1072"/>
      <c r="I150" s="1073"/>
      <c r="J150" s="1021"/>
      <c r="K150" s="1021"/>
      <c r="L150" s="328">
        <f t="shared" ref="L150:L161" si="23" xml:space="preserve"> -H150*F150</f>
        <v>0</v>
      </c>
      <c r="M150" s="328"/>
      <c r="N150" s="328">
        <f>-PMT(H150,12,P146)</f>
        <v>0</v>
      </c>
      <c r="O150" s="328"/>
      <c r="P150" s="329">
        <f t="shared" ref="P150:P161" si="24">(+F150+F150*H150+N150)*-1</f>
        <v>0</v>
      </c>
    </row>
    <row r="151" spans="1:16">
      <c r="A151" s="827">
        <v>142</v>
      </c>
      <c r="B151" s="1070" t="s">
        <v>104</v>
      </c>
      <c r="C151" s="1021"/>
      <c r="D151" s="1021" t="str">
        <f>+D150</f>
        <v>Year 2021</v>
      </c>
      <c r="E151" s="1021"/>
      <c r="F151" s="1051">
        <f t="shared" ref="F151:F161" si="25">-P150</f>
        <v>0</v>
      </c>
      <c r="G151" s="1051"/>
      <c r="H151" s="1072"/>
      <c r="I151" s="1073"/>
      <c r="J151" s="1021"/>
      <c r="K151" s="1021"/>
      <c r="L151" s="328">
        <f t="shared" si="23"/>
        <v>0</v>
      </c>
      <c r="M151" s="328"/>
      <c r="N151" s="328">
        <f t="shared" ref="N151:N161" si="26">N150</f>
        <v>0</v>
      </c>
      <c r="O151" s="328"/>
      <c r="P151" s="329">
        <f t="shared" si="24"/>
        <v>0</v>
      </c>
    </row>
    <row r="152" spans="1:16">
      <c r="A152" s="827">
        <v>143</v>
      </c>
      <c r="B152" s="1070" t="s">
        <v>103</v>
      </c>
      <c r="C152" s="1021"/>
      <c r="D152" s="1021" t="str">
        <f>+D151</f>
        <v>Year 2021</v>
      </c>
      <c r="E152" s="1021"/>
      <c r="F152" s="1051">
        <f t="shared" si="25"/>
        <v>0</v>
      </c>
      <c r="G152" s="1051"/>
      <c r="H152" s="1072"/>
      <c r="I152" s="1073"/>
      <c r="J152" s="1021"/>
      <c r="K152" s="1021"/>
      <c r="L152" s="328">
        <f t="shared" si="23"/>
        <v>0</v>
      </c>
      <c r="M152" s="328"/>
      <c r="N152" s="328">
        <f t="shared" si="26"/>
        <v>0</v>
      </c>
      <c r="O152" s="328"/>
      <c r="P152" s="329">
        <f t="shared" si="24"/>
        <v>0</v>
      </c>
    </row>
    <row r="153" spans="1:16">
      <c r="A153" s="827">
        <v>144</v>
      </c>
      <c r="B153" s="1070" t="s">
        <v>95</v>
      </c>
      <c r="C153" s="1021"/>
      <c r="D153" s="1021" t="str">
        <f>+D152</f>
        <v>Year 2021</v>
      </c>
      <c r="E153" s="1021"/>
      <c r="F153" s="1051">
        <f t="shared" si="25"/>
        <v>0</v>
      </c>
      <c r="G153" s="1051"/>
      <c r="H153" s="1072"/>
      <c r="I153" s="1073"/>
      <c r="J153" s="1021"/>
      <c r="K153" s="1021"/>
      <c r="L153" s="328">
        <f t="shared" si="23"/>
        <v>0</v>
      </c>
      <c r="M153" s="328"/>
      <c r="N153" s="328">
        <f t="shared" si="26"/>
        <v>0</v>
      </c>
      <c r="O153" s="328"/>
      <c r="P153" s="329">
        <f t="shared" si="24"/>
        <v>0</v>
      </c>
    </row>
    <row r="154" spans="1:16">
      <c r="A154" s="827">
        <v>145</v>
      </c>
      <c r="B154" s="1070" t="s">
        <v>92</v>
      </c>
      <c r="C154" s="1021"/>
      <c r="D154" s="1021" t="str">
        <f>+D153</f>
        <v>Year 2021</v>
      </c>
      <c r="E154" s="1021"/>
      <c r="F154" s="1051">
        <f t="shared" si="25"/>
        <v>0</v>
      </c>
      <c r="G154" s="1051"/>
      <c r="H154" s="1072"/>
      <c r="I154" s="1073"/>
      <c r="J154" s="1021"/>
      <c r="K154" s="1021"/>
      <c r="L154" s="328">
        <f t="shared" si="23"/>
        <v>0</v>
      </c>
      <c r="M154" s="328"/>
      <c r="N154" s="328">
        <f t="shared" si="26"/>
        <v>0</v>
      </c>
      <c r="O154" s="328"/>
      <c r="P154" s="329">
        <f t="shared" si="24"/>
        <v>0</v>
      </c>
    </row>
    <row r="155" spans="1:16">
      <c r="A155" s="827">
        <v>146</v>
      </c>
      <c r="B155" s="1070" t="s">
        <v>145</v>
      </c>
      <c r="C155" s="1021"/>
      <c r="D155" s="1021" t="str">
        <f>D154</f>
        <v>Year 2021</v>
      </c>
      <c r="E155" s="1021"/>
      <c r="F155" s="1051">
        <f t="shared" si="25"/>
        <v>0</v>
      </c>
      <c r="G155" s="1051"/>
      <c r="H155" s="1072"/>
      <c r="I155" s="1073"/>
      <c r="J155" s="1021"/>
      <c r="K155" s="1021"/>
      <c r="L155" s="328">
        <f t="shared" si="23"/>
        <v>0</v>
      </c>
      <c r="M155" s="328"/>
      <c r="N155" s="328">
        <f t="shared" si="26"/>
        <v>0</v>
      </c>
      <c r="O155" s="328"/>
      <c r="P155" s="329">
        <f t="shared" si="24"/>
        <v>0</v>
      </c>
    </row>
    <row r="156" spans="1:16">
      <c r="A156" s="827">
        <v>147</v>
      </c>
      <c r="B156" s="1070" t="s">
        <v>102</v>
      </c>
      <c r="C156" s="1021"/>
      <c r="D156" s="1021" t="str">
        <f t="shared" ref="D156:D161" si="27">+D155</f>
        <v>Year 2021</v>
      </c>
      <c r="E156" s="1021"/>
      <c r="F156" s="1051">
        <f t="shared" si="25"/>
        <v>0</v>
      </c>
      <c r="G156" s="1051"/>
      <c r="H156" s="1072"/>
      <c r="I156" s="1073"/>
      <c r="J156" s="1021"/>
      <c r="K156" s="1021"/>
      <c r="L156" s="328">
        <f t="shared" si="23"/>
        <v>0</v>
      </c>
      <c r="M156" s="328"/>
      <c r="N156" s="328">
        <f t="shared" si="26"/>
        <v>0</v>
      </c>
      <c r="O156" s="328"/>
      <c r="P156" s="329">
        <f t="shared" si="24"/>
        <v>0</v>
      </c>
    </row>
    <row r="157" spans="1:16">
      <c r="A157" s="827">
        <v>148</v>
      </c>
      <c r="B157" s="1070" t="s">
        <v>101</v>
      </c>
      <c r="C157" s="1021"/>
      <c r="D157" s="1021" t="str">
        <f t="shared" si="27"/>
        <v>Year 2021</v>
      </c>
      <c r="E157" s="1021"/>
      <c r="F157" s="1051">
        <f t="shared" si="25"/>
        <v>0</v>
      </c>
      <c r="G157" s="1051"/>
      <c r="H157" s="1072"/>
      <c r="I157" s="1073"/>
      <c r="J157" s="1021"/>
      <c r="K157" s="1021"/>
      <c r="L157" s="328">
        <f t="shared" si="23"/>
        <v>0</v>
      </c>
      <c r="M157" s="328"/>
      <c r="N157" s="328">
        <f t="shared" si="26"/>
        <v>0</v>
      </c>
      <c r="O157" s="328"/>
      <c r="P157" s="329">
        <f t="shared" si="24"/>
        <v>0</v>
      </c>
    </row>
    <row r="158" spans="1:16">
      <c r="A158" s="827">
        <v>149</v>
      </c>
      <c r="B158" s="1070" t="s">
        <v>100</v>
      </c>
      <c r="C158" s="1021"/>
      <c r="D158" s="1021" t="str">
        <f t="shared" si="27"/>
        <v>Year 2021</v>
      </c>
      <c r="E158" s="1021"/>
      <c r="F158" s="1051">
        <f t="shared" si="25"/>
        <v>0</v>
      </c>
      <c r="G158" s="1051"/>
      <c r="H158" s="1072"/>
      <c r="I158" s="1073"/>
      <c r="J158" s="1021"/>
      <c r="K158" s="1021"/>
      <c r="L158" s="328">
        <f t="shared" si="23"/>
        <v>0</v>
      </c>
      <c r="M158" s="328"/>
      <c r="N158" s="328">
        <f t="shared" si="26"/>
        <v>0</v>
      </c>
      <c r="O158" s="328"/>
      <c r="P158" s="329">
        <f t="shared" si="24"/>
        <v>0</v>
      </c>
    </row>
    <row r="159" spans="1:16">
      <c r="A159" s="827">
        <v>150</v>
      </c>
      <c r="B159" s="1070" t="s">
        <v>106</v>
      </c>
      <c r="C159" s="1021"/>
      <c r="D159" s="1021" t="str">
        <f t="shared" si="27"/>
        <v>Year 2021</v>
      </c>
      <c r="E159" s="1021"/>
      <c r="F159" s="1051">
        <f t="shared" si="25"/>
        <v>0</v>
      </c>
      <c r="G159" s="1051"/>
      <c r="H159" s="1072"/>
      <c r="I159" s="1073"/>
      <c r="J159" s="1021"/>
      <c r="K159" s="1021"/>
      <c r="L159" s="328">
        <f t="shared" si="23"/>
        <v>0</v>
      </c>
      <c r="M159" s="328"/>
      <c r="N159" s="328">
        <f t="shared" si="26"/>
        <v>0</v>
      </c>
      <c r="O159" s="328"/>
      <c r="P159" s="329">
        <f t="shared" si="24"/>
        <v>0</v>
      </c>
    </row>
    <row r="160" spans="1:16">
      <c r="A160" s="827">
        <v>151</v>
      </c>
      <c r="B160" s="1070" t="s">
        <v>99</v>
      </c>
      <c r="C160" s="1021"/>
      <c r="D160" s="1021" t="str">
        <f t="shared" si="27"/>
        <v>Year 2021</v>
      </c>
      <c r="E160" s="1021"/>
      <c r="F160" s="1051">
        <f t="shared" si="25"/>
        <v>0</v>
      </c>
      <c r="G160" s="1051"/>
      <c r="H160" s="1072"/>
      <c r="I160" s="1073"/>
      <c r="J160" s="1021"/>
      <c r="K160" s="1021"/>
      <c r="L160" s="328">
        <f t="shared" si="23"/>
        <v>0</v>
      </c>
      <c r="M160" s="328"/>
      <c r="N160" s="328">
        <f t="shared" si="26"/>
        <v>0</v>
      </c>
      <c r="O160" s="328"/>
      <c r="P160" s="329">
        <f t="shared" si="24"/>
        <v>0</v>
      </c>
    </row>
    <row r="161" spans="1:16">
      <c r="A161" s="827">
        <v>152</v>
      </c>
      <c r="B161" s="1070" t="s">
        <v>98</v>
      </c>
      <c r="C161" s="1021"/>
      <c r="D161" s="1021" t="str">
        <f t="shared" si="27"/>
        <v>Year 2021</v>
      </c>
      <c r="E161" s="1021"/>
      <c r="F161" s="1051">
        <f t="shared" si="25"/>
        <v>0</v>
      </c>
      <c r="G161" s="1051"/>
      <c r="H161" s="1072"/>
      <c r="I161" s="1073"/>
      <c r="J161" s="1021"/>
      <c r="K161" s="1021"/>
      <c r="L161" s="331">
        <f t="shared" si="23"/>
        <v>0</v>
      </c>
      <c r="M161" s="328"/>
      <c r="N161" s="328">
        <f t="shared" si="26"/>
        <v>0</v>
      </c>
      <c r="O161" s="328"/>
      <c r="P161" s="329">
        <f t="shared" si="24"/>
        <v>0</v>
      </c>
    </row>
    <row r="162" spans="1:16">
      <c r="A162" s="827">
        <v>153</v>
      </c>
      <c r="B162" s="1070"/>
      <c r="C162" s="1021"/>
      <c r="D162" s="1021"/>
      <c r="E162" s="1021"/>
      <c r="F162" s="1051"/>
      <c r="G162" s="1051"/>
      <c r="H162" s="1073"/>
      <c r="I162" s="1073"/>
      <c r="J162" s="1021"/>
      <c r="K162" s="1021"/>
      <c r="L162" s="328">
        <f>SUM(L150:L161)</f>
        <v>0</v>
      </c>
      <c r="M162" s="328"/>
      <c r="N162" s="328"/>
      <c r="O162" s="328"/>
      <c r="P162" s="329"/>
    </row>
    <row r="163" spans="1:16" ht="8.4" customHeight="1">
      <c r="A163" s="827">
        <v>154</v>
      </c>
      <c r="B163" s="1080"/>
      <c r="P163" s="1081"/>
    </row>
    <row r="164" spans="1:16">
      <c r="A164" s="827">
        <v>155</v>
      </c>
      <c r="B164" s="1070" t="s">
        <v>908</v>
      </c>
      <c r="C164" s="1021"/>
      <c r="F164" s="324" t="s">
        <v>1135</v>
      </c>
      <c r="N164" s="333">
        <f>SUM(N150:N161)</f>
        <v>0</v>
      </c>
      <c r="P164" s="1081"/>
    </row>
    <row r="165" spans="1:16">
      <c r="A165" s="827">
        <v>156</v>
      </c>
      <c r="B165" s="1070" t="s">
        <v>148</v>
      </c>
      <c r="C165" s="1021"/>
      <c r="F165" s="324" t="s">
        <v>957</v>
      </c>
      <c r="N165" s="333">
        <f>L12</f>
        <v>0</v>
      </c>
      <c r="P165" s="1081"/>
    </row>
    <row r="166" spans="1:16">
      <c r="A166" s="827">
        <v>157</v>
      </c>
      <c r="B166" s="1082" t="s">
        <v>149</v>
      </c>
      <c r="C166" s="1083"/>
      <c r="D166" s="566"/>
      <c r="E166" s="566"/>
      <c r="F166" s="566" t="s">
        <v>958</v>
      </c>
      <c r="G166" s="566"/>
      <c r="H166" s="566"/>
      <c r="I166" s="566"/>
      <c r="J166" s="566"/>
      <c r="K166" s="566"/>
      <c r="L166" s="566"/>
      <c r="M166" s="566"/>
      <c r="N166" s="335">
        <f>(N164+N165)</f>
        <v>0</v>
      </c>
      <c r="O166" s="566"/>
      <c r="P166" s="1084"/>
    </row>
    <row r="167" spans="1:16">
      <c r="A167" s="827">
        <v>158</v>
      </c>
    </row>
    <row r="168" spans="1:16">
      <c r="A168" s="827">
        <v>159</v>
      </c>
      <c r="P168" s="364" t="s">
        <v>948</v>
      </c>
    </row>
    <row r="169" spans="1:16">
      <c r="A169" s="827">
        <v>160</v>
      </c>
      <c r="B169" s="1150" t="s">
        <v>155</v>
      </c>
      <c r="C169" s="1150"/>
      <c r="D169" s="1150"/>
      <c r="E169" s="1150"/>
      <c r="F169" s="1150"/>
      <c r="G169" s="1150"/>
      <c r="H169" s="1150"/>
      <c r="I169" s="1150"/>
      <c r="J169" s="1150"/>
      <c r="K169" s="1150"/>
      <c r="L169" s="1150"/>
      <c r="M169" s="1150"/>
      <c r="N169" s="1150"/>
    </row>
    <row r="170" spans="1:16">
      <c r="A170" s="827">
        <v>161</v>
      </c>
      <c r="B170" s="1125" t="str">
        <f>+H3</f>
        <v>Gridliance High Plains LLC</v>
      </c>
      <c r="C170" s="1125"/>
      <c r="D170" s="1125"/>
      <c r="E170" s="1125"/>
      <c r="F170" s="1125"/>
      <c r="G170" s="1125"/>
      <c r="H170" s="1125"/>
      <c r="I170" s="1125"/>
      <c r="J170" s="1125"/>
      <c r="K170" s="1125"/>
      <c r="L170" s="1125"/>
      <c r="M170" s="1125"/>
      <c r="N170" s="1125"/>
    </row>
    <row r="171" spans="1:16">
      <c r="A171" s="827">
        <v>162</v>
      </c>
      <c r="B171" s="1150"/>
      <c r="C171" s="1150"/>
      <c r="D171" s="1150"/>
      <c r="E171" s="1150"/>
      <c r="F171" s="1150"/>
      <c r="G171" s="1150"/>
      <c r="H171" s="1150"/>
      <c r="I171" s="1150"/>
      <c r="J171" s="1150"/>
      <c r="K171" s="1150"/>
      <c r="L171" s="1150"/>
      <c r="M171" s="1150"/>
      <c r="N171" s="1150"/>
    </row>
    <row r="172" spans="1:16">
      <c r="A172" s="827">
        <v>163</v>
      </c>
    </row>
    <row r="173" spans="1:16">
      <c r="A173" s="827">
        <v>164</v>
      </c>
      <c r="B173" s="1060" t="s">
        <v>546</v>
      </c>
      <c r="C173" s="1061"/>
      <c r="D173" s="1062"/>
      <c r="E173" s="1062"/>
      <c r="F173" s="1062"/>
      <c r="G173" s="1062"/>
      <c r="H173" s="1063"/>
      <c r="I173" s="1063"/>
      <c r="J173" s="1063"/>
      <c r="K173" s="1063"/>
      <c r="L173" s="1064"/>
      <c r="M173" s="1064"/>
      <c r="N173" s="1062"/>
      <c r="O173" s="1062"/>
      <c r="P173" s="1065"/>
    </row>
    <row r="174" spans="1:16">
      <c r="A174" s="827">
        <v>165</v>
      </c>
      <c r="B174" s="1066"/>
      <c r="C174" s="1067"/>
      <c r="D174" s="1023"/>
      <c r="E174" s="1023"/>
      <c r="F174" s="1023"/>
      <c r="G174" s="1023"/>
      <c r="H174" s="1021"/>
      <c r="I174" s="1021"/>
      <c r="J174" s="1021"/>
      <c r="K174" s="1021"/>
      <c r="L174" s="1024" t="s">
        <v>144</v>
      </c>
      <c r="M174" s="1024"/>
      <c r="N174" s="1023"/>
      <c r="O174" s="1023"/>
      <c r="P174" s="1068"/>
    </row>
    <row r="175" spans="1:16">
      <c r="A175" s="827">
        <v>166</v>
      </c>
      <c r="B175" s="1069"/>
      <c r="C175" s="1067"/>
      <c r="D175" s="1023"/>
      <c r="E175" s="1023"/>
      <c r="F175" s="1023"/>
      <c r="G175" s="1023"/>
      <c r="H175" s="1021"/>
      <c r="I175" s="1021"/>
      <c r="J175" s="1021"/>
      <c r="K175" s="1021"/>
      <c r="L175" s="1024"/>
      <c r="M175" s="1024"/>
      <c r="N175" s="1023"/>
      <c r="O175" s="1023"/>
      <c r="P175" s="1068"/>
    </row>
    <row r="176" spans="1:16">
      <c r="A176" s="827">
        <v>167</v>
      </c>
      <c r="B176" s="1070" t="s">
        <v>105</v>
      </c>
      <c r="C176" s="1021"/>
      <c r="D176" s="1021" t="str">
        <f>+D144</f>
        <v>Year 2018</v>
      </c>
      <c r="E176" s="1021"/>
      <c r="F176" s="1071"/>
      <c r="G176" s="328"/>
      <c r="H176" s="1072"/>
      <c r="I176" s="1073"/>
      <c r="J176" s="1074">
        <v>12</v>
      </c>
      <c r="K176" s="1021"/>
      <c r="L176" s="328">
        <f t="shared" ref="L176:L187" si="28">H176*F176*J176*-1</f>
        <v>0</v>
      </c>
      <c r="M176" s="328"/>
      <c r="N176" s="328"/>
      <c r="O176" s="328"/>
      <c r="P176" s="329">
        <f t="shared" ref="P176:P187" si="29">(-L176+F176)*-1</f>
        <v>0</v>
      </c>
    </row>
    <row r="177" spans="1:16">
      <c r="A177" s="827">
        <v>168</v>
      </c>
      <c r="B177" s="1070" t="s">
        <v>104</v>
      </c>
      <c r="C177" s="1021"/>
      <c r="D177" s="1021" t="str">
        <f t="shared" ref="D177:D187" si="30">D176</f>
        <v>Year 2018</v>
      </c>
      <c r="E177" s="1021"/>
      <c r="F177" s="1071"/>
      <c r="G177" s="328"/>
      <c r="H177" s="1072"/>
      <c r="I177" s="1073"/>
      <c r="J177" s="1075">
        <f t="shared" ref="J177:J187" si="31">+J176-1</f>
        <v>11</v>
      </c>
      <c r="L177" s="328">
        <f t="shared" si="28"/>
        <v>0</v>
      </c>
      <c r="M177" s="328"/>
      <c r="N177" s="328"/>
      <c r="O177" s="328"/>
      <c r="P177" s="329">
        <f t="shared" si="29"/>
        <v>0</v>
      </c>
    </row>
    <row r="178" spans="1:16">
      <c r="A178" s="827">
        <v>169</v>
      </c>
      <c r="B178" s="1070" t="s">
        <v>103</v>
      </c>
      <c r="C178" s="1021"/>
      <c r="D178" s="1021" t="str">
        <f t="shared" si="30"/>
        <v>Year 2018</v>
      </c>
      <c r="E178" s="1021"/>
      <c r="F178" s="1071"/>
      <c r="G178" s="328"/>
      <c r="H178" s="1072"/>
      <c r="I178" s="1073"/>
      <c r="J178" s="1075">
        <f t="shared" si="31"/>
        <v>10</v>
      </c>
      <c r="L178" s="328">
        <f t="shared" si="28"/>
        <v>0</v>
      </c>
      <c r="M178" s="328"/>
      <c r="N178" s="328"/>
      <c r="O178" s="328"/>
      <c r="P178" s="329">
        <f t="shared" si="29"/>
        <v>0</v>
      </c>
    </row>
    <row r="179" spans="1:16">
      <c r="A179" s="827">
        <v>170</v>
      </c>
      <c r="B179" s="1070" t="s">
        <v>95</v>
      </c>
      <c r="C179" s="1021"/>
      <c r="D179" s="1021" t="str">
        <f t="shared" si="30"/>
        <v>Year 2018</v>
      </c>
      <c r="E179" s="1021"/>
      <c r="F179" s="1071"/>
      <c r="G179" s="328"/>
      <c r="H179" s="1072"/>
      <c r="I179" s="1073"/>
      <c r="J179" s="1075">
        <f t="shared" si="31"/>
        <v>9</v>
      </c>
      <c r="L179" s="328">
        <f t="shared" si="28"/>
        <v>0</v>
      </c>
      <c r="M179" s="328"/>
      <c r="N179" s="328"/>
      <c r="O179" s="328"/>
      <c r="P179" s="329">
        <f t="shared" si="29"/>
        <v>0</v>
      </c>
    </row>
    <row r="180" spans="1:16">
      <c r="A180" s="827">
        <v>171</v>
      </c>
      <c r="B180" s="1070" t="s">
        <v>92</v>
      </c>
      <c r="C180" s="1021"/>
      <c r="D180" s="1021" t="str">
        <f t="shared" si="30"/>
        <v>Year 2018</v>
      </c>
      <c r="E180" s="1021"/>
      <c r="F180" s="1071"/>
      <c r="G180" s="328"/>
      <c r="H180" s="1072"/>
      <c r="I180" s="1073"/>
      <c r="J180" s="1075">
        <f t="shared" si="31"/>
        <v>8</v>
      </c>
      <c r="L180" s="328">
        <f t="shared" si="28"/>
        <v>0</v>
      </c>
      <c r="M180" s="328"/>
      <c r="N180" s="328"/>
      <c r="O180" s="328"/>
      <c r="P180" s="329">
        <f t="shared" si="29"/>
        <v>0</v>
      </c>
    </row>
    <row r="181" spans="1:16">
      <c r="A181" s="827">
        <v>172</v>
      </c>
      <c r="B181" s="1070" t="s">
        <v>145</v>
      </c>
      <c r="C181" s="1021"/>
      <c r="D181" s="1021" t="str">
        <f t="shared" si="30"/>
        <v>Year 2018</v>
      </c>
      <c r="E181" s="1021"/>
      <c r="F181" s="1071"/>
      <c r="G181" s="328"/>
      <c r="H181" s="1072"/>
      <c r="I181" s="1073"/>
      <c r="J181" s="1075">
        <f t="shared" si="31"/>
        <v>7</v>
      </c>
      <c r="L181" s="328">
        <f t="shared" si="28"/>
        <v>0</v>
      </c>
      <c r="M181" s="328"/>
      <c r="N181" s="328"/>
      <c r="O181" s="328"/>
      <c r="P181" s="329">
        <f t="shared" si="29"/>
        <v>0</v>
      </c>
    </row>
    <row r="182" spans="1:16">
      <c r="A182" s="827">
        <v>173</v>
      </c>
      <c r="B182" s="1070" t="s">
        <v>102</v>
      </c>
      <c r="C182" s="1021"/>
      <c r="D182" s="1021" t="str">
        <f t="shared" si="30"/>
        <v>Year 2018</v>
      </c>
      <c r="E182" s="1021"/>
      <c r="F182" s="1071"/>
      <c r="G182" s="328"/>
      <c r="H182" s="1072"/>
      <c r="I182" s="1073"/>
      <c r="J182" s="1075">
        <f t="shared" si="31"/>
        <v>6</v>
      </c>
      <c r="L182" s="328">
        <f t="shared" si="28"/>
        <v>0</v>
      </c>
      <c r="M182" s="328"/>
      <c r="N182" s="328"/>
      <c r="O182" s="328"/>
      <c r="P182" s="329">
        <f t="shared" si="29"/>
        <v>0</v>
      </c>
    </row>
    <row r="183" spans="1:16">
      <c r="A183" s="827">
        <v>174</v>
      </c>
      <c r="B183" s="1070" t="s">
        <v>101</v>
      </c>
      <c r="C183" s="1021"/>
      <c r="D183" s="1021" t="str">
        <f t="shared" si="30"/>
        <v>Year 2018</v>
      </c>
      <c r="E183" s="1021"/>
      <c r="F183" s="1071"/>
      <c r="G183" s="328"/>
      <c r="H183" s="1072"/>
      <c r="I183" s="1073"/>
      <c r="J183" s="1075">
        <f t="shared" si="31"/>
        <v>5</v>
      </c>
      <c r="L183" s="328">
        <f t="shared" si="28"/>
        <v>0</v>
      </c>
      <c r="M183" s="328"/>
      <c r="N183" s="328"/>
      <c r="O183" s="328"/>
      <c r="P183" s="329">
        <f t="shared" si="29"/>
        <v>0</v>
      </c>
    </row>
    <row r="184" spans="1:16">
      <c r="A184" s="827">
        <v>175</v>
      </c>
      <c r="B184" s="1070" t="s">
        <v>100</v>
      </c>
      <c r="C184" s="1021"/>
      <c r="D184" s="1021" t="str">
        <f t="shared" si="30"/>
        <v>Year 2018</v>
      </c>
      <c r="E184" s="1021"/>
      <c r="F184" s="1071"/>
      <c r="G184" s="328"/>
      <c r="H184" s="1072"/>
      <c r="I184" s="1073"/>
      <c r="J184" s="1075">
        <f t="shared" si="31"/>
        <v>4</v>
      </c>
      <c r="L184" s="328">
        <f t="shared" si="28"/>
        <v>0</v>
      </c>
      <c r="M184" s="328"/>
      <c r="N184" s="328"/>
      <c r="O184" s="328"/>
      <c r="P184" s="329">
        <f t="shared" si="29"/>
        <v>0</v>
      </c>
    </row>
    <row r="185" spans="1:16">
      <c r="A185" s="827">
        <v>176</v>
      </c>
      <c r="B185" s="1070" t="s">
        <v>106</v>
      </c>
      <c r="C185" s="1021"/>
      <c r="D185" s="1021" t="str">
        <f t="shared" si="30"/>
        <v>Year 2018</v>
      </c>
      <c r="E185" s="1021"/>
      <c r="F185" s="1071"/>
      <c r="G185" s="328"/>
      <c r="H185" s="1072"/>
      <c r="I185" s="1073"/>
      <c r="J185" s="1075">
        <f t="shared" si="31"/>
        <v>3</v>
      </c>
      <c r="L185" s="328">
        <f t="shared" si="28"/>
        <v>0</v>
      </c>
      <c r="M185" s="328"/>
      <c r="N185" s="328"/>
      <c r="O185" s="328"/>
      <c r="P185" s="329">
        <f t="shared" si="29"/>
        <v>0</v>
      </c>
    </row>
    <row r="186" spans="1:16">
      <c r="A186" s="827">
        <v>177</v>
      </c>
      <c r="B186" s="1070" t="s">
        <v>99</v>
      </c>
      <c r="C186" s="1021"/>
      <c r="D186" s="1021" t="str">
        <f t="shared" si="30"/>
        <v>Year 2018</v>
      </c>
      <c r="E186" s="1021"/>
      <c r="F186" s="1071"/>
      <c r="G186" s="328"/>
      <c r="H186" s="1072"/>
      <c r="I186" s="1073"/>
      <c r="J186" s="1075">
        <f t="shared" si="31"/>
        <v>2</v>
      </c>
      <c r="L186" s="328">
        <f t="shared" si="28"/>
        <v>0</v>
      </c>
      <c r="M186" s="328"/>
      <c r="N186" s="328"/>
      <c r="O186" s="328"/>
      <c r="P186" s="329">
        <f t="shared" si="29"/>
        <v>0</v>
      </c>
    </row>
    <row r="187" spans="1:16">
      <c r="A187" s="827">
        <v>178</v>
      </c>
      <c r="B187" s="1070" t="s">
        <v>98</v>
      </c>
      <c r="C187" s="1021"/>
      <c r="D187" s="1021" t="str">
        <f t="shared" si="30"/>
        <v>Year 2018</v>
      </c>
      <c r="E187" s="1021"/>
      <c r="F187" s="1071"/>
      <c r="G187" s="328"/>
      <c r="H187" s="1072"/>
      <c r="I187" s="1073"/>
      <c r="J187" s="1075">
        <f t="shared" si="31"/>
        <v>1</v>
      </c>
      <c r="L187" s="331">
        <f t="shared" si="28"/>
        <v>0</v>
      </c>
      <c r="M187" s="328"/>
      <c r="N187" s="328"/>
      <c r="O187" s="328"/>
      <c r="P187" s="329">
        <f t="shared" si="29"/>
        <v>0</v>
      </c>
    </row>
    <row r="188" spans="1:16">
      <c r="A188" s="827">
        <v>179</v>
      </c>
      <c r="B188" s="1070"/>
      <c r="C188" s="1021"/>
      <c r="D188" s="1021"/>
      <c r="E188" s="1021"/>
      <c r="F188" s="328"/>
      <c r="G188" s="328"/>
      <c r="H188" s="1073"/>
      <c r="I188" s="1073"/>
      <c r="L188" s="328">
        <f>SUM(L176:L187)</f>
        <v>0</v>
      </c>
      <c r="M188" s="328"/>
      <c r="N188" s="328"/>
      <c r="O188" s="328"/>
      <c r="P188" s="332">
        <f>SUM(P176:P187)</f>
        <v>0</v>
      </c>
    </row>
    <row r="189" spans="1:16">
      <c r="A189" s="827">
        <v>180</v>
      </c>
      <c r="B189" s="1070"/>
      <c r="C189" s="1021"/>
      <c r="D189" s="1021"/>
      <c r="E189" s="1021"/>
      <c r="F189" s="328"/>
      <c r="G189" s="328"/>
      <c r="H189" s="1073"/>
      <c r="I189" s="1073"/>
      <c r="L189" s="328"/>
      <c r="M189" s="328"/>
      <c r="N189" s="328"/>
      <c r="O189" s="328"/>
      <c r="P189" s="332"/>
    </row>
    <row r="190" spans="1:16">
      <c r="A190" s="827">
        <v>181</v>
      </c>
      <c r="B190" s="1070"/>
      <c r="C190" s="1021"/>
      <c r="D190" s="1021"/>
      <c r="E190" s="1021"/>
      <c r="F190" s="328"/>
      <c r="G190" s="328"/>
      <c r="H190" s="1073"/>
      <c r="I190" s="1073"/>
      <c r="L190" s="128" t="s">
        <v>1132</v>
      </c>
      <c r="M190" s="328"/>
      <c r="N190" s="328"/>
      <c r="O190" s="328"/>
      <c r="P190" s="332"/>
    </row>
    <row r="191" spans="1:16">
      <c r="A191" s="827">
        <v>182</v>
      </c>
      <c r="B191" s="1070"/>
      <c r="C191" s="1021"/>
      <c r="D191" s="1021"/>
      <c r="E191" s="1021"/>
      <c r="F191" s="328"/>
      <c r="G191" s="328"/>
      <c r="H191" s="1073"/>
      <c r="I191" s="1073"/>
      <c r="L191" s="128"/>
      <c r="M191" s="328"/>
      <c r="N191" s="328"/>
      <c r="O191" s="328"/>
      <c r="P191" s="332"/>
    </row>
    <row r="192" spans="1:16">
      <c r="A192" s="827">
        <v>183</v>
      </c>
      <c r="B192" s="1070" t="s">
        <v>146</v>
      </c>
      <c r="C192" s="1021"/>
      <c r="D192" s="1021" t="str">
        <f>+D145</f>
        <v>Year 2019</v>
      </c>
      <c r="E192" s="1021"/>
      <c r="F192" s="1051">
        <f>P188</f>
        <v>0</v>
      </c>
      <c r="G192" s="1051"/>
      <c r="H192" s="1072"/>
      <c r="I192" s="1073"/>
      <c r="J192" s="1074">
        <v>12</v>
      </c>
      <c r="K192" s="1021"/>
      <c r="L192" s="328">
        <f>+J192*H192*F192</f>
        <v>0</v>
      </c>
      <c r="M192" s="328"/>
      <c r="N192" s="328"/>
      <c r="O192" s="328"/>
      <c r="P192" s="332">
        <f>+F192+L192</f>
        <v>0</v>
      </c>
    </row>
    <row r="193" spans="1:16">
      <c r="A193" s="827">
        <v>184</v>
      </c>
      <c r="B193" s="1070" t="s">
        <v>146</v>
      </c>
      <c r="C193" s="1021"/>
      <c r="D193" s="1021" t="str">
        <f>+D146</f>
        <v>Year 2020</v>
      </c>
      <c r="E193" s="1021"/>
      <c r="F193" s="1051">
        <f>P192</f>
        <v>0</v>
      </c>
      <c r="G193" s="1051"/>
      <c r="H193" s="1072"/>
      <c r="I193" s="1073"/>
      <c r="J193" s="1074">
        <v>12</v>
      </c>
      <c r="K193" s="1021"/>
      <c r="L193" s="328">
        <f>+J193*H193*F193</f>
        <v>0</v>
      </c>
      <c r="M193" s="328"/>
      <c r="N193" s="328"/>
      <c r="O193" s="328"/>
      <c r="P193" s="332">
        <f>+F193+L193</f>
        <v>0</v>
      </c>
    </row>
    <row r="194" spans="1:16">
      <c r="A194" s="827">
        <v>185</v>
      </c>
      <c r="B194" s="1070"/>
      <c r="C194" s="1021"/>
      <c r="D194" s="1021"/>
      <c r="E194" s="1021"/>
      <c r="F194" s="1051"/>
      <c r="G194" s="1051"/>
      <c r="H194" s="1073"/>
      <c r="I194" s="1073"/>
      <c r="J194" s="1021"/>
      <c r="K194" s="1021"/>
      <c r="L194" s="328"/>
      <c r="M194" s="328"/>
      <c r="N194" s="328"/>
      <c r="O194" s="328"/>
      <c r="P194" s="332"/>
    </row>
    <row r="195" spans="1:16">
      <c r="A195" s="827">
        <v>186</v>
      </c>
      <c r="B195" s="1070"/>
      <c r="C195" s="1021"/>
      <c r="D195" s="1021"/>
      <c r="E195" s="1021"/>
      <c r="F195" s="1051"/>
      <c r="G195" s="1051"/>
      <c r="H195" s="1073"/>
      <c r="I195" s="1073"/>
      <c r="J195" s="1021"/>
      <c r="K195" s="1021"/>
      <c r="L195" s="328"/>
      <c r="M195" s="328"/>
      <c r="N195" s="328"/>
      <c r="O195" s="328"/>
      <c r="P195" s="329"/>
    </row>
    <row r="196" spans="1:16">
      <c r="A196" s="827">
        <v>187</v>
      </c>
      <c r="B196" s="1076" t="s">
        <v>147</v>
      </c>
      <c r="C196" s="1077"/>
      <c r="D196" s="1021"/>
      <c r="E196" s="1021"/>
      <c r="F196" s="328"/>
      <c r="G196" s="328"/>
      <c r="H196" s="1073"/>
      <c r="I196" s="1073"/>
      <c r="J196" s="1021"/>
      <c r="K196" s="1021"/>
      <c r="L196" s="128" t="s">
        <v>144</v>
      </c>
      <c r="M196" s="128"/>
      <c r="N196" s="328"/>
      <c r="O196" s="328"/>
      <c r="P196" s="329"/>
    </row>
    <row r="197" spans="1:16">
      <c r="A197" s="827">
        <v>188</v>
      </c>
      <c r="B197" s="1070" t="s">
        <v>105</v>
      </c>
      <c r="C197" s="1021"/>
      <c r="D197" s="1021" t="str">
        <f>+D150</f>
        <v>Year 2021</v>
      </c>
      <c r="E197" s="1021"/>
      <c r="F197" s="1078">
        <f>-P193</f>
        <v>0</v>
      </c>
      <c r="G197" s="1051"/>
      <c r="H197" s="1072"/>
      <c r="I197" s="1073"/>
      <c r="J197" s="1021"/>
      <c r="K197" s="1021"/>
      <c r="L197" s="328">
        <f t="shared" ref="L197:L208" si="32" xml:space="preserve"> -H197*F197</f>
        <v>0</v>
      </c>
      <c r="M197" s="328"/>
      <c r="N197" s="328">
        <f>-PMT(H197,12,P193)</f>
        <v>0</v>
      </c>
      <c r="O197" s="328"/>
      <c r="P197" s="329">
        <f t="shared" ref="P197:P208" si="33">(+F197+F197*H197+N197)*-1</f>
        <v>0</v>
      </c>
    </row>
    <row r="198" spans="1:16">
      <c r="A198" s="827">
        <v>189</v>
      </c>
      <c r="B198" s="1070" t="s">
        <v>104</v>
      </c>
      <c r="C198" s="1021"/>
      <c r="D198" s="1021" t="str">
        <f>+D197</f>
        <v>Year 2021</v>
      </c>
      <c r="E198" s="1021"/>
      <c r="F198" s="1051">
        <f t="shared" ref="F198:F208" si="34">-P197</f>
        <v>0</v>
      </c>
      <c r="G198" s="1051"/>
      <c r="H198" s="1072"/>
      <c r="I198" s="1073"/>
      <c r="J198" s="1021"/>
      <c r="K198" s="1021"/>
      <c r="L198" s="328">
        <f t="shared" si="32"/>
        <v>0</v>
      </c>
      <c r="M198" s="328"/>
      <c r="N198" s="328">
        <f t="shared" ref="N198:N208" si="35">N197</f>
        <v>0</v>
      </c>
      <c r="O198" s="328"/>
      <c r="P198" s="329">
        <f t="shared" si="33"/>
        <v>0</v>
      </c>
    </row>
    <row r="199" spans="1:16">
      <c r="A199" s="827">
        <v>190</v>
      </c>
      <c r="B199" s="1070" t="s">
        <v>103</v>
      </c>
      <c r="C199" s="1021"/>
      <c r="D199" s="1021" t="str">
        <f>+D198</f>
        <v>Year 2021</v>
      </c>
      <c r="E199" s="1021"/>
      <c r="F199" s="1051">
        <f t="shared" si="34"/>
        <v>0</v>
      </c>
      <c r="G199" s="1051"/>
      <c r="H199" s="1072"/>
      <c r="I199" s="1073"/>
      <c r="J199" s="1021"/>
      <c r="K199" s="1021"/>
      <c r="L199" s="328">
        <f t="shared" si="32"/>
        <v>0</v>
      </c>
      <c r="M199" s="328"/>
      <c r="N199" s="328">
        <f t="shared" si="35"/>
        <v>0</v>
      </c>
      <c r="O199" s="328"/>
      <c r="P199" s="329">
        <f t="shared" si="33"/>
        <v>0</v>
      </c>
    </row>
    <row r="200" spans="1:16">
      <c r="A200" s="827">
        <v>191</v>
      </c>
      <c r="B200" s="1070" t="s">
        <v>95</v>
      </c>
      <c r="C200" s="1021"/>
      <c r="D200" s="1021" t="str">
        <f>+D199</f>
        <v>Year 2021</v>
      </c>
      <c r="E200" s="1021"/>
      <c r="F200" s="1051">
        <f t="shared" si="34"/>
        <v>0</v>
      </c>
      <c r="G200" s="1051"/>
      <c r="H200" s="1072"/>
      <c r="I200" s="1073"/>
      <c r="J200" s="1021"/>
      <c r="K200" s="1021"/>
      <c r="L200" s="328">
        <f t="shared" si="32"/>
        <v>0</v>
      </c>
      <c r="M200" s="328"/>
      <c r="N200" s="328">
        <f t="shared" si="35"/>
        <v>0</v>
      </c>
      <c r="O200" s="328"/>
      <c r="P200" s="329">
        <f t="shared" si="33"/>
        <v>0</v>
      </c>
    </row>
    <row r="201" spans="1:16">
      <c r="A201" s="827">
        <v>192</v>
      </c>
      <c r="B201" s="1070" t="s">
        <v>92</v>
      </c>
      <c r="C201" s="1021"/>
      <c r="D201" s="1021" t="str">
        <f>+D200</f>
        <v>Year 2021</v>
      </c>
      <c r="E201" s="1021"/>
      <c r="F201" s="1051">
        <f t="shared" si="34"/>
        <v>0</v>
      </c>
      <c r="G201" s="1051"/>
      <c r="H201" s="1072"/>
      <c r="I201" s="1073"/>
      <c r="J201" s="1021"/>
      <c r="K201" s="1021"/>
      <c r="L201" s="328">
        <f t="shared" si="32"/>
        <v>0</v>
      </c>
      <c r="M201" s="328"/>
      <c r="N201" s="328">
        <f t="shared" si="35"/>
        <v>0</v>
      </c>
      <c r="O201" s="328"/>
      <c r="P201" s="329">
        <f t="shared" si="33"/>
        <v>0</v>
      </c>
    </row>
    <row r="202" spans="1:16">
      <c r="A202" s="827">
        <v>193</v>
      </c>
      <c r="B202" s="1070" t="s">
        <v>145</v>
      </c>
      <c r="C202" s="1021"/>
      <c r="D202" s="1021" t="str">
        <f>D201</f>
        <v>Year 2021</v>
      </c>
      <c r="E202" s="1021"/>
      <c r="F202" s="1051">
        <f t="shared" si="34"/>
        <v>0</v>
      </c>
      <c r="G202" s="1051"/>
      <c r="H202" s="1072"/>
      <c r="I202" s="1073"/>
      <c r="J202" s="1021"/>
      <c r="K202" s="1021"/>
      <c r="L202" s="328">
        <f t="shared" si="32"/>
        <v>0</v>
      </c>
      <c r="M202" s="328"/>
      <c r="N202" s="328">
        <f t="shared" si="35"/>
        <v>0</v>
      </c>
      <c r="O202" s="328"/>
      <c r="P202" s="329">
        <f t="shared" si="33"/>
        <v>0</v>
      </c>
    </row>
    <row r="203" spans="1:16">
      <c r="A203" s="827">
        <v>194</v>
      </c>
      <c r="B203" s="1070" t="s">
        <v>102</v>
      </c>
      <c r="C203" s="1021"/>
      <c r="D203" s="1021" t="str">
        <f t="shared" ref="D203:D208" si="36">+D202</f>
        <v>Year 2021</v>
      </c>
      <c r="E203" s="1021"/>
      <c r="F203" s="1051">
        <f t="shared" si="34"/>
        <v>0</v>
      </c>
      <c r="G203" s="1051"/>
      <c r="H203" s="1072"/>
      <c r="I203" s="1073"/>
      <c r="J203" s="1021"/>
      <c r="K203" s="1021"/>
      <c r="L203" s="328">
        <f t="shared" si="32"/>
        <v>0</v>
      </c>
      <c r="M203" s="328"/>
      <c r="N203" s="328">
        <f t="shared" si="35"/>
        <v>0</v>
      </c>
      <c r="O203" s="328"/>
      <c r="P203" s="329">
        <f t="shared" si="33"/>
        <v>0</v>
      </c>
    </row>
    <row r="204" spans="1:16">
      <c r="A204" s="827">
        <v>195</v>
      </c>
      <c r="B204" s="1070" t="s">
        <v>101</v>
      </c>
      <c r="C204" s="1021"/>
      <c r="D204" s="1021" t="str">
        <f t="shared" si="36"/>
        <v>Year 2021</v>
      </c>
      <c r="E204" s="1021"/>
      <c r="F204" s="1051">
        <f t="shared" si="34"/>
        <v>0</v>
      </c>
      <c r="G204" s="1051"/>
      <c r="H204" s="1072"/>
      <c r="I204" s="1073"/>
      <c r="J204" s="1021"/>
      <c r="K204" s="1021"/>
      <c r="L204" s="328">
        <f t="shared" si="32"/>
        <v>0</v>
      </c>
      <c r="M204" s="328"/>
      <c r="N204" s="328">
        <f t="shared" si="35"/>
        <v>0</v>
      </c>
      <c r="O204" s="328"/>
      <c r="P204" s="329">
        <f t="shared" si="33"/>
        <v>0</v>
      </c>
    </row>
    <row r="205" spans="1:16">
      <c r="A205" s="827">
        <v>196</v>
      </c>
      <c r="B205" s="1070" t="s">
        <v>100</v>
      </c>
      <c r="C205" s="1021"/>
      <c r="D205" s="1021" t="str">
        <f t="shared" si="36"/>
        <v>Year 2021</v>
      </c>
      <c r="E205" s="1021"/>
      <c r="F205" s="1051">
        <f t="shared" si="34"/>
        <v>0</v>
      </c>
      <c r="G205" s="1051"/>
      <c r="H205" s="1072"/>
      <c r="I205" s="1073"/>
      <c r="J205" s="1021"/>
      <c r="K205" s="1021"/>
      <c r="L205" s="328">
        <f t="shared" si="32"/>
        <v>0</v>
      </c>
      <c r="M205" s="328"/>
      <c r="N205" s="328">
        <f t="shared" si="35"/>
        <v>0</v>
      </c>
      <c r="O205" s="328"/>
      <c r="P205" s="329">
        <f t="shared" si="33"/>
        <v>0</v>
      </c>
    </row>
    <row r="206" spans="1:16">
      <c r="A206" s="827">
        <v>197</v>
      </c>
      <c r="B206" s="1070" t="s">
        <v>106</v>
      </c>
      <c r="C206" s="1021"/>
      <c r="D206" s="1021" t="str">
        <f t="shared" si="36"/>
        <v>Year 2021</v>
      </c>
      <c r="E206" s="1021"/>
      <c r="F206" s="1051">
        <f t="shared" si="34"/>
        <v>0</v>
      </c>
      <c r="G206" s="1051"/>
      <c r="H206" s="1072"/>
      <c r="I206" s="1073"/>
      <c r="J206" s="1021"/>
      <c r="K206" s="1021"/>
      <c r="L206" s="328">
        <f t="shared" si="32"/>
        <v>0</v>
      </c>
      <c r="M206" s="328"/>
      <c r="N206" s="328">
        <f t="shared" si="35"/>
        <v>0</v>
      </c>
      <c r="O206" s="328"/>
      <c r="P206" s="329">
        <f t="shared" si="33"/>
        <v>0</v>
      </c>
    </row>
    <row r="207" spans="1:16">
      <c r="A207" s="827">
        <v>198</v>
      </c>
      <c r="B207" s="1070" t="s">
        <v>99</v>
      </c>
      <c r="C207" s="1021"/>
      <c r="D207" s="1021" t="str">
        <f t="shared" si="36"/>
        <v>Year 2021</v>
      </c>
      <c r="E207" s="1021"/>
      <c r="F207" s="1051">
        <f t="shared" si="34"/>
        <v>0</v>
      </c>
      <c r="G207" s="1051"/>
      <c r="H207" s="1072"/>
      <c r="I207" s="1073"/>
      <c r="J207" s="1021"/>
      <c r="K207" s="1021"/>
      <c r="L207" s="328">
        <f t="shared" si="32"/>
        <v>0</v>
      </c>
      <c r="M207" s="328"/>
      <c r="N207" s="328">
        <f t="shared" si="35"/>
        <v>0</v>
      </c>
      <c r="O207" s="328"/>
      <c r="P207" s="329">
        <f t="shared" si="33"/>
        <v>0</v>
      </c>
    </row>
    <row r="208" spans="1:16">
      <c r="A208" s="827">
        <v>199</v>
      </c>
      <c r="B208" s="1070" t="s">
        <v>98</v>
      </c>
      <c r="C208" s="1021"/>
      <c r="D208" s="1021" t="str">
        <f t="shared" si="36"/>
        <v>Year 2021</v>
      </c>
      <c r="E208" s="1021"/>
      <c r="F208" s="1051">
        <f t="shared" si="34"/>
        <v>0</v>
      </c>
      <c r="G208" s="1051"/>
      <c r="H208" s="1072"/>
      <c r="I208" s="1073"/>
      <c r="J208" s="1021"/>
      <c r="K208" s="1021"/>
      <c r="L208" s="331">
        <f t="shared" si="32"/>
        <v>0</v>
      </c>
      <c r="M208" s="328"/>
      <c r="N208" s="328">
        <f t="shared" si="35"/>
        <v>0</v>
      </c>
      <c r="O208" s="328"/>
      <c r="P208" s="329">
        <f t="shared" si="33"/>
        <v>0</v>
      </c>
    </row>
    <row r="209" spans="1:16">
      <c r="A209" s="827">
        <v>200</v>
      </c>
      <c r="B209" s="1070"/>
      <c r="C209" s="1021"/>
      <c r="D209" s="1021"/>
      <c r="E209" s="1021"/>
      <c r="F209" s="1051"/>
      <c r="G209" s="1051"/>
      <c r="H209" s="1073"/>
      <c r="I209" s="1073"/>
      <c r="J209" s="1021"/>
      <c r="K209" s="1021"/>
      <c r="L209" s="328">
        <f>SUM(L197:L208)</f>
        <v>0</v>
      </c>
      <c r="M209" s="328"/>
      <c r="N209" s="328"/>
      <c r="O209" s="328"/>
      <c r="P209" s="329"/>
    </row>
    <row r="210" spans="1:16">
      <c r="A210" s="827">
        <v>201</v>
      </c>
      <c r="B210" s="1080"/>
      <c r="P210" s="1081"/>
    </row>
    <row r="211" spans="1:16">
      <c r="A211" s="827">
        <v>202</v>
      </c>
      <c r="B211" s="1070" t="s">
        <v>909</v>
      </c>
      <c r="C211" s="1021"/>
      <c r="F211" s="324" t="s">
        <v>1136</v>
      </c>
      <c r="N211" s="333">
        <f>SUM(N197:N208)</f>
        <v>0</v>
      </c>
      <c r="P211" s="1081"/>
    </row>
    <row r="212" spans="1:16">
      <c r="A212" s="827">
        <v>203</v>
      </c>
      <c r="B212" s="1070" t="s">
        <v>148</v>
      </c>
      <c r="C212" s="1021"/>
      <c r="F212" s="324" t="s">
        <v>959</v>
      </c>
      <c r="N212" s="333">
        <f>L13</f>
        <v>0</v>
      </c>
      <c r="P212" s="1081"/>
    </row>
    <row r="213" spans="1:16">
      <c r="A213" s="827">
        <v>204</v>
      </c>
      <c r="B213" s="1082" t="s">
        <v>149</v>
      </c>
      <c r="C213" s="1083"/>
      <c r="D213" s="566"/>
      <c r="E213" s="566"/>
      <c r="F213" s="566" t="s">
        <v>960</v>
      </c>
      <c r="G213" s="566"/>
      <c r="H213" s="566"/>
      <c r="I213" s="566"/>
      <c r="J213" s="566"/>
      <c r="K213" s="566"/>
      <c r="L213" s="566"/>
      <c r="M213" s="566"/>
      <c r="N213" s="335">
        <f>(N211+N212)</f>
        <v>0</v>
      </c>
      <c r="O213" s="566"/>
      <c r="P213" s="1084"/>
    </row>
    <row r="214" spans="1:16">
      <c r="A214" s="827">
        <v>205</v>
      </c>
    </row>
    <row r="215" spans="1:16">
      <c r="A215" s="827">
        <v>206</v>
      </c>
    </row>
    <row r="216" spans="1:16">
      <c r="A216" s="827">
        <v>207</v>
      </c>
      <c r="B216" s="1060" t="s">
        <v>547</v>
      </c>
      <c r="C216" s="1061"/>
      <c r="D216" s="1062"/>
      <c r="E216" s="1062"/>
      <c r="F216" s="1062"/>
      <c r="G216" s="1062"/>
      <c r="H216" s="1063"/>
      <c r="I216" s="1063"/>
      <c r="J216" s="1063"/>
      <c r="K216" s="1063"/>
      <c r="L216" s="1064"/>
      <c r="M216" s="1064"/>
      <c r="N216" s="1062"/>
      <c r="O216" s="1062"/>
      <c r="P216" s="1065"/>
    </row>
    <row r="217" spans="1:16">
      <c r="A217" s="827">
        <v>208</v>
      </c>
      <c r="B217" s="1066"/>
      <c r="C217" s="1067"/>
      <c r="D217" s="1023"/>
      <c r="E217" s="1023"/>
      <c r="F217" s="1023"/>
      <c r="G217" s="1023"/>
      <c r="H217" s="1021"/>
      <c r="I217" s="1021"/>
      <c r="J217" s="1021"/>
      <c r="K217" s="1021"/>
      <c r="L217" s="1024" t="s">
        <v>144</v>
      </c>
      <c r="M217" s="1024"/>
      <c r="N217" s="1023"/>
      <c r="O217" s="1023"/>
      <c r="P217" s="1068"/>
    </row>
    <row r="218" spans="1:16">
      <c r="A218" s="827">
        <v>209</v>
      </c>
      <c r="B218" s="1069"/>
      <c r="C218" s="1067"/>
      <c r="D218" s="1023"/>
      <c r="E218" s="1023"/>
      <c r="F218" s="1023"/>
      <c r="G218" s="1023"/>
      <c r="H218" s="1021"/>
      <c r="I218" s="1021"/>
      <c r="J218" s="1021"/>
      <c r="K218" s="1021"/>
      <c r="L218" s="1024"/>
      <c r="M218" s="1024"/>
      <c r="N218" s="1023"/>
      <c r="O218" s="1023"/>
      <c r="P218" s="1068"/>
    </row>
    <row r="219" spans="1:16">
      <c r="A219" s="827">
        <v>210</v>
      </c>
      <c r="B219" s="1070" t="s">
        <v>105</v>
      </c>
      <c r="C219" s="1021"/>
      <c r="D219" s="1021" t="str">
        <f>+D192</f>
        <v>Year 2019</v>
      </c>
      <c r="E219" s="1021"/>
      <c r="F219" s="1071"/>
      <c r="G219" s="328"/>
      <c r="H219" s="1072"/>
      <c r="I219" s="1073"/>
      <c r="J219" s="1074">
        <v>12</v>
      </c>
      <c r="K219" s="1021"/>
      <c r="L219" s="328">
        <f t="shared" ref="L219:L230" si="37">H219*F219*J219*-1</f>
        <v>0</v>
      </c>
      <c r="M219" s="328"/>
      <c r="N219" s="328"/>
      <c r="O219" s="328"/>
      <c r="P219" s="329">
        <f t="shared" ref="P219:P230" si="38">(-L219+F219)*-1</f>
        <v>0</v>
      </c>
    </row>
    <row r="220" spans="1:16">
      <c r="A220" s="827">
        <v>211</v>
      </c>
      <c r="B220" s="1070" t="s">
        <v>104</v>
      </c>
      <c r="C220" s="1021"/>
      <c r="D220" s="1021" t="str">
        <f t="shared" ref="D220:D230" si="39">D219</f>
        <v>Year 2019</v>
      </c>
      <c r="E220" s="1021"/>
      <c r="F220" s="1071"/>
      <c r="G220" s="328"/>
      <c r="H220" s="1072"/>
      <c r="I220" s="1073"/>
      <c r="J220" s="1075">
        <f t="shared" ref="J220:J230" si="40">+J219-1</f>
        <v>11</v>
      </c>
      <c r="L220" s="328">
        <f t="shared" si="37"/>
        <v>0</v>
      </c>
      <c r="M220" s="328"/>
      <c r="N220" s="328"/>
      <c r="O220" s="328"/>
      <c r="P220" s="329">
        <f t="shared" si="38"/>
        <v>0</v>
      </c>
    </row>
    <row r="221" spans="1:16">
      <c r="A221" s="827">
        <v>212</v>
      </c>
      <c r="B221" s="1070" t="s">
        <v>103</v>
      </c>
      <c r="C221" s="1021"/>
      <c r="D221" s="1021" t="str">
        <f t="shared" si="39"/>
        <v>Year 2019</v>
      </c>
      <c r="E221" s="1021"/>
      <c r="F221" s="1071"/>
      <c r="G221" s="328"/>
      <c r="H221" s="1072"/>
      <c r="I221" s="1073"/>
      <c r="J221" s="1075">
        <f t="shared" si="40"/>
        <v>10</v>
      </c>
      <c r="L221" s="328">
        <f t="shared" si="37"/>
        <v>0</v>
      </c>
      <c r="M221" s="328"/>
      <c r="N221" s="328"/>
      <c r="O221" s="328"/>
      <c r="P221" s="329">
        <f t="shared" si="38"/>
        <v>0</v>
      </c>
    </row>
    <row r="222" spans="1:16">
      <c r="A222" s="827">
        <v>213</v>
      </c>
      <c r="B222" s="1070" t="s">
        <v>95</v>
      </c>
      <c r="C222" s="1021"/>
      <c r="D222" s="1021" t="str">
        <f t="shared" si="39"/>
        <v>Year 2019</v>
      </c>
      <c r="E222" s="1021"/>
      <c r="F222" s="1071"/>
      <c r="G222" s="328"/>
      <c r="H222" s="1072"/>
      <c r="I222" s="1073"/>
      <c r="J222" s="1075">
        <f t="shared" si="40"/>
        <v>9</v>
      </c>
      <c r="L222" s="328">
        <f t="shared" si="37"/>
        <v>0</v>
      </c>
      <c r="M222" s="328"/>
      <c r="N222" s="328"/>
      <c r="O222" s="328"/>
      <c r="P222" s="329">
        <f t="shared" si="38"/>
        <v>0</v>
      </c>
    </row>
    <row r="223" spans="1:16">
      <c r="A223" s="827">
        <v>214</v>
      </c>
      <c r="B223" s="1070" t="s">
        <v>92</v>
      </c>
      <c r="C223" s="1021"/>
      <c r="D223" s="1021" t="str">
        <f t="shared" si="39"/>
        <v>Year 2019</v>
      </c>
      <c r="E223" s="1021"/>
      <c r="F223" s="1071"/>
      <c r="G223" s="328"/>
      <c r="H223" s="1072"/>
      <c r="I223" s="1073"/>
      <c r="J223" s="1075">
        <f t="shared" si="40"/>
        <v>8</v>
      </c>
      <c r="L223" s="328">
        <f t="shared" si="37"/>
        <v>0</v>
      </c>
      <c r="M223" s="328"/>
      <c r="N223" s="328"/>
      <c r="O223" s="328"/>
      <c r="P223" s="329">
        <f t="shared" si="38"/>
        <v>0</v>
      </c>
    </row>
    <row r="224" spans="1:16">
      <c r="A224" s="827">
        <v>215</v>
      </c>
      <c r="B224" s="1070" t="s">
        <v>145</v>
      </c>
      <c r="C224" s="1021"/>
      <c r="D224" s="1021" t="str">
        <f t="shared" si="39"/>
        <v>Year 2019</v>
      </c>
      <c r="E224" s="1021"/>
      <c r="F224" s="1071"/>
      <c r="G224" s="328"/>
      <c r="H224" s="1072"/>
      <c r="I224" s="1073"/>
      <c r="J224" s="1075">
        <f t="shared" si="40"/>
        <v>7</v>
      </c>
      <c r="L224" s="328">
        <f t="shared" si="37"/>
        <v>0</v>
      </c>
      <c r="M224" s="328"/>
      <c r="N224" s="328"/>
      <c r="O224" s="328"/>
      <c r="P224" s="329">
        <f t="shared" si="38"/>
        <v>0</v>
      </c>
    </row>
    <row r="225" spans="1:16">
      <c r="A225" s="827">
        <v>216</v>
      </c>
      <c r="B225" s="1070" t="s">
        <v>102</v>
      </c>
      <c r="C225" s="1021"/>
      <c r="D225" s="1021" t="str">
        <f t="shared" si="39"/>
        <v>Year 2019</v>
      </c>
      <c r="E225" s="1021"/>
      <c r="F225" s="1071"/>
      <c r="G225" s="328"/>
      <c r="H225" s="1072"/>
      <c r="I225" s="1073"/>
      <c r="J225" s="1075">
        <f t="shared" si="40"/>
        <v>6</v>
      </c>
      <c r="L225" s="328">
        <f t="shared" si="37"/>
        <v>0</v>
      </c>
      <c r="M225" s="328"/>
      <c r="N225" s="328"/>
      <c r="O225" s="328"/>
      <c r="P225" s="329">
        <f t="shared" si="38"/>
        <v>0</v>
      </c>
    </row>
    <row r="226" spans="1:16">
      <c r="A226" s="827">
        <v>217</v>
      </c>
      <c r="B226" s="1070" t="s">
        <v>101</v>
      </c>
      <c r="C226" s="1021"/>
      <c r="D226" s="1021" t="str">
        <f t="shared" si="39"/>
        <v>Year 2019</v>
      </c>
      <c r="E226" s="1021"/>
      <c r="F226" s="1071"/>
      <c r="G226" s="328"/>
      <c r="H226" s="1072"/>
      <c r="I226" s="1073"/>
      <c r="J226" s="1075">
        <f t="shared" si="40"/>
        <v>5</v>
      </c>
      <c r="L226" s="328">
        <f t="shared" si="37"/>
        <v>0</v>
      </c>
      <c r="M226" s="328"/>
      <c r="N226" s="328"/>
      <c r="O226" s="328"/>
      <c r="P226" s="329">
        <f t="shared" si="38"/>
        <v>0</v>
      </c>
    </row>
    <row r="227" spans="1:16">
      <c r="A227" s="827">
        <v>218</v>
      </c>
      <c r="B227" s="1070" t="s">
        <v>100</v>
      </c>
      <c r="C227" s="1021"/>
      <c r="D227" s="1021" t="str">
        <f t="shared" si="39"/>
        <v>Year 2019</v>
      </c>
      <c r="E227" s="1021"/>
      <c r="F227" s="1071"/>
      <c r="G227" s="328"/>
      <c r="H227" s="1072"/>
      <c r="I227" s="1073"/>
      <c r="J227" s="1075">
        <f t="shared" si="40"/>
        <v>4</v>
      </c>
      <c r="L227" s="328">
        <f t="shared" si="37"/>
        <v>0</v>
      </c>
      <c r="M227" s="328"/>
      <c r="N227" s="328"/>
      <c r="O227" s="328"/>
      <c r="P227" s="329">
        <f t="shared" si="38"/>
        <v>0</v>
      </c>
    </row>
    <row r="228" spans="1:16">
      <c r="A228" s="827">
        <v>219</v>
      </c>
      <c r="B228" s="1070" t="s">
        <v>106</v>
      </c>
      <c r="C228" s="1021"/>
      <c r="D228" s="1021" t="str">
        <f t="shared" si="39"/>
        <v>Year 2019</v>
      </c>
      <c r="E228" s="1021"/>
      <c r="F228" s="1071"/>
      <c r="G228" s="328"/>
      <c r="H228" s="1072"/>
      <c r="I228" s="1073"/>
      <c r="J228" s="1075">
        <f t="shared" si="40"/>
        <v>3</v>
      </c>
      <c r="L228" s="328">
        <f t="shared" si="37"/>
        <v>0</v>
      </c>
      <c r="M228" s="328"/>
      <c r="N228" s="328"/>
      <c r="O228" s="328"/>
      <c r="P228" s="329">
        <f t="shared" si="38"/>
        <v>0</v>
      </c>
    </row>
    <row r="229" spans="1:16">
      <c r="A229" s="827">
        <v>220</v>
      </c>
      <c r="B229" s="1070" t="s">
        <v>99</v>
      </c>
      <c r="C229" s="1021"/>
      <c r="D229" s="1021" t="str">
        <f t="shared" si="39"/>
        <v>Year 2019</v>
      </c>
      <c r="E229" s="1021"/>
      <c r="F229" s="1071"/>
      <c r="G229" s="328"/>
      <c r="H229" s="1072"/>
      <c r="I229" s="1073"/>
      <c r="J229" s="1075">
        <f t="shared" si="40"/>
        <v>2</v>
      </c>
      <c r="L229" s="328">
        <f t="shared" si="37"/>
        <v>0</v>
      </c>
      <c r="M229" s="328"/>
      <c r="N229" s="328"/>
      <c r="O229" s="328"/>
      <c r="P229" s="329">
        <f t="shared" si="38"/>
        <v>0</v>
      </c>
    </row>
    <row r="230" spans="1:16">
      <c r="A230" s="827">
        <v>221</v>
      </c>
      <c r="B230" s="1070" t="s">
        <v>98</v>
      </c>
      <c r="C230" s="1021"/>
      <c r="D230" s="1021" t="str">
        <f t="shared" si="39"/>
        <v>Year 2019</v>
      </c>
      <c r="E230" s="1021"/>
      <c r="F230" s="1071"/>
      <c r="G230" s="328"/>
      <c r="H230" s="1072"/>
      <c r="I230" s="1073"/>
      <c r="J230" s="1075">
        <f t="shared" si="40"/>
        <v>1</v>
      </c>
      <c r="L230" s="331">
        <f t="shared" si="37"/>
        <v>0</v>
      </c>
      <c r="M230" s="328"/>
      <c r="N230" s="328"/>
      <c r="O230" s="328"/>
      <c r="P230" s="329">
        <f t="shared" si="38"/>
        <v>0</v>
      </c>
    </row>
    <row r="231" spans="1:16">
      <c r="A231" s="827">
        <v>222</v>
      </c>
      <c r="B231" s="1070"/>
      <c r="C231" s="1021"/>
      <c r="D231" s="1021"/>
      <c r="E231" s="1021"/>
      <c r="F231" s="328"/>
      <c r="G231" s="328"/>
      <c r="H231" s="1073"/>
      <c r="I231" s="1073"/>
      <c r="L231" s="328">
        <f>SUM(L219:L230)</f>
        <v>0</v>
      </c>
      <c r="M231" s="328"/>
      <c r="N231" s="328"/>
      <c r="O231" s="328"/>
      <c r="P231" s="332">
        <f>SUM(P219:P230)</f>
        <v>0</v>
      </c>
    </row>
    <row r="232" spans="1:16">
      <c r="A232" s="827">
        <v>223</v>
      </c>
      <c r="B232" s="1070"/>
      <c r="C232" s="1021"/>
      <c r="D232" s="1021"/>
      <c r="E232" s="1021"/>
      <c r="F232" s="328"/>
      <c r="G232" s="328"/>
      <c r="H232" s="1073"/>
      <c r="I232" s="1073"/>
      <c r="L232" s="328"/>
      <c r="M232" s="328"/>
      <c r="N232" s="328"/>
      <c r="O232" s="328"/>
      <c r="P232" s="332"/>
    </row>
    <row r="233" spans="1:16">
      <c r="A233" s="827">
        <v>224</v>
      </c>
      <c r="B233" s="1070"/>
      <c r="C233" s="1021"/>
      <c r="D233" s="1021"/>
      <c r="E233" s="1021"/>
      <c r="F233" s="328"/>
      <c r="G233" s="328"/>
      <c r="H233" s="1073"/>
      <c r="I233" s="1073"/>
      <c r="L233" s="128" t="s">
        <v>1132</v>
      </c>
      <c r="M233" s="328"/>
      <c r="N233" s="328"/>
      <c r="O233" s="328"/>
      <c r="P233" s="332"/>
    </row>
    <row r="234" spans="1:16">
      <c r="A234" s="827">
        <v>225</v>
      </c>
      <c r="B234" s="1070"/>
      <c r="C234" s="1021"/>
      <c r="D234" s="1021"/>
      <c r="E234" s="1021"/>
      <c r="F234" s="328"/>
      <c r="G234" s="328"/>
      <c r="H234" s="1073"/>
      <c r="I234" s="1073"/>
      <c r="L234" s="128"/>
      <c r="M234" s="328"/>
      <c r="N234" s="328"/>
      <c r="O234" s="328"/>
      <c r="P234" s="332"/>
    </row>
    <row r="235" spans="1:16">
      <c r="A235" s="827">
        <v>226</v>
      </c>
      <c r="B235" s="1070" t="s">
        <v>146</v>
      </c>
      <c r="C235" s="1021"/>
      <c r="D235" s="1021" t="str">
        <f>+D193</f>
        <v>Year 2020</v>
      </c>
      <c r="E235" s="1021"/>
      <c r="F235" s="1051">
        <f>P231</f>
        <v>0</v>
      </c>
      <c r="G235" s="1051"/>
      <c r="H235" s="1072"/>
      <c r="I235" s="1073"/>
      <c r="J235" s="1074">
        <v>12</v>
      </c>
      <c r="K235" s="1021"/>
      <c r="L235" s="328">
        <f>+J235*H235*F235</f>
        <v>0</v>
      </c>
      <c r="M235" s="328"/>
      <c r="N235" s="328"/>
      <c r="O235" s="328"/>
      <c r="P235" s="332">
        <f>+F235+L235</f>
        <v>0</v>
      </c>
    </row>
    <row r="236" spans="1:16">
      <c r="A236" s="827">
        <v>227</v>
      </c>
      <c r="B236" s="1070"/>
      <c r="C236" s="1021"/>
      <c r="D236" s="1021"/>
      <c r="E236" s="1021"/>
      <c r="F236" s="1051"/>
      <c r="G236" s="1051"/>
      <c r="H236" s="1073"/>
      <c r="I236" s="1073"/>
      <c r="J236" s="1021"/>
      <c r="K236" s="1021"/>
      <c r="L236" s="328"/>
      <c r="M236" s="328"/>
      <c r="N236" s="328"/>
      <c r="O236" s="328"/>
      <c r="P236" s="332"/>
    </row>
    <row r="237" spans="1:16">
      <c r="A237" s="827">
        <v>228</v>
      </c>
      <c r="B237" s="1070"/>
      <c r="C237" s="1021"/>
      <c r="D237" s="1021"/>
      <c r="E237" s="1021"/>
      <c r="F237" s="1051"/>
      <c r="G237" s="1051"/>
      <c r="H237" s="1073"/>
      <c r="I237" s="1073"/>
      <c r="J237" s="1021"/>
      <c r="K237" s="1021"/>
      <c r="L237" s="328"/>
      <c r="M237" s="328"/>
      <c r="N237" s="328"/>
      <c r="O237" s="328"/>
      <c r="P237" s="329"/>
    </row>
    <row r="238" spans="1:16">
      <c r="A238" s="827">
        <v>229</v>
      </c>
      <c r="B238" s="1076" t="s">
        <v>147</v>
      </c>
      <c r="C238" s="1077"/>
      <c r="D238" s="1021"/>
      <c r="E238" s="1021"/>
      <c r="F238" s="328"/>
      <c r="G238" s="328"/>
      <c r="H238" s="1073"/>
      <c r="I238" s="1073"/>
      <c r="J238" s="1021"/>
      <c r="K238" s="1021"/>
      <c r="L238" s="128" t="s">
        <v>144</v>
      </c>
      <c r="M238" s="128"/>
      <c r="N238" s="328"/>
      <c r="O238" s="328"/>
      <c r="P238" s="329"/>
    </row>
    <row r="239" spans="1:16">
      <c r="A239" s="827">
        <v>230</v>
      </c>
      <c r="B239" s="1070" t="s">
        <v>105</v>
      </c>
      <c r="C239" s="1021"/>
      <c r="D239" s="1021" t="str">
        <f>+D197</f>
        <v>Year 2021</v>
      </c>
      <c r="E239" s="1021"/>
      <c r="F239" s="1078">
        <f>-P235</f>
        <v>0</v>
      </c>
      <c r="G239" s="1051"/>
      <c r="H239" s="1072"/>
      <c r="I239" s="1073"/>
      <c r="J239" s="1021"/>
      <c r="K239" s="1021"/>
      <c r="L239" s="328">
        <f t="shared" ref="L239:L250" si="41" xml:space="preserve"> -H239*F239</f>
        <v>0</v>
      </c>
      <c r="M239" s="328"/>
      <c r="N239" s="328">
        <f>-PMT(H239,12,P235)</f>
        <v>0</v>
      </c>
      <c r="O239" s="328"/>
      <c r="P239" s="329">
        <f t="shared" ref="P239:P250" si="42">(+F239+F239*H239+N239)*-1</f>
        <v>0</v>
      </c>
    </row>
    <row r="240" spans="1:16">
      <c r="A240" s="827">
        <v>231</v>
      </c>
      <c r="B240" s="1070" t="s">
        <v>104</v>
      </c>
      <c r="C240" s="1021"/>
      <c r="D240" s="1021" t="str">
        <f>+D239</f>
        <v>Year 2021</v>
      </c>
      <c r="E240" s="1021"/>
      <c r="F240" s="1051">
        <f t="shared" ref="F240:F250" si="43">-P239</f>
        <v>0</v>
      </c>
      <c r="G240" s="1051"/>
      <c r="H240" s="1072"/>
      <c r="I240" s="1073"/>
      <c r="J240" s="1021"/>
      <c r="K240" s="1021"/>
      <c r="L240" s="328">
        <f t="shared" si="41"/>
        <v>0</v>
      </c>
      <c r="M240" s="328"/>
      <c r="N240" s="328">
        <f t="shared" ref="N240:N250" si="44">N239</f>
        <v>0</v>
      </c>
      <c r="O240" s="328"/>
      <c r="P240" s="329">
        <f t="shared" si="42"/>
        <v>0</v>
      </c>
    </row>
    <row r="241" spans="1:16">
      <c r="A241" s="827">
        <v>232</v>
      </c>
      <c r="B241" s="1070" t="s">
        <v>103</v>
      </c>
      <c r="C241" s="1021"/>
      <c r="D241" s="1021" t="str">
        <f>+D240</f>
        <v>Year 2021</v>
      </c>
      <c r="E241" s="1021"/>
      <c r="F241" s="1051">
        <f t="shared" si="43"/>
        <v>0</v>
      </c>
      <c r="G241" s="1051"/>
      <c r="H241" s="1072"/>
      <c r="I241" s="1073"/>
      <c r="J241" s="1021"/>
      <c r="K241" s="1021"/>
      <c r="L241" s="328">
        <f t="shared" si="41"/>
        <v>0</v>
      </c>
      <c r="M241" s="328"/>
      <c r="N241" s="328">
        <f t="shared" si="44"/>
        <v>0</v>
      </c>
      <c r="O241" s="328"/>
      <c r="P241" s="329">
        <f t="shared" si="42"/>
        <v>0</v>
      </c>
    </row>
    <row r="242" spans="1:16">
      <c r="A242" s="827">
        <v>233</v>
      </c>
      <c r="B242" s="1070" t="s">
        <v>95</v>
      </c>
      <c r="C242" s="1021"/>
      <c r="D242" s="1021" t="str">
        <f>+D241</f>
        <v>Year 2021</v>
      </c>
      <c r="E242" s="1021"/>
      <c r="F242" s="1051">
        <f t="shared" si="43"/>
        <v>0</v>
      </c>
      <c r="G242" s="1051"/>
      <c r="H242" s="1072"/>
      <c r="I242" s="1073"/>
      <c r="J242" s="1021"/>
      <c r="K242" s="1021"/>
      <c r="L242" s="328">
        <f t="shared" si="41"/>
        <v>0</v>
      </c>
      <c r="M242" s="328"/>
      <c r="N242" s="328">
        <f t="shared" si="44"/>
        <v>0</v>
      </c>
      <c r="O242" s="328"/>
      <c r="P242" s="329">
        <f t="shared" si="42"/>
        <v>0</v>
      </c>
    </row>
    <row r="243" spans="1:16">
      <c r="A243" s="827">
        <v>234</v>
      </c>
      <c r="B243" s="1070" t="s">
        <v>92</v>
      </c>
      <c r="C243" s="1021"/>
      <c r="D243" s="1021" t="str">
        <f>+D242</f>
        <v>Year 2021</v>
      </c>
      <c r="E243" s="1021"/>
      <c r="F243" s="1051">
        <f t="shared" si="43"/>
        <v>0</v>
      </c>
      <c r="G243" s="1051"/>
      <c r="H243" s="1072"/>
      <c r="I243" s="1073"/>
      <c r="J243" s="1021"/>
      <c r="K243" s="1021"/>
      <c r="L243" s="328">
        <f t="shared" si="41"/>
        <v>0</v>
      </c>
      <c r="M243" s="328"/>
      <c r="N243" s="328">
        <f t="shared" si="44"/>
        <v>0</v>
      </c>
      <c r="O243" s="328"/>
      <c r="P243" s="329">
        <f t="shared" si="42"/>
        <v>0</v>
      </c>
    </row>
    <row r="244" spans="1:16">
      <c r="A244" s="827">
        <v>235</v>
      </c>
      <c r="B244" s="1070" t="s">
        <v>145</v>
      </c>
      <c r="C244" s="1021"/>
      <c r="D244" s="1021" t="str">
        <f>D243</f>
        <v>Year 2021</v>
      </c>
      <c r="E244" s="1021"/>
      <c r="F244" s="1051">
        <f t="shared" si="43"/>
        <v>0</v>
      </c>
      <c r="G244" s="1051"/>
      <c r="H244" s="1072"/>
      <c r="I244" s="1073"/>
      <c r="J244" s="1021"/>
      <c r="K244" s="1021"/>
      <c r="L244" s="328">
        <f t="shared" si="41"/>
        <v>0</v>
      </c>
      <c r="M244" s="328"/>
      <c r="N244" s="328">
        <f t="shared" si="44"/>
        <v>0</v>
      </c>
      <c r="O244" s="328"/>
      <c r="P244" s="329">
        <f t="shared" si="42"/>
        <v>0</v>
      </c>
    </row>
    <row r="245" spans="1:16">
      <c r="A245" s="827">
        <v>236</v>
      </c>
      <c r="B245" s="1070" t="s">
        <v>102</v>
      </c>
      <c r="C245" s="1021"/>
      <c r="D245" s="1021" t="str">
        <f t="shared" ref="D245:D250" si="45">+D244</f>
        <v>Year 2021</v>
      </c>
      <c r="E245" s="1021"/>
      <c r="F245" s="1051">
        <f t="shared" si="43"/>
        <v>0</v>
      </c>
      <c r="G245" s="1051"/>
      <c r="H245" s="1072"/>
      <c r="I245" s="1073"/>
      <c r="J245" s="1021"/>
      <c r="K245" s="1021"/>
      <c r="L245" s="328">
        <f t="shared" si="41"/>
        <v>0</v>
      </c>
      <c r="M245" s="328"/>
      <c r="N245" s="328">
        <f t="shared" si="44"/>
        <v>0</v>
      </c>
      <c r="O245" s="328"/>
      <c r="P245" s="329">
        <f t="shared" si="42"/>
        <v>0</v>
      </c>
    </row>
    <row r="246" spans="1:16">
      <c r="A246" s="827">
        <v>237</v>
      </c>
      <c r="B246" s="1070" t="s">
        <v>101</v>
      </c>
      <c r="C246" s="1021"/>
      <c r="D246" s="1021" t="str">
        <f t="shared" si="45"/>
        <v>Year 2021</v>
      </c>
      <c r="E246" s="1021"/>
      <c r="F246" s="1051">
        <f t="shared" si="43"/>
        <v>0</v>
      </c>
      <c r="G246" s="1051"/>
      <c r="H246" s="1072"/>
      <c r="I246" s="1073"/>
      <c r="J246" s="1021"/>
      <c r="K246" s="1021"/>
      <c r="L246" s="328">
        <f t="shared" si="41"/>
        <v>0</v>
      </c>
      <c r="M246" s="328"/>
      <c r="N246" s="328">
        <f t="shared" si="44"/>
        <v>0</v>
      </c>
      <c r="O246" s="328"/>
      <c r="P246" s="329">
        <f t="shared" si="42"/>
        <v>0</v>
      </c>
    </row>
    <row r="247" spans="1:16">
      <c r="A247" s="827">
        <v>238</v>
      </c>
      <c r="B247" s="1070" t="s">
        <v>100</v>
      </c>
      <c r="C247" s="1021"/>
      <c r="D247" s="1021" t="str">
        <f t="shared" si="45"/>
        <v>Year 2021</v>
      </c>
      <c r="E247" s="1021"/>
      <c r="F247" s="1051">
        <f t="shared" si="43"/>
        <v>0</v>
      </c>
      <c r="G247" s="1051"/>
      <c r="H247" s="1072"/>
      <c r="I247" s="1073"/>
      <c r="J247" s="1021"/>
      <c r="K247" s="1021"/>
      <c r="L247" s="328">
        <f t="shared" si="41"/>
        <v>0</v>
      </c>
      <c r="M247" s="328"/>
      <c r="N247" s="328">
        <f t="shared" si="44"/>
        <v>0</v>
      </c>
      <c r="O247" s="328"/>
      <c r="P247" s="329">
        <f t="shared" si="42"/>
        <v>0</v>
      </c>
    </row>
    <row r="248" spans="1:16">
      <c r="A248" s="827">
        <v>239</v>
      </c>
      <c r="B248" s="1070" t="s">
        <v>106</v>
      </c>
      <c r="C248" s="1021"/>
      <c r="D248" s="1021" t="str">
        <f t="shared" si="45"/>
        <v>Year 2021</v>
      </c>
      <c r="E248" s="1021"/>
      <c r="F248" s="1051">
        <f t="shared" si="43"/>
        <v>0</v>
      </c>
      <c r="G248" s="1051"/>
      <c r="H248" s="1072"/>
      <c r="I248" s="1073"/>
      <c r="J248" s="1021"/>
      <c r="K248" s="1021"/>
      <c r="L248" s="328">
        <f t="shared" si="41"/>
        <v>0</v>
      </c>
      <c r="M248" s="328"/>
      <c r="N248" s="328">
        <f t="shared" si="44"/>
        <v>0</v>
      </c>
      <c r="O248" s="328"/>
      <c r="P248" s="329">
        <f t="shared" si="42"/>
        <v>0</v>
      </c>
    </row>
    <row r="249" spans="1:16">
      <c r="A249" s="827">
        <v>240</v>
      </c>
      <c r="B249" s="1070" t="s">
        <v>99</v>
      </c>
      <c r="C249" s="1021"/>
      <c r="D249" s="1021" t="str">
        <f t="shared" si="45"/>
        <v>Year 2021</v>
      </c>
      <c r="E249" s="1021"/>
      <c r="F249" s="1051">
        <f t="shared" si="43"/>
        <v>0</v>
      </c>
      <c r="G249" s="1051"/>
      <c r="H249" s="1072"/>
      <c r="I249" s="1073"/>
      <c r="J249" s="1021"/>
      <c r="K249" s="1021"/>
      <c r="L249" s="328">
        <f t="shared" si="41"/>
        <v>0</v>
      </c>
      <c r="M249" s="328"/>
      <c r="N249" s="328">
        <f t="shared" si="44"/>
        <v>0</v>
      </c>
      <c r="O249" s="328"/>
      <c r="P249" s="329">
        <f t="shared" si="42"/>
        <v>0</v>
      </c>
    </row>
    <row r="250" spans="1:16">
      <c r="A250" s="827">
        <v>241</v>
      </c>
      <c r="B250" s="1070" t="s">
        <v>98</v>
      </c>
      <c r="C250" s="1021"/>
      <c r="D250" s="1021" t="str">
        <f t="shared" si="45"/>
        <v>Year 2021</v>
      </c>
      <c r="E250" s="1021"/>
      <c r="F250" s="1051">
        <f t="shared" si="43"/>
        <v>0</v>
      </c>
      <c r="G250" s="1051"/>
      <c r="H250" s="1072"/>
      <c r="I250" s="1073"/>
      <c r="J250" s="1021"/>
      <c r="K250" s="1021"/>
      <c r="L250" s="331">
        <f t="shared" si="41"/>
        <v>0</v>
      </c>
      <c r="M250" s="328"/>
      <c r="N250" s="328">
        <f t="shared" si="44"/>
        <v>0</v>
      </c>
      <c r="O250" s="328"/>
      <c r="P250" s="329">
        <f t="shared" si="42"/>
        <v>0</v>
      </c>
    </row>
    <row r="251" spans="1:16">
      <c r="A251" s="827">
        <v>242</v>
      </c>
      <c r="B251" s="1070"/>
      <c r="C251" s="1021"/>
      <c r="D251" s="1021"/>
      <c r="E251" s="1021"/>
      <c r="F251" s="1051"/>
      <c r="G251" s="1051"/>
      <c r="H251" s="1073"/>
      <c r="I251" s="1073"/>
      <c r="J251" s="1021"/>
      <c r="K251" s="1021"/>
      <c r="L251" s="328">
        <f>SUM(L239:L250)</f>
        <v>0</v>
      </c>
      <c r="M251" s="328"/>
      <c r="N251" s="328"/>
      <c r="O251" s="328"/>
      <c r="P251" s="329"/>
    </row>
    <row r="252" spans="1:16">
      <c r="A252" s="827">
        <v>243</v>
      </c>
      <c r="B252" s="1080"/>
      <c r="P252" s="1081"/>
    </row>
    <row r="253" spans="1:16">
      <c r="A253" s="827">
        <v>244</v>
      </c>
      <c r="B253" s="1070" t="s">
        <v>910</v>
      </c>
      <c r="C253" s="1021"/>
      <c r="F253" s="324" t="s">
        <v>1137</v>
      </c>
      <c r="N253" s="333">
        <f>SUM(N239:N250)</f>
        <v>0</v>
      </c>
      <c r="P253" s="1081"/>
    </row>
    <row r="254" spans="1:16">
      <c r="A254" s="827">
        <v>245</v>
      </c>
      <c r="B254" s="1070" t="s">
        <v>148</v>
      </c>
      <c r="C254" s="1021"/>
      <c r="F254" s="324" t="s">
        <v>961</v>
      </c>
      <c r="N254" s="333">
        <f>L14</f>
        <v>0</v>
      </c>
      <c r="P254" s="1081"/>
    </row>
    <row r="255" spans="1:16">
      <c r="A255" s="827">
        <v>246</v>
      </c>
      <c r="B255" s="1082" t="s">
        <v>149</v>
      </c>
      <c r="C255" s="1083"/>
      <c r="D255" s="566"/>
      <c r="E255" s="566"/>
      <c r="F255" s="566" t="s">
        <v>962</v>
      </c>
      <c r="G255" s="566"/>
      <c r="H255" s="566"/>
      <c r="I255" s="566"/>
      <c r="J255" s="566"/>
      <c r="K255" s="566"/>
      <c r="L255" s="566"/>
      <c r="M255" s="566"/>
      <c r="N255" s="335">
        <f>(N253+N254)</f>
        <v>0</v>
      </c>
      <c r="O255" s="566"/>
      <c r="P255" s="1084"/>
    </row>
  </sheetData>
  <mergeCells count="9">
    <mergeCell ref="B169:N169"/>
    <mergeCell ref="B170:N170"/>
    <mergeCell ref="B171:N171"/>
    <mergeCell ref="B4:N4"/>
    <mergeCell ref="B7:P7"/>
    <mergeCell ref="B25:P25"/>
    <mergeCell ref="B76:N76"/>
    <mergeCell ref="B77:N77"/>
    <mergeCell ref="B78:N78"/>
  </mergeCells>
  <printOptions horizontalCentered="1"/>
  <pageMargins left="0.25" right="0.25" top="0.75" bottom="0.75" header="0.3" footer="0.3"/>
  <pageSetup scale="43" fitToHeight="3" orientation="landscape" r:id="rId1"/>
  <rowBreaks count="2" manualBreakCount="2">
    <brk id="74" max="16383" man="1"/>
    <brk id="16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78"/>
  <sheetViews>
    <sheetView view="pageBreakPreview" zoomScaleNormal="100" zoomScaleSheetLayoutView="100" workbookViewId="0">
      <selection activeCell="H41" sqref="H41"/>
    </sheetView>
  </sheetViews>
  <sheetFormatPr defaultColWidth="8.90625" defaultRowHeight="13.2"/>
  <cols>
    <col min="1" max="1" width="15.54296875" style="298" bestFit="1" customWidth="1"/>
    <col min="2" max="2" width="33.90625" style="15" customWidth="1"/>
    <col min="3" max="3" width="19.81640625" style="295" bestFit="1" customWidth="1"/>
    <col min="4" max="4" width="16.36328125" style="15" customWidth="1"/>
    <col min="5" max="16384" width="8.90625" style="15"/>
  </cols>
  <sheetData>
    <row r="1" spans="1:4" ht="15" customHeight="1">
      <c r="B1" s="829" t="s">
        <v>409</v>
      </c>
      <c r="C1" s="836" t="s">
        <v>893</v>
      </c>
      <c r="D1" s="19"/>
    </row>
    <row r="2" spans="1:4" ht="15" customHeight="1">
      <c r="B2" s="830" t="s">
        <v>410</v>
      </c>
      <c r="C2" s="298"/>
      <c r="D2" s="298"/>
    </row>
    <row r="3" spans="1:4" ht="15" customHeight="1">
      <c r="B3" s="831" t="str">
        <f>+'Attachment H'!D5</f>
        <v>Gridliance High Plains LLC</v>
      </c>
      <c r="C3" s="681"/>
      <c r="D3" s="681"/>
    </row>
    <row r="5" spans="1:4" ht="14.4">
      <c r="A5" s="459" t="s">
        <v>510</v>
      </c>
      <c r="B5" s="460" t="s">
        <v>511</v>
      </c>
      <c r="C5" s="460" t="s">
        <v>512</v>
      </c>
      <c r="D5" s="461"/>
    </row>
    <row r="6" spans="1:4" ht="14.4">
      <c r="A6" s="461"/>
      <c r="B6" s="461"/>
      <c r="C6" s="461"/>
      <c r="D6" s="461"/>
    </row>
    <row r="7" spans="1:4" ht="14.4">
      <c r="A7" s="459" t="s">
        <v>513</v>
      </c>
      <c r="B7" s="462"/>
      <c r="C7" s="463"/>
      <c r="D7" s="462"/>
    </row>
    <row r="8" spans="1:4" ht="14.4">
      <c r="A8" s="773">
        <v>350</v>
      </c>
      <c r="B8" s="462" t="s">
        <v>411</v>
      </c>
      <c r="C8" s="464" t="s">
        <v>522</v>
      </c>
      <c r="D8" s="462"/>
    </row>
    <row r="9" spans="1:4" ht="14.4">
      <c r="A9" s="773">
        <v>352</v>
      </c>
      <c r="B9" s="462" t="s">
        <v>514</v>
      </c>
      <c r="C9" s="464">
        <v>2.18E-2</v>
      </c>
      <c r="D9" s="462"/>
    </row>
    <row r="10" spans="1:4" ht="14.4">
      <c r="A10" s="773">
        <v>353</v>
      </c>
      <c r="B10" s="462" t="s">
        <v>515</v>
      </c>
      <c r="C10" s="464">
        <v>2.1999999999999999E-2</v>
      </c>
      <c r="D10" s="462"/>
    </row>
    <row r="11" spans="1:4" ht="14.4">
      <c r="A11" s="773">
        <v>354</v>
      </c>
      <c r="B11" s="462" t="s">
        <v>516</v>
      </c>
      <c r="C11" s="464">
        <v>1.8846999999999999E-2</v>
      </c>
      <c r="D11" s="462"/>
    </row>
    <row r="12" spans="1:4" ht="14.4">
      <c r="A12" s="773">
        <v>355</v>
      </c>
      <c r="B12" s="462" t="s">
        <v>517</v>
      </c>
      <c r="C12" s="464">
        <v>2.0799999999999999E-2</v>
      </c>
      <c r="D12" s="462"/>
    </row>
    <row r="13" spans="1:4" ht="14.4">
      <c r="A13" s="773">
        <v>356</v>
      </c>
      <c r="B13" s="462" t="s">
        <v>518</v>
      </c>
      <c r="C13" s="464">
        <v>2.2700000000000001E-2</v>
      </c>
      <c r="D13" s="462"/>
    </row>
    <row r="14" spans="1:4" ht="14.4">
      <c r="A14" s="773">
        <v>357</v>
      </c>
      <c r="B14" s="462" t="s">
        <v>519</v>
      </c>
      <c r="C14" s="464">
        <v>1.3665E-2</v>
      </c>
      <c r="D14" s="462"/>
    </row>
    <row r="15" spans="1:4" ht="14.4">
      <c r="A15" s="773">
        <v>358</v>
      </c>
      <c r="B15" s="462" t="s">
        <v>520</v>
      </c>
      <c r="C15" s="464">
        <v>1.8415999999999998E-2</v>
      </c>
      <c r="D15" s="462"/>
    </row>
    <row r="16" spans="1:4" ht="14.4">
      <c r="A16" s="773">
        <v>359</v>
      </c>
      <c r="B16" s="462" t="s">
        <v>521</v>
      </c>
      <c r="C16" s="464">
        <v>0</v>
      </c>
      <c r="D16" s="462"/>
    </row>
    <row r="17" spans="1:4" ht="14.4">
      <c r="A17" s="773"/>
      <c r="B17" s="462"/>
      <c r="C17" s="464"/>
      <c r="D17" s="462"/>
    </row>
    <row r="18" spans="1:4" ht="14.4">
      <c r="A18" s="774" t="s">
        <v>852</v>
      </c>
      <c r="B18" s="462"/>
      <c r="C18" s="465"/>
      <c r="D18" s="462"/>
    </row>
    <row r="19" spans="1:4" ht="14.4">
      <c r="A19" s="773">
        <v>302</v>
      </c>
      <c r="B19" s="462" t="s">
        <v>701</v>
      </c>
      <c r="C19" s="464" t="s">
        <v>522</v>
      </c>
      <c r="D19" s="462"/>
    </row>
    <row r="20" spans="1:4" ht="14.4">
      <c r="A20" s="773">
        <v>303</v>
      </c>
      <c r="B20" s="462" t="s">
        <v>523</v>
      </c>
      <c r="C20" s="464">
        <v>0.2</v>
      </c>
      <c r="D20" s="462"/>
    </row>
    <row r="21" spans="1:4" ht="14.4">
      <c r="A21" s="773">
        <v>390</v>
      </c>
      <c r="B21" s="466" t="s">
        <v>514</v>
      </c>
      <c r="C21" s="464">
        <v>2.1194000000000001E-2</v>
      </c>
      <c r="D21" s="462"/>
    </row>
    <row r="22" spans="1:4" ht="14.4">
      <c r="A22" s="773">
        <v>391</v>
      </c>
      <c r="B22" s="466" t="s">
        <v>524</v>
      </c>
      <c r="C22" s="464">
        <v>5.0671000000000001E-2</v>
      </c>
      <c r="D22" s="462"/>
    </row>
    <row r="23" spans="1:4" ht="14.4">
      <c r="A23" s="773">
        <v>391</v>
      </c>
      <c r="B23" s="466" t="s">
        <v>525</v>
      </c>
      <c r="C23" s="464">
        <v>0.25</v>
      </c>
      <c r="D23" s="462"/>
    </row>
    <row r="24" spans="1:4" ht="14.4">
      <c r="A24" s="773">
        <v>392</v>
      </c>
      <c r="B24" s="466" t="s">
        <v>526</v>
      </c>
      <c r="C24" s="464">
        <v>0.109667</v>
      </c>
      <c r="D24" s="462"/>
    </row>
    <row r="25" spans="1:4" ht="14.4">
      <c r="A25" s="773">
        <v>392</v>
      </c>
      <c r="B25" s="466" t="s">
        <v>527</v>
      </c>
      <c r="C25" s="464">
        <v>8.4139000000000005E-2</v>
      </c>
      <c r="D25" s="462"/>
    </row>
    <row r="26" spans="1:4" ht="14.4">
      <c r="A26" s="773">
        <v>392</v>
      </c>
      <c r="B26" s="466" t="s">
        <v>528</v>
      </c>
      <c r="C26" s="464">
        <v>6.9486000000000006E-2</v>
      </c>
      <c r="D26" s="462"/>
    </row>
    <row r="27" spans="1:4" ht="14.4">
      <c r="A27" s="773">
        <v>392</v>
      </c>
      <c r="B27" s="466" t="s">
        <v>529</v>
      </c>
      <c r="C27" s="464">
        <v>7.2363999999999998E-2</v>
      </c>
      <c r="D27" s="462"/>
    </row>
    <row r="28" spans="1:4" ht="14.4">
      <c r="A28" s="773">
        <v>393</v>
      </c>
      <c r="B28" s="466" t="s">
        <v>530</v>
      </c>
      <c r="C28" s="464">
        <v>5.1200000000000002E-2</v>
      </c>
      <c r="D28" s="462"/>
    </row>
    <row r="29" spans="1:4" ht="14.4">
      <c r="A29" s="773">
        <v>394</v>
      </c>
      <c r="B29" s="466" t="s">
        <v>531</v>
      </c>
      <c r="C29" s="464">
        <v>4.82E-2</v>
      </c>
      <c r="D29" s="462"/>
    </row>
    <row r="30" spans="1:4" ht="14.4">
      <c r="A30" s="773">
        <v>395</v>
      </c>
      <c r="B30" s="466" t="s">
        <v>532</v>
      </c>
      <c r="C30" s="464">
        <v>0.1</v>
      </c>
      <c r="D30" s="462"/>
    </row>
    <row r="31" spans="1:4" ht="14.4">
      <c r="A31" s="773">
        <v>396</v>
      </c>
      <c r="B31" s="466" t="s">
        <v>412</v>
      </c>
      <c r="C31" s="464">
        <v>8.4139000000000005E-2</v>
      </c>
      <c r="D31" s="462"/>
    </row>
    <row r="32" spans="1:4" ht="14.4">
      <c r="A32" s="773">
        <v>397</v>
      </c>
      <c r="B32" s="462" t="s">
        <v>413</v>
      </c>
      <c r="C32" s="464">
        <v>0.11111</v>
      </c>
      <c r="D32" s="462"/>
    </row>
    <row r="33" spans="1:4" ht="14.4">
      <c r="A33" s="773">
        <v>398</v>
      </c>
      <c r="B33" s="466" t="s">
        <v>533</v>
      </c>
      <c r="C33" s="464">
        <v>6.6671999999999995E-2</v>
      </c>
      <c r="D33" s="462"/>
    </row>
    <row r="34" spans="1:4" ht="14.4">
      <c r="A34" s="462"/>
      <c r="B34" s="462"/>
      <c r="C34" s="462"/>
      <c r="D34" s="462"/>
    </row>
    <row r="35" spans="1:4" ht="14.4">
      <c r="A35" s="636" t="s">
        <v>702</v>
      </c>
      <c r="B35" s="462"/>
      <c r="C35" s="462"/>
      <c r="D35" s="462"/>
    </row>
    <row r="36" spans="1:4" ht="14.4">
      <c r="A36" s="462" t="s">
        <v>853</v>
      </c>
      <c r="B36" s="462"/>
      <c r="C36" s="462"/>
      <c r="D36" s="462"/>
    </row>
    <row r="37" spans="1:4" ht="14.4">
      <c r="A37" s="636" t="s">
        <v>854</v>
      </c>
      <c r="B37" s="462"/>
      <c r="C37" s="466"/>
      <c r="D37" s="466"/>
    </row>
    <row r="38" spans="1:4" ht="14.4">
      <c r="A38" s="636" t="s">
        <v>949</v>
      </c>
      <c r="B38" s="772"/>
      <c r="C38" s="837"/>
      <c r="D38" s="467"/>
    </row>
    <row r="39" spans="1:4" ht="15.6">
      <c r="A39" s="1155" t="s">
        <v>1142</v>
      </c>
      <c r="B39" s="1156"/>
      <c r="C39" s="1156"/>
    </row>
    <row r="40" spans="1:4" ht="14.4">
      <c r="A40" s="838" t="s">
        <v>950</v>
      </c>
      <c r="B40" s="288"/>
      <c r="C40" s="831"/>
    </row>
    <row r="41" spans="1:4">
      <c r="A41" s="296"/>
      <c r="B41" s="288"/>
      <c r="C41" s="299"/>
    </row>
    <row r="42" spans="1:4">
      <c r="A42" s="420"/>
      <c r="B42" s="288"/>
      <c r="C42" s="299"/>
    </row>
    <row r="43" spans="1:4">
      <c r="A43" s="296"/>
      <c r="B43" s="288"/>
      <c r="C43" s="299"/>
    </row>
    <row r="44" spans="1:4">
      <c r="A44" s="296"/>
      <c r="B44" s="288"/>
      <c r="C44" s="299"/>
    </row>
    <row r="45" spans="1:4">
      <c r="A45" s="296"/>
      <c r="B45" s="288"/>
      <c r="C45" s="299"/>
    </row>
    <row r="46" spans="1:4">
      <c r="A46" s="296"/>
      <c r="B46" s="288"/>
      <c r="C46" s="299"/>
    </row>
    <row r="47" spans="1:4">
      <c r="A47" s="296"/>
      <c r="B47" s="288"/>
      <c r="C47" s="299"/>
    </row>
    <row r="48" spans="1:4">
      <c r="A48" s="296"/>
      <c r="B48" s="288"/>
      <c r="C48" s="299"/>
    </row>
    <row r="49" spans="1:3">
      <c r="A49" s="296"/>
      <c r="B49" s="288"/>
      <c r="C49" s="299"/>
    </row>
    <row r="50" spans="1:3">
      <c r="A50" s="296"/>
      <c r="B50" s="288"/>
      <c r="C50" s="299"/>
    </row>
    <row r="51" spans="1:3">
      <c r="A51" s="296"/>
      <c r="B51" s="288"/>
      <c r="C51" s="299"/>
    </row>
    <row r="52" spans="1:3">
      <c r="A52" s="296"/>
      <c r="B52" s="288"/>
      <c r="C52" s="299"/>
    </row>
    <row r="53" spans="1:3">
      <c r="A53" s="296"/>
      <c r="B53" s="288"/>
      <c r="C53" s="299"/>
    </row>
    <row r="54" spans="1:3">
      <c r="A54" s="296"/>
      <c r="B54" s="288"/>
      <c r="C54" s="299"/>
    </row>
    <row r="55" spans="1:3">
      <c r="A55" s="296"/>
      <c r="B55" s="288"/>
    </row>
    <row r="56" spans="1:3">
      <c r="A56" s="297"/>
      <c r="B56" s="288"/>
    </row>
    <row r="57" spans="1:3">
      <c r="A57" s="297"/>
      <c r="B57" s="288"/>
    </row>
    <row r="58" spans="1:3">
      <c r="A58" s="297"/>
    </row>
    <row r="59" spans="1:3">
      <c r="A59" s="297"/>
    </row>
    <row r="60" spans="1:3">
      <c r="A60" s="297"/>
    </row>
    <row r="61" spans="1:3">
      <c r="A61" s="297"/>
    </row>
    <row r="62" spans="1:3">
      <c r="A62" s="297"/>
    </row>
    <row r="63" spans="1:3">
      <c r="A63" s="297"/>
    </row>
    <row r="64" spans="1:3">
      <c r="A64" s="297"/>
    </row>
    <row r="65" spans="1:1">
      <c r="A65" s="297"/>
    </row>
    <row r="66" spans="1:1">
      <c r="A66" s="297"/>
    </row>
    <row r="67" spans="1:1">
      <c r="A67" s="297"/>
    </row>
    <row r="68" spans="1:1" ht="24" customHeight="1">
      <c r="A68" s="297"/>
    </row>
    <row r="69" spans="1:1">
      <c r="A69" s="297"/>
    </row>
    <row r="70" spans="1:1">
      <c r="A70" s="297"/>
    </row>
    <row r="71" spans="1:1">
      <c r="A71" s="297"/>
    </row>
    <row r="72" spans="1:1">
      <c r="A72" s="297"/>
    </row>
    <row r="73" spans="1:1">
      <c r="A73" s="297"/>
    </row>
    <row r="74" spans="1:1">
      <c r="A74" s="297"/>
    </row>
    <row r="75" spans="1:1">
      <c r="A75" s="297"/>
    </row>
    <row r="76" spans="1:1">
      <c r="A76" s="297"/>
    </row>
    <row r="77" spans="1:1">
      <c r="A77" s="297"/>
    </row>
    <row r="78" spans="1:1">
      <c r="A78" s="297"/>
    </row>
  </sheetData>
  <mergeCells count="1">
    <mergeCell ref="A39:C39"/>
  </mergeCells>
  <phoneticPr fontId="0" type="noConversion"/>
  <pageMargins left="0.25" right="0.25" top="0.75" bottom="0.75" header="0.3" footer="0.3"/>
  <pageSetup scale="88" orientation="landscape" r:id="rId1"/>
  <headerFooter>
    <oddFooter xml:space="preserve">&amp;L&amp;"Times New Roman, Regular"&amp;8 DC: 5905718-1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U282"/>
  <sheetViews>
    <sheetView view="pageBreakPreview" topLeftCell="A7" zoomScale="75" zoomScaleNormal="65" zoomScaleSheetLayoutView="75" workbookViewId="0">
      <selection activeCell="I35" sqref="I35"/>
    </sheetView>
  </sheetViews>
  <sheetFormatPr defaultColWidth="8.90625" defaultRowHeight="13.2"/>
  <cols>
    <col min="1" max="1" width="6" style="25" customWidth="1"/>
    <col min="2" max="2" width="1.453125" style="25" customWidth="1"/>
    <col min="3" max="3" width="36" style="25" customWidth="1"/>
    <col min="4" max="4" width="13.81640625" style="25" customWidth="1"/>
    <col min="5" max="5" width="17.54296875" style="25" customWidth="1"/>
    <col min="6" max="6" width="13.08984375" style="25" customWidth="1"/>
    <col min="7" max="7" width="14.453125" style="25" customWidth="1"/>
    <col min="8" max="8" width="16.36328125" style="25" customWidth="1"/>
    <col min="9" max="9" width="13.81640625" style="25" customWidth="1"/>
    <col min="10" max="10" width="14.453125" style="25" customWidth="1"/>
    <col min="11" max="11" width="13.54296875" style="25" customWidth="1"/>
    <col min="12" max="12" width="15.81640625" style="25" customWidth="1"/>
    <col min="13" max="13" width="19.1796875" style="25" customWidth="1"/>
    <col min="14" max="15" width="14.453125" style="25" customWidth="1"/>
    <col min="16" max="16" width="12.81640625" style="25" customWidth="1"/>
    <col min="17" max="17" width="13.90625" style="25" customWidth="1"/>
    <col min="18" max="18" width="9.36328125" style="25" customWidth="1"/>
    <col min="19" max="19" width="13" style="25" customWidth="1"/>
    <col min="20" max="16384" width="8.90625" style="25"/>
  </cols>
  <sheetData>
    <row r="1" spans="1:21">
      <c r="Q1" s="57"/>
    </row>
    <row r="2" spans="1:21">
      <c r="M2" s="25" t="s">
        <v>792</v>
      </c>
      <c r="Q2" s="57"/>
    </row>
    <row r="4" spans="1:21">
      <c r="Q4" s="57"/>
    </row>
    <row r="5" spans="1:21">
      <c r="D5" s="19"/>
      <c r="E5" s="19"/>
      <c r="F5" s="19"/>
      <c r="G5" s="687" t="s">
        <v>788</v>
      </c>
      <c r="H5" s="19"/>
      <c r="I5" s="19"/>
      <c r="J5" s="19"/>
      <c r="K5" s="24"/>
      <c r="L5" s="58"/>
      <c r="M5" s="59"/>
      <c r="N5" s="59"/>
      <c r="O5" s="59"/>
      <c r="P5" s="59"/>
      <c r="Q5" s="59"/>
      <c r="R5" s="26"/>
      <c r="S5" s="60"/>
      <c r="T5" s="60"/>
      <c r="U5" s="26"/>
    </row>
    <row r="6" spans="1:21">
      <c r="D6" s="19"/>
      <c r="E6" s="22" t="s">
        <v>10</v>
      </c>
      <c r="F6" s="22"/>
      <c r="G6" s="687" t="s">
        <v>789</v>
      </c>
      <c r="H6" s="22"/>
      <c r="I6" s="22"/>
      <c r="J6" s="22"/>
      <c r="K6" s="24"/>
      <c r="P6" s="26"/>
      <c r="Q6" s="24"/>
      <c r="R6" s="26"/>
      <c r="S6" s="61"/>
      <c r="T6" s="60"/>
      <c r="U6" s="26"/>
    </row>
    <row r="7" spans="1:21">
      <c r="C7" s="26"/>
      <c r="D7" s="26"/>
      <c r="E7" s="26"/>
      <c r="F7" s="26"/>
      <c r="G7" s="686" t="str">
        <f>+'Attachment H'!D5</f>
        <v>Gridliance High Plains LLC</v>
      </c>
      <c r="H7" s="26"/>
      <c r="I7" s="26"/>
      <c r="J7" s="26"/>
      <c r="K7" s="26"/>
      <c r="P7" s="26"/>
      <c r="Q7" s="26"/>
      <c r="R7" s="26"/>
      <c r="S7" s="60"/>
      <c r="T7" s="60"/>
      <c r="U7" s="26"/>
    </row>
    <row r="8" spans="1:21">
      <c r="A8" s="687"/>
      <c r="C8" s="26"/>
      <c r="D8" s="26"/>
      <c r="E8" s="26"/>
      <c r="F8" s="26"/>
      <c r="H8" s="26"/>
      <c r="I8" s="26"/>
      <c r="J8" s="26"/>
      <c r="K8" s="26"/>
      <c r="L8" s="26"/>
      <c r="M8" s="26"/>
      <c r="N8" s="26"/>
      <c r="O8" s="26"/>
      <c r="P8" s="26"/>
      <c r="Q8" s="26"/>
      <c r="R8" s="26"/>
      <c r="S8" s="60"/>
      <c r="T8" s="60"/>
      <c r="U8" s="26"/>
    </row>
    <row r="9" spans="1:21">
      <c r="A9" s="687"/>
      <c r="C9" s="26"/>
      <c r="D9" s="26"/>
      <c r="E9" s="26"/>
      <c r="F9" s="26"/>
      <c r="G9" s="62"/>
      <c r="H9" s="26"/>
      <c r="I9" s="26"/>
      <c r="J9" s="26"/>
      <c r="K9" s="26"/>
      <c r="L9" s="26"/>
      <c r="M9" s="26"/>
      <c r="N9" s="26"/>
      <c r="O9" s="26"/>
      <c r="P9" s="26"/>
      <c r="Q9" s="26"/>
      <c r="R9" s="26"/>
      <c r="S9" s="60"/>
      <c r="T9" s="60"/>
      <c r="U9" s="26"/>
    </row>
    <row r="10" spans="1:21">
      <c r="A10" s="687"/>
      <c r="C10" s="26" t="s">
        <v>509</v>
      </c>
      <c r="D10" s="26"/>
      <c r="E10" s="26"/>
      <c r="F10" s="26"/>
      <c r="G10" s="62"/>
      <c r="H10" s="26"/>
      <c r="I10" s="26"/>
      <c r="J10" s="26"/>
      <c r="K10" s="26"/>
      <c r="L10" s="26"/>
      <c r="M10" s="26"/>
      <c r="N10" s="26"/>
      <c r="O10" s="26"/>
      <c r="P10" s="26"/>
      <c r="Q10" s="26"/>
      <c r="R10" s="26"/>
      <c r="S10" s="60"/>
      <c r="T10" s="60"/>
      <c r="U10" s="26"/>
    </row>
    <row r="11" spans="1:21">
      <c r="A11" s="687"/>
      <c r="C11" s="26" t="s">
        <v>965</v>
      </c>
      <c r="D11" s="26"/>
      <c r="E11" s="26"/>
      <c r="F11" s="26"/>
      <c r="G11" s="62"/>
      <c r="L11" s="26"/>
      <c r="M11" s="26"/>
      <c r="N11" s="26"/>
      <c r="O11" s="26"/>
      <c r="P11" s="26"/>
      <c r="Q11" s="26"/>
      <c r="R11" s="26"/>
      <c r="S11" s="26"/>
      <c r="T11" s="26"/>
      <c r="U11" s="26"/>
    </row>
    <row r="12" spans="1:21" s="758" customFormat="1">
      <c r="A12" s="829"/>
      <c r="C12" s="1116" t="s">
        <v>975</v>
      </c>
      <c r="D12" s="1116"/>
      <c r="E12" s="1116"/>
      <c r="F12" s="1116"/>
      <c r="G12" s="1116"/>
      <c r="H12" s="1116"/>
      <c r="I12" s="1116"/>
      <c r="J12" s="1116"/>
      <c r="K12" s="1116"/>
      <c r="L12" s="1116"/>
      <c r="M12" s="1116"/>
      <c r="N12" s="1116"/>
      <c r="O12" s="1116"/>
      <c r="P12" s="1116"/>
      <c r="Q12" s="1116"/>
      <c r="R12" s="26"/>
      <c r="S12" s="26"/>
      <c r="T12" s="26"/>
      <c r="U12" s="26"/>
    </row>
    <row r="13" spans="1:21">
      <c r="A13" s="687"/>
      <c r="C13" s="26" t="s">
        <v>938</v>
      </c>
      <c r="D13" s="26"/>
      <c r="E13" s="26"/>
      <c r="F13" s="26"/>
      <c r="G13" s="26"/>
      <c r="L13" s="63"/>
      <c r="M13" s="63"/>
      <c r="N13" s="63"/>
      <c r="O13" s="63"/>
      <c r="P13" s="26"/>
      <c r="Q13" s="26"/>
      <c r="R13" s="26"/>
      <c r="S13" s="26"/>
      <c r="T13" s="26"/>
      <c r="U13" s="26"/>
    </row>
    <row r="14" spans="1:21">
      <c r="C14" s="64" t="s">
        <v>11</v>
      </c>
      <c r="D14" s="64"/>
      <c r="E14" s="64" t="s">
        <v>12</v>
      </c>
      <c r="F14" s="64"/>
      <c r="I14" s="64" t="s">
        <v>13</v>
      </c>
      <c r="L14" s="65" t="s">
        <v>14</v>
      </c>
      <c r="M14" s="65"/>
      <c r="N14" s="65"/>
      <c r="O14" s="65"/>
      <c r="P14" s="22"/>
      <c r="Q14" s="65"/>
      <c r="R14" s="22"/>
      <c r="S14" s="65"/>
      <c r="T14" s="22"/>
      <c r="U14" s="66"/>
    </row>
    <row r="15" spans="1:21">
      <c r="C15" s="66"/>
      <c r="D15" s="66"/>
      <c r="E15" s="67" t="s">
        <v>507</v>
      </c>
      <c r="F15" s="67"/>
      <c r="I15" s="22"/>
      <c r="P15" s="22"/>
      <c r="R15" s="22"/>
      <c r="S15" s="64"/>
      <c r="T15" s="64"/>
      <c r="U15" s="66"/>
    </row>
    <row r="16" spans="1:21">
      <c r="A16" s="687" t="s">
        <v>16</v>
      </c>
      <c r="C16" s="66"/>
      <c r="D16" s="66"/>
      <c r="E16" s="68" t="s">
        <v>26</v>
      </c>
      <c r="F16" s="68"/>
      <c r="I16" s="69" t="s">
        <v>25</v>
      </c>
      <c r="L16" s="69" t="s">
        <v>22</v>
      </c>
      <c r="M16" s="69"/>
      <c r="N16" s="69"/>
      <c r="O16" s="69"/>
      <c r="P16" s="22"/>
      <c r="R16" s="26"/>
      <c r="S16" s="70"/>
      <c r="T16" s="64"/>
      <c r="U16" s="66"/>
    </row>
    <row r="17" spans="1:21">
      <c r="A17" s="687" t="s">
        <v>18</v>
      </c>
      <c r="C17" s="71"/>
      <c r="D17" s="71"/>
      <c r="E17" s="67" t="s">
        <v>913</v>
      </c>
      <c r="F17" s="22"/>
      <c r="I17" s="22"/>
      <c r="L17" s="22"/>
      <c r="M17" s="22"/>
      <c r="N17" s="22"/>
      <c r="O17" s="22"/>
      <c r="P17" s="22"/>
      <c r="Q17" s="22"/>
      <c r="R17" s="26"/>
      <c r="S17" s="22"/>
      <c r="T17" s="22"/>
      <c r="U17" s="66"/>
    </row>
    <row r="18" spans="1:21">
      <c r="A18" s="72"/>
      <c r="C18" s="66"/>
      <c r="D18" s="66"/>
      <c r="E18" s="22"/>
      <c r="F18" s="22"/>
      <c r="I18" s="22"/>
      <c r="L18" s="22"/>
      <c r="M18" s="22"/>
      <c r="N18" s="22"/>
      <c r="O18" s="22"/>
      <c r="P18" s="22"/>
      <c r="Q18" s="22"/>
      <c r="R18" s="26"/>
      <c r="S18" s="22"/>
      <c r="T18" s="22"/>
      <c r="U18" s="66"/>
    </row>
    <row r="19" spans="1:21">
      <c r="A19" s="23">
        <v>1</v>
      </c>
      <c r="C19" s="66" t="s">
        <v>210</v>
      </c>
      <c r="D19" s="66"/>
      <c r="E19" s="73" t="s">
        <v>3</v>
      </c>
      <c r="F19" s="23"/>
      <c r="I19" s="53">
        <f>+'Attachment H'!I64+'Attachment H'!I93</f>
        <v>101270286.86388241</v>
      </c>
      <c r="P19" s="22"/>
      <c r="Q19" s="22"/>
      <c r="R19" s="26"/>
      <c r="S19" s="22"/>
      <c r="T19" s="22"/>
      <c r="U19" s="66"/>
    </row>
    <row r="20" spans="1:21">
      <c r="A20" s="23">
        <v>2</v>
      </c>
      <c r="C20" s="66" t="s">
        <v>211</v>
      </c>
      <c r="D20" s="66"/>
      <c r="E20" s="73" t="s">
        <v>972</v>
      </c>
      <c r="F20" s="23"/>
      <c r="I20" s="53">
        <f>+'Attachment H'!I80+'Attachment H'!I93+'Attachment H'!I95</f>
        <v>82987805.02376394</v>
      </c>
      <c r="P20" s="22"/>
      <c r="Q20" s="22"/>
      <c r="R20" s="26"/>
      <c r="S20" s="22"/>
      <c r="T20" s="22"/>
      <c r="U20" s="66"/>
    </row>
    <row r="21" spans="1:21">
      <c r="A21" s="23"/>
      <c r="E21" s="73"/>
      <c r="F21" s="23"/>
      <c r="P21" s="22"/>
      <c r="Q21" s="22"/>
      <c r="R21" s="26"/>
      <c r="S21" s="22"/>
      <c r="T21" s="22"/>
      <c r="U21" s="66"/>
    </row>
    <row r="22" spans="1:21">
      <c r="A22" s="23"/>
      <c r="C22" s="66" t="s">
        <v>212</v>
      </c>
      <c r="D22" s="66"/>
      <c r="E22" s="73"/>
      <c r="F22" s="23"/>
      <c r="I22" s="22"/>
      <c r="L22" s="22"/>
      <c r="M22" s="22"/>
      <c r="N22" s="22"/>
      <c r="O22" s="22"/>
      <c r="P22" s="22"/>
      <c r="Q22" s="22"/>
      <c r="R22" s="22"/>
      <c r="S22" s="22"/>
      <c r="T22" s="22"/>
      <c r="U22" s="66"/>
    </row>
    <row r="23" spans="1:21">
      <c r="A23" s="23">
        <v>3</v>
      </c>
      <c r="C23" s="66" t="s">
        <v>213</v>
      </c>
      <c r="D23" s="66"/>
      <c r="E23" s="73" t="s">
        <v>4</v>
      </c>
      <c r="F23" s="23"/>
      <c r="I23" s="74">
        <f>+'Attachment H'!I134</f>
        <v>8087584.4675990045</v>
      </c>
      <c r="P23" s="22"/>
      <c r="Q23" s="22"/>
      <c r="R23" s="22"/>
      <c r="S23" s="22"/>
      <c r="T23" s="22"/>
      <c r="U23" s="66"/>
    </row>
    <row r="24" spans="1:21">
      <c r="A24" s="23">
        <v>4</v>
      </c>
      <c r="C24" s="66" t="s">
        <v>214</v>
      </c>
      <c r="D24" s="66"/>
      <c r="E24" s="73" t="s">
        <v>215</v>
      </c>
      <c r="F24" s="23"/>
      <c r="I24" s="750">
        <f>IF(I19=0,0,I23/I19)</f>
        <v>7.9861376105999804E-2</v>
      </c>
      <c r="L24" s="75">
        <f>I24</f>
        <v>7.9861376105999804E-2</v>
      </c>
      <c r="M24" s="76"/>
      <c r="N24" s="76"/>
      <c r="O24" s="76"/>
      <c r="P24" s="22"/>
      <c r="Q24" s="77"/>
      <c r="R24" s="78"/>
      <c r="S24" s="79"/>
      <c r="T24" s="22"/>
      <c r="U24" s="66"/>
    </row>
    <row r="25" spans="1:21">
      <c r="A25" s="23"/>
      <c r="C25" s="66"/>
      <c r="D25" s="66"/>
      <c r="E25" s="73"/>
      <c r="F25" s="23"/>
      <c r="I25" s="80"/>
      <c r="L25" s="76"/>
      <c r="M25" s="76"/>
      <c r="N25" s="76"/>
      <c r="O25" s="76"/>
      <c r="P25" s="22"/>
      <c r="Q25" s="77"/>
      <c r="R25" s="78"/>
      <c r="S25" s="79"/>
      <c r="T25" s="22"/>
      <c r="U25" s="66"/>
    </row>
    <row r="26" spans="1:21">
      <c r="A26" s="65"/>
      <c r="C26" s="66" t="s">
        <v>716</v>
      </c>
      <c r="D26" s="66"/>
      <c r="E26" s="684"/>
      <c r="F26" s="56"/>
      <c r="I26" s="22"/>
      <c r="L26" s="22"/>
      <c r="M26" s="22"/>
      <c r="N26" s="22"/>
      <c r="O26" s="22"/>
      <c r="P26" s="22"/>
      <c r="Q26" s="77"/>
      <c r="R26" s="78"/>
      <c r="S26" s="79"/>
      <c r="T26" s="22"/>
      <c r="U26" s="66"/>
    </row>
    <row r="27" spans="1:21">
      <c r="A27" s="65" t="s">
        <v>216</v>
      </c>
      <c r="C27" s="66" t="s">
        <v>718</v>
      </c>
      <c r="D27" s="66"/>
      <c r="E27" s="73" t="s">
        <v>5</v>
      </c>
      <c r="F27" s="23"/>
      <c r="I27" s="74">
        <f>+'Attachment H'!I138+'Attachment H'!I139</f>
        <v>0</v>
      </c>
      <c r="P27" s="22"/>
      <c r="Q27" s="77"/>
      <c r="R27" s="78"/>
      <c r="S27" s="79"/>
      <c r="T27" s="22"/>
      <c r="U27" s="66"/>
    </row>
    <row r="28" spans="1:21">
      <c r="A28" s="65" t="s">
        <v>217</v>
      </c>
      <c r="C28" s="66" t="s">
        <v>717</v>
      </c>
      <c r="D28" s="66"/>
      <c r="E28" s="73" t="s">
        <v>218</v>
      </c>
      <c r="F28" s="23"/>
      <c r="I28" s="54">
        <f>IF(I27=0,0,I27/I19)</f>
        <v>0</v>
      </c>
      <c r="J28" s="54"/>
      <c r="K28" s="54"/>
      <c r="L28" s="81">
        <f>I28</f>
        <v>0</v>
      </c>
      <c r="M28" s="76"/>
      <c r="N28" s="76"/>
      <c r="O28" s="76"/>
      <c r="P28" s="22"/>
      <c r="Q28" s="77"/>
      <c r="R28" s="78"/>
      <c r="S28" s="79"/>
      <c r="T28" s="22"/>
      <c r="U28" s="66"/>
    </row>
    <row r="29" spans="1:21">
      <c r="A29" s="23"/>
      <c r="C29" s="66"/>
      <c r="D29" s="66"/>
      <c r="E29" s="73"/>
      <c r="F29" s="23"/>
      <c r="I29" s="54"/>
      <c r="J29" s="54"/>
      <c r="K29" s="54"/>
      <c r="L29" s="81"/>
      <c r="M29" s="76"/>
      <c r="N29" s="76"/>
      <c r="O29" s="76"/>
      <c r="P29" s="22"/>
      <c r="Q29" s="77"/>
      <c r="R29" s="78"/>
      <c r="S29" s="79"/>
      <c r="T29" s="22"/>
      <c r="U29" s="66"/>
    </row>
    <row r="30" spans="1:21">
      <c r="A30" s="65"/>
      <c r="C30" s="66" t="s">
        <v>219</v>
      </c>
      <c r="D30" s="66"/>
      <c r="E30" s="684"/>
      <c r="F30" s="56"/>
      <c r="I30" s="54"/>
      <c r="J30" s="54"/>
      <c r="K30" s="54"/>
      <c r="L30" s="54"/>
      <c r="M30" s="22"/>
      <c r="N30" s="22"/>
      <c r="O30" s="22"/>
      <c r="P30" s="22"/>
      <c r="Q30" s="22"/>
      <c r="R30" s="22"/>
      <c r="S30" s="22"/>
      <c r="T30" s="22"/>
      <c r="U30" s="66"/>
    </row>
    <row r="31" spans="1:21">
      <c r="A31" s="65" t="s">
        <v>220</v>
      </c>
      <c r="C31" s="66" t="s">
        <v>221</v>
      </c>
      <c r="D31" s="66"/>
      <c r="E31" s="73" t="s">
        <v>683</v>
      </c>
      <c r="F31" s="23"/>
      <c r="I31" s="54">
        <f>+'Attachment H'!I152</f>
        <v>1064154.001370634</v>
      </c>
      <c r="J31" s="54"/>
      <c r="K31" s="54"/>
      <c r="L31" s="54"/>
      <c r="P31" s="22"/>
      <c r="Q31" s="70"/>
      <c r="R31" s="22"/>
      <c r="S31" s="23"/>
      <c r="T31" s="64"/>
      <c r="U31" s="66"/>
    </row>
    <row r="32" spans="1:21">
      <c r="A32" s="65" t="s">
        <v>222</v>
      </c>
      <c r="C32" s="66" t="s">
        <v>223</v>
      </c>
      <c r="D32" s="66"/>
      <c r="E32" s="73" t="s">
        <v>224</v>
      </c>
      <c r="F32" s="23"/>
      <c r="I32" s="54">
        <f>IF(I31=0,0,I31/I19)</f>
        <v>1.0508057539137472E-2</v>
      </c>
      <c r="J32" s="54"/>
      <c r="K32" s="54"/>
      <c r="L32" s="81">
        <f>I32</f>
        <v>1.0508057539137472E-2</v>
      </c>
      <c r="M32" s="76"/>
      <c r="N32" s="76"/>
      <c r="O32" s="76"/>
      <c r="P32" s="22"/>
      <c r="Q32" s="77"/>
      <c r="R32" s="22"/>
      <c r="S32" s="79"/>
      <c r="T32" s="64"/>
      <c r="U32" s="66"/>
    </row>
    <row r="33" spans="1:21">
      <c r="A33" s="65"/>
      <c r="C33" s="66"/>
      <c r="D33" s="66"/>
      <c r="E33" s="73"/>
      <c r="F33" s="23"/>
      <c r="I33" s="22"/>
      <c r="L33" s="22"/>
      <c r="M33" s="22"/>
      <c r="N33" s="22"/>
      <c r="O33" s="22"/>
      <c r="P33" s="22"/>
      <c r="T33" s="22"/>
      <c r="U33" s="66"/>
    </row>
    <row r="34" spans="1:21">
      <c r="A34" s="65" t="s">
        <v>225</v>
      </c>
      <c r="C34" s="66" t="s">
        <v>272</v>
      </c>
      <c r="D34" s="66"/>
      <c r="E34" s="73" t="s">
        <v>6</v>
      </c>
      <c r="F34" s="23"/>
      <c r="I34" s="53">
        <f>-'Attachment H'!I19</f>
        <v>-207000.00000000009</v>
      </c>
      <c r="L34" s="22"/>
      <c r="M34" s="22"/>
      <c r="N34" s="22"/>
      <c r="O34" s="22"/>
      <c r="P34" s="22"/>
      <c r="T34" s="22"/>
      <c r="U34" s="66"/>
    </row>
    <row r="35" spans="1:21">
      <c r="A35" s="65" t="s">
        <v>228</v>
      </c>
      <c r="C35" s="66" t="s">
        <v>673</v>
      </c>
      <c r="D35" s="66"/>
      <c r="E35" s="73" t="s">
        <v>266</v>
      </c>
      <c r="F35" s="23"/>
      <c r="I35" s="82">
        <f>IF(I34=0,0,I34/I19)</f>
        <v>-2.0440348932577747E-3</v>
      </c>
      <c r="L35" s="54">
        <f>+I35</f>
        <v>-2.0440348932577747E-3</v>
      </c>
      <c r="M35" s="22"/>
      <c r="N35" s="22"/>
      <c r="O35" s="22"/>
      <c r="P35" s="22"/>
      <c r="T35" s="22"/>
      <c r="U35" s="66"/>
    </row>
    <row r="36" spans="1:21">
      <c r="A36" s="65"/>
      <c r="C36" s="66"/>
      <c r="D36" s="66"/>
      <c r="E36" s="73"/>
      <c r="F36" s="23"/>
      <c r="I36" s="22"/>
      <c r="L36" s="22"/>
      <c r="M36" s="22"/>
      <c r="N36" s="22"/>
      <c r="O36" s="22"/>
      <c r="P36" s="22"/>
      <c r="T36" s="22"/>
      <c r="U36" s="66"/>
    </row>
    <row r="37" spans="1:21">
      <c r="A37" s="83" t="s">
        <v>229</v>
      </c>
      <c r="B37" s="84"/>
      <c r="C37" s="71" t="s">
        <v>226</v>
      </c>
      <c r="D37" s="71"/>
      <c r="E37" s="85" t="s">
        <v>267</v>
      </c>
      <c r="F37" s="67"/>
      <c r="I37" s="78"/>
      <c r="L37" s="752">
        <f>L24+L28+L32+L35</f>
        <v>8.8325398751879503E-2</v>
      </c>
      <c r="M37" s="87"/>
      <c r="N37" s="87"/>
      <c r="O37" s="87"/>
      <c r="P37" s="22"/>
      <c r="T37" s="22"/>
      <c r="U37" s="66"/>
    </row>
    <row r="38" spans="1:21">
      <c r="A38" s="65"/>
      <c r="C38" s="66"/>
      <c r="D38" s="66"/>
      <c r="E38" s="73"/>
      <c r="F38" s="23"/>
      <c r="I38" s="22"/>
      <c r="L38" s="22"/>
      <c r="M38" s="22"/>
      <c r="N38" s="22"/>
      <c r="O38" s="22"/>
      <c r="P38" s="22"/>
      <c r="Q38" s="22"/>
      <c r="R38" s="22"/>
      <c r="S38" s="88"/>
      <c r="T38" s="22"/>
      <c r="U38" s="66"/>
    </row>
    <row r="39" spans="1:21">
      <c r="A39" s="65"/>
      <c r="B39" s="89"/>
      <c r="C39" s="22" t="s">
        <v>227</v>
      </c>
      <c r="D39" s="22"/>
      <c r="E39" s="73"/>
      <c r="F39" s="23"/>
      <c r="I39" s="22"/>
      <c r="L39" s="22"/>
      <c r="M39" s="22"/>
      <c r="N39" s="22"/>
      <c r="O39" s="22"/>
      <c r="P39" s="90"/>
      <c r="Q39" s="89"/>
      <c r="T39" s="64"/>
      <c r="U39" s="22" t="s">
        <v>10</v>
      </c>
    </row>
    <row r="40" spans="1:21">
      <c r="A40" s="65" t="s">
        <v>231</v>
      </c>
      <c r="B40" s="89"/>
      <c r="C40" s="22" t="s">
        <v>52</v>
      </c>
      <c r="D40" s="22"/>
      <c r="E40" s="73" t="s">
        <v>684</v>
      </c>
      <c r="F40" s="23"/>
      <c r="I40" s="53">
        <f>+'Attachment H'!I167</f>
        <v>1161948.0977288997</v>
      </c>
      <c r="L40" s="22"/>
      <c r="M40" s="22"/>
      <c r="N40" s="22"/>
      <c r="O40" s="22"/>
      <c r="P40" s="90"/>
      <c r="Q40" s="89"/>
      <c r="T40" s="64"/>
      <c r="U40" s="22"/>
    </row>
    <row r="41" spans="1:21">
      <c r="A41" s="65" t="s">
        <v>233</v>
      </c>
      <c r="B41" s="89"/>
      <c r="C41" s="22" t="s">
        <v>230</v>
      </c>
      <c r="D41" s="22"/>
      <c r="E41" s="73" t="s">
        <v>235</v>
      </c>
      <c r="F41" s="23"/>
      <c r="I41" s="54">
        <f>IF(I20=0,0,I40/I20)</f>
        <v>1.4001431865756305E-2</v>
      </c>
      <c r="L41" s="81">
        <f>I41</f>
        <v>1.4001431865756305E-2</v>
      </c>
      <c r="M41" s="76"/>
      <c r="N41" s="76"/>
      <c r="O41" s="76"/>
      <c r="P41" s="90"/>
      <c r="Q41" s="89"/>
      <c r="R41" s="22"/>
      <c r="S41" s="22"/>
      <c r="T41" s="64"/>
      <c r="U41" s="22"/>
    </row>
    <row r="42" spans="1:21">
      <c r="A42" s="65"/>
      <c r="C42" s="22"/>
      <c r="D42" s="22"/>
      <c r="E42" s="73"/>
      <c r="F42" s="23"/>
      <c r="I42" s="22"/>
      <c r="L42" s="22"/>
      <c r="M42" s="22"/>
      <c r="N42" s="22"/>
      <c r="O42" s="22"/>
      <c r="P42" s="22"/>
      <c r="R42" s="26"/>
      <c r="S42" s="22"/>
      <c r="T42" s="26"/>
      <c r="U42" s="66"/>
    </row>
    <row r="43" spans="1:21">
      <c r="A43" s="65"/>
      <c r="C43" s="66" t="s">
        <v>53</v>
      </c>
      <c r="D43" s="66"/>
      <c r="E43" s="91"/>
      <c r="F43" s="92"/>
      <c r="P43" s="22"/>
      <c r="R43" s="22"/>
      <c r="S43" s="22"/>
      <c r="T43" s="22"/>
      <c r="U43" s="66"/>
    </row>
    <row r="44" spans="1:21">
      <c r="A44" s="65" t="s">
        <v>236</v>
      </c>
      <c r="C44" s="66" t="s">
        <v>232</v>
      </c>
      <c r="D44" s="66"/>
      <c r="E44" s="73" t="s">
        <v>685</v>
      </c>
      <c r="F44" s="23"/>
      <c r="I44" s="53">
        <f>+'Attachment H'!I170</f>
        <v>5954978.3973274436</v>
      </c>
      <c r="L44" s="22"/>
      <c r="M44" s="22"/>
      <c r="N44" s="22"/>
      <c r="O44" s="22"/>
      <c r="P44" s="22"/>
      <c r="R44" s="22"/>
      <c r="S44" s="22"/>
      <c r="T44" s="22"/>
      <c r="U44" s="66"/>
    </row>
    <row r="45" spans="1:21">
      <c r="A45" s="65" t="s">
        <v>264</v>
      </c>
      <c r="B45" s="89"/>
      <c r="C45" s="22" t="s">
        <v>234</v>
      </c>
      <c r="D45" s="22"/>
      <c r="E45" s="73" t="s">
        <v>719</v>
      </c>
      <c r="F45" s="23"/>
      <c r="I45" s="54">
        <f>IF(I20=0,0,I44/I20)</f>
        <v>7.1757270789632385E-2</v>
      </c>
      <c r="L45" s="81">
        <f>I45</f>
        <v>7.1757270789632385E-2</v>
      </c>
      <c r="M45" s="76"/>
      <c r="N45" s="76"/>
      <c r="O45" s="76"/>
      <c r="P45" s="22"/>
      <c r="S45" s="93"/>
      <c r="T45" s="64"/>
      <c r="U45" s="22"/>
    </row>
    <row r="46" spans="1:21">
      <c r="A46" s="65"/>
      <c r="C46" s="66"/>
      <c r="D46" s="66"/>
      <c r="E46" s="73"/>
      <c r="F46" s="23"/>
      <c r="I46" s="22"/>
      <c r="L46" s="22"/>
      <c r="M46" s="22"/>
      <c r="N46" s="22"/>
      <c r="O46" s="22"/>
      <c r="P46" s="22"/>
      <c r="Q46" s="92"/>
      <c r="R46" s="22"/>
      <c r="S46" s="22"/>
      <c r="T46" s="22"/>
      <c r="U46" s="66"/>
    </row>
    <row r="47" spans="1:21">
      <c r="A47" s="83" t="s">
        <v>265</v>
      </c>
      <c r="B47" s="84"/>
      <c r="C47" s="71" t="s">
        <v>237</v>
      </c>
      <c r="D47" s="71"/>
      <c r="E47" s="85" t="s">
        <v>268</v>
      </c>
      <c r="F47" s="67"/>
      <c r="I47" s="54">
        <f>+I45+I41</f>
        <v>8.5758702655388694E-2</v>
      </c>
      <c r="L47" s="86">
        <f>L41+L45</f>
        <v>8.5758702655388694E-2</v>
      </c>
      <c r="M47" s="87"/>
      <c r="N47" s="87"/>
      <c r="O47" s="87"/>
      <c r="P47" s="22"/>
      <c r="Q47" s="92"/>
      <c r="R47" s="22"/>
      <c r="S47" s="22"/>
      <c r="T47" s="22"/>
      <c r="U47" s="66"/>
    </row>
    <row r="48" spans="1:21">
      <c r="P48" s="94"/>
      <c r="Q48" s="94"/>
      <c r="R48" s="22"/>
      <c r="S48" s="22"/>
      <c r="T48" s="22"/>
      <c r="U48" s="66"/>
    </row>
    <row r="49" spans="1:21">
      <c r="P49" s="94"/>
      <c r="Q49" s="94"/>
      <c r="R49" s="22"/>
      <c r="S49" s="22"/>
      <c r="T49" s="22"/>
      <c r="U49" s="66"/>
    </row>
    <row r="50" spans="1:21">
      <c r="A50" s="95"/>
      <c r="C50" s="65"/>
      <c r="D50" s="65"/>
      <c r="E50" s="56"/>
      <c r="F50" s="56"/>
      <c r="G50" s="22"/>
      <c r="J50" s="80"/>
      <c r="P50" s="22"/>
      <c r="Q50" s="77"/>
      <c r="R50" s="96"/>
      <c r="S50" s="22"/>
      <c r="T50" s="23"/>
      <c r="U50" s="22"/>
    </row>
    <row r="51" spans="1:21">
      <c r="A51" s="687"/>
      <c r="G51" s="22"/>
      <c r="P51" s="22"/>
      <c r="Q51" s="22"/>
      <c r="R51" s="22"/>
      <c r="S51" s="22"/>
      <c r="T51" s="64"/>
      <c r="U51" s="22" t="s">
        <v>10</v>
      </c>
    </row>
    <row r="52" spans="1:21">
      <c r="Q52" s="57"/>
    </row>
    <row r="53" spans="1:21">
      <c r="Q53" s="57"/>
    </row>
    <row r="54" spans="1:21">
      <c r="M54" s="25" t="s">
        <v>793</v>
      </c>
    </row>
    <row r="55" spans="1:21">
      <c r="A55" s="687"/>
      <c r="G55" s="22"/>
      <c r="P55" s="22"/>
      <c r="Q55" s="57"/>
      <c r="R55" s="22"/>
      <c r="S55" s="26"/>
      <c r="T55" s="22"/>
      <c r="U55" s="66"/>
    </row>
    <row r="56" spans="1:21">
      <c r="A56" s="687"/>
      <c r="C56" s="66"/>
      <c r="D56" s="66"/>
      <c r="G56" s="56" t="str">
        <f>+G5</f>
        <v>Attachment 11</v>
      </c>
      <c r="H56" s="56"/>
      <c r="O56" s="56"/>
      <c r="P56" s="22"/>
      <c r="Q56" s="57"/>
      <c r="R56" s="22"/>
      <c r="S56" s="26"/>
      <c r="T56" s="22"/>
      <c r="U56" s="66"/>
    </row>
    <row r="57" spans="1:21">
      <c r="A57" s="687"/>
      <c r="C57" s="66"/>
      <c r="D57" s="66"/>
      <c r="G57" s="56" t="str">
        <f>+G6</f>
        <v>Wholesale Distribution Service</v>
      </c>
      <c r="H57" s="56"/>
      <c r="L57" s="22"/>
      <c r="M57" s="22"/>
      <c r="N57" s="22"/>
      <c r="O57" s="56"/>
      <c r="P57" s="22"/>
      <c r="R57" s="22"/>
      <c r="S57" s="26"/>
      <c r="T57" s="22"/>
      <c r="U57" s="66"/>
    </row>
    <row r="58" spans="1:21" ht="14.25" customHeight="1">
      <c r="A58" s="687"/>
      <c r="G58" s="56" t="str">
        <f>+G7</f>
        <v>Gridliance High Plains LLC</v>
      </c>
      <c r="O58" s="56"/>
      <c r="P58" s="22"/>
      <c r="R58" s="22"/>
      <c r="S58" s="26"/>
      <c r="T58" s="22"/>
      <c r="U58" s="66"/>
    </row>
    <row r="59" spans="1:21">
      <c r="A59" s="687"/>
      <c r="H59" s="56"/>
      <c r="P59" s="22"/>
      <c r="Q59" s="22"/>
      <c r="R59" s="22"/>
      <c r="S59" s="26"/>
      <c r="T59" s="22"/>
      <c r="U59" s="66"/>
    </row>
    <row r="60" spans="1:21">
      <c r="A60" s="687"/>
      <c r="E60" s="66"/>
      <c r="F60" s="66"/>
      <c r="G60" s="66"/>
      <c r="H60" s="66"/>
      <c r="I60" s="66"/>
      <c r="J60" s="66"/>
      <c r="K60" s="66"/>
      <c r="L60" s="66"/>
      <c r="M60" s="66"/>
      <c r="N60" s="66"/>
      <c r="O60" s="66"/>
      <c r="P60" s="66"/>
      <c r="Q60" s="66"/>
      <c r="R60" s="22"/>
      <c r="S60" s="26"/>
      <c r="T60" s="22"/>
      <c r="U60" s="66"/>
    </row>
    <row r="61" spans="1:21">
      <c r="A61" s="687"/>
      <c r="E61" s="71"/>
      <c r="F61" s="71"/>
      <c r="H61" s="26"/>
      <c r="I61" s="26"/>
      <c r="J61" s="26"/>
      <c r="K61" s="26"/>
      <c r="L61" s="26"/>
      <c r="M61" s="26"/>
      <c r="N61" s="26"/>
      <c r="O61" s="26"/>
      <c r="P61" s="22"/>
      <c r="Q61" s="22"/>
      <c r="R61" s="22"/>
      <c r="S61" s="26"/>
      <c r="T61" s="22"/>
      <c r="U61" s="66"/>
    </row>
    <row r="62" spans="1:21">
      <c r="A62" s="687"/>
      <c r="E62" s="71"/>
      <c r="F62" s="71"/>
      <c r="H62" s="26"/>
      <c r="I62" s="26"/>
      <c r="J62" s="26"/>
      <c r="K62" s="26"/>
      <c r="L62" s="26"/>
      <c r="M62" s="26"/>
      <c r="N62" s="26"/>
      <c r="O62" s="26"/>
      <c r="P62" s="22"/>
      <c r="Q62" s="22"/>
      <c r="R62" s="22"/>
      <c r="S62" s="26"/>
      <c r="T62" s="22"/>
      <c r="U62" s="66"/>
    </row>
    <row r="63" spans="1:21" ht="13.8" thickBot="1">
      <c r="A63" s="687"/>
      <c r="C63" s="97">
        <v>-1</v>
      </c>
      <c r="D63" s="97">
        <v>-2</v>
      </c>
      <c r="E63" s="97">
        <v>-3</v>
      </c>
      <c r="F63" s="97">
        <v>-4</v>
      </c>
      <c r="G63" s="97">
        <v>-5</v>
      </c>
      <c r="H63" s="97">
        <v>-6</v>
      </c>
      <c r="I63" s="97">
        <v>-7</v>
      </c>
      <c r="J63" s="97">
        <v>-8</v>
      </c>
      <c r="K63" s="97">
        <v>-9</v>
      </c>
      <c r="L63" s="97">
        <v>-10</v>
      </c>
      <c r="M63" s="97">
        <v>-11</v>
      </c>
      <c r="N63" s="97"/>
      <c r="O63" s="97"/>
      <c r="P63" s="97"/>
      <c r="Q63" s="291"/>
      <c r="R63" s="291"/>
      <c r="S63" s="291"/>
      <c r="T63" s="22"/>
      <c r="U63" s="66"/>
    </row>
    <row r="64" spans="1:21" ht="53.25" customHeight="1" thickBot="1">
      <c r="A64" s="697" t="s">
        <v>239</v>
      </c>
      <c r="B64" s="698"/>
      <c r="C64" s="698" t="s">
        <v>789</v>
      </c>
      <c r="D64" s="699" t="s">
        <v>240</v>
      </c>
      <c r="E64" s="699" t="s">
        <v>914</v>
      </c>
      <c r="F64" s="699" t="s">
        <v>241</v>
      </c>
      <c r="G64" s="699" t="s">
        <v>915</v>
      </c>
      <c r="H64" s="699" t="s">
        <v>237</v>
      </c>
      <c r="I64" s="699" t="s">
        <v>243</v>
      </c>
      <c r="J64" s="699" t="s">
        <v>916</v>
      </c>
      <c r="K64" s="699" t="s">
        <v>918</v>
      </c>
      <c r="L64" s="699" t="s">
        <v>917</v>
      </c>
      <c r="M64" s="739" t="s">
        <v>829</v>
      </c>
      <c r="O64" s="696"/>
      <c r="P64" s="696"/>
      <c r="Q64" s="696"/>
      <c r="R64" s="696"/>
      <c r="S64" s="696"/>
      <c r="T64" s="22"/>
      <c r="U64" s="66"/>
    </row>
    <row r="65" spans="1:21" ht="46.5" customHeight="1">
      <c r="A65" s="730"/>
      <c r="B65" s="728"/>
      <c r="C65" s="728"/>
      <c r="D65" s="729" t="s">
        <v>179</v>
      </c>
      <c r="E65" s="729" t="s">
        <v>472</v>
      </c>
      <c r="F65" s="729" t="s">
        <v>833</v>
      </c>
      <c r="G65" s="729" t="s">
        <v>180</v>
      </c>
      <c r="H65" s="729" t="s">
        <v>473</v>
      </c>
      <c r="I65" s="729" t="s">
        <v>832</v>
      </c>
      <c r="J65" s="729" t="s">
        <v>762</v>
      </c>
      <c r="K65" s="729" t="s">
        <v>831</v>
      </c>
      <c r="L65" s="729"/>
      <c r="M65" s="738" t="s">
        <v>830</v>
      </c>
      <c r="O65" s="726"/>
      <c r="P65" s="711"/>
      <c r="Q65" s="726"/>
      <c r="R65" s="23"/>
      <c r="S65" s="726"/>
      <c r="T65" s="22"/>
      <c r="U65" s="66"/>
    </row>
    <row r="66" spans="1:21">
      <c r="A66" s="731"/>
      <c r="B66" s="26"/>
      <c r="C66" s="26"/>
      <c r="D66" s="26"/>
      <c r="E66" s="26"/>
      <c r="F66" s="26"/>
      <c r="G66" s="26"/>
      <c r="H66" s="26"/>
      <c r="I66" s="26"/>
      <c r="J66" s="26"/>
      <c r="K66" s="26"/>
      <c r="L66" s="26"/>
      <c r="M66" s="733"/>
      <c r="O66" s="26"/>
      <c r="P66" s="26"/>
      <c r="Q66" s="26"/>
      <c r="R66" s="22"/>
      <c r="S66" s="22"/>
      <c r="T66" s="22"/>
      <c r="U66" s="66"/>
    </row>
    <row r="67" spans="1:21">
      <c r="A67" s="734" t="s">
        <v>645</v>
      </c>
      <c r="B67" s="113"/>
      <c r="C67" s="114"/>
      <c r="D67" s="205">
        <v>0</v>
      </c>
      <c r="E67" s="54">
        <f t="shared" ref="E67:E85" si="0">$L$37</f>
        <v>8.8325398751879503E-2</v>
      </c>
      <c r="F67" s="54">
        <f t="shared" ref="F67:F85" si="1">D67*E67</f>
        <v>0</v>
      </c>
      <c r="G67" s="205">
        <v>0</v>
      </c>
      <c r="H67" s="54">
        <f t="shared" ref="H67:H85" si="2">$L$47</f>
        <v>8.5758702655388694E-2</v>
      </c>
      <c r="I67" s="53">
        <f t="shared" ref="I67:I85" si="3">G67*H67</f>
        <v>0</v>
      </c>
      <c r="J67" s="205">
        <v>0</v>
      </c>
      <c r="K67" s="53">
        <f t="shared" ref="K67:K85" si="4">F67+I67+J67</f>
        <v>0</v>
      </c>
      <c r="L67" s="725">
        <v>0</v>
      </c>
      <c r="M67" s="740">
        <f>+K67*L67</f>
        <v>0</v>
      </c>
      <c r="O67" s="54"/>
      <c r="P67" s="54"/>
      <c r="Q67" s="54"/>
      <c r="R67" s="54"/>
      <c r="S67" s="54"/>
    </row>
    <row r="68" spans="1:21">
      <c r="A68" s="734" t="s">
        <v>646</v>
      </c>
      <c r="B68" s="113"/>
      <c r="C68" s="114"/>
      <c r="D68" s="725">
        <v>0</v>
      </c>
      <c r="E68" s="54">
        <f t="shared" si="0"/>
        <v>8.8325398751879503E-2</v>
      </c>
      <c r="F68" s="54">
        <f t="shared" si="1"/>
        <v>0</v>
      </c>
      <c r="G68" s="725">
        <v>0</v>
      </c>
      <c r="H68" s="54">
        <f t="shared" si="2"/>
        <v>8.5758702655388694E-2</v>
      </c>
      <c r="I68" s="54">
        <f t="shared" si="3"/>
        <v>0</v>
      </c>
      <c r="J68" s="205">
        <v>0</v>
      </c>
      <c r="K68" s="54">
        <f t="shared" si="4"/>
        <v>0</v>
      </c>
      <c r="L68" s="725">
        <v>0</v>
      </c>
      <c r="M68" s="735">
        <f t="shared" ref="M68:M85" si="5">+K68*L68</f>
        <v>0</v>
      </c>
      <c r="O68" s="54"/>
      <c r="P68" s="54"/>
      <c r="Q68" s="54"/>
      <c r="R68" s="54"/>
      <c r="S68" s="54"/>
    </row>
    <row r="69" spans="1:21" ht="24" customHeight="1">
      <c r="A69" s="734" t="s">
        <v>647</v>
      </c>
      <c r="B69" s="113"/>
      <c r="C69" s="114"/>
      <c r="D69" s="725">
        <v>0</v>
      </c>
      <c r="E69" s="54">
        <f t="shared" si="0"/>
        <v>8.8325398751879503E-2</v>
      </c>
      <c r="F69" s="54">
        <f t="shared" si="1"/>
        <v>0</v>
      </c>
      <c r="G69" s="725">
        <v>0</v>
      </c>
      <c r="H69" s="54">
        <f t="shared" si="2"/>
        <v>8.5758702655388694E-2</v>
      </c>
      <c r="I69" s="54">
        <f t="shared" si="3"/>
        <v>0</v>
      </c>
      <c r="J69" s="205">
        <v>0</v>
      </c>
      <c r="K69" s="54">
        <f t="shared" si="4"/>
        <v>0</v>
      </c>
      <c r="L69" s="725">
        <v>0</v>
      </c>
      <c r="M69" s="735">
        <f t="shared" si="5"/>
        <v>0</v>
      </c>
      <c r="O69" s="54"/>
      <c r="P69" s="54"/>
      <c r="Q69" s="54"/>
      <c r="R69" s="54"/>
      <c r="S69" s="54"/>
    </row>
    <row r="70" spans="1:21">
      <c r="A70" s="734" t="s">
        <v>501</v>
      </c>
      <c r="B70" s="113"/>
      <c r="C70" s="114"/>
      <c r="D70" s="725">
        <v>0</v>
      </c>
      <c r="E70" s="54">
        <f t="shared" si="0"/>
        <v>8.8325398751879503E-2</v>
      </c>
      <c r="F70" s="54">
        <f t="shared" si="1"/>
        <v>0</v>
      </c>
      <c r="G70" s="725">
        <v>0</v>
      </c>
      <c r="H70" s="54">
        <f t="shared" si="2"/>
        <v>8.5758702655388694E-2</v>
      </c>
      <c r="I70" s="54">
        <f t="shared" si="3"/>
        <v>0</v>
      </c>
      <c r="J70" s="205">
        <v>0</v>
      </c>
      <c r="K70" s="54">
        <f t="shared" si="4"/>
        <v>0</v>
      </c>
      <c r="L70" s="725">
        <v>0</v>
      </c>
      <c r="M70" s="735">
        <f t="shared" si="5"/>
        <v>0</v>
      </c>
      <c r="O70" s="54"/>
      <c r="P70" s="54"/>
      <c r="Q70" s="54"/>
      <c r="R70" s="54"/>
      <c r="S70" s="54"/>
    </row>
    <row r="71" spans="1:21">
      <c r="A71" s="734" t="s">
        <v>501</v>
      </c>
      <c r="B71" s="113"/>
      <c r="C71" s="114"/>
      <c r="D71" s="725">
        <v>0</v>
      </c>
      <c r="E71" s="54">
        <f t="shared" si="0"/>
        <v>8.8325398751879503E-2</v>
      </c>
      <c r="F71" s="54">
        <f t="shared" si="1"/>
        <v>0</v>
      </c>
      <c r="G71" s="725">
        <v>0</v>
      </c>
      <c r="H71" s="54">
        <f t="shared" si="2"/>
        <v>8.5758702655388694E-2</v>
      </c>
      <c r="I71" s="54">
        <f t="shared" si="3"/>
        <v>0</v>
      </c>
      <c r="J71" s="205">
        <v>0</v>
      </c>
      <c r="K71" s="54">
        <f t="shared" si="4"/>
        <v>0</v>
      </c>
      <c r="L71" s="725">
        <v>0</v>
      </c>
      <c r="M71" s="735">
        <f t="shared" si="5"/>
        <v>0</v>
      </c>
      <c r="O71" s="54"/>
      <c r="P71" s="54"/>
      <c r="Q71" s="54"/>
      <c r="R71" s="54"/>
      <c r="S71" s="54"/>
    </row>
    <row r="72" spans="1:21">
      <c r="A72" s="734" t="s">
        <v>501</v>
      </c>
      <c r="B72" s="113"/>
      <c r="C72" s="114"/>
      <c r="D72" s="725">
        <v>0</v>
      </c>
      <c r="E72" s="54">
        <f t="shared" si="0"/>
        <v>8.8325398751879503E-2</v>
      </c>
      <c r="F72" s="54">
        <f t="shared" si="1"/>
        <v>0</v>
      </c>
      <c r="G72" s="725">
        <v>0</v>
      </c>
      <c r="H72" s="54">
        <f t="shared" si="2"/>
        <v>8.5758702655388694E-2</v>
      </c>
      <c r="I72" s="54">
        <f t="shared" si="3"/>
        <v>0</v>
      </c>
      <c r="J72" s="205">
        <v>0</v>
      </c>
      <c r="K72" s="54">
        <f t="shared" si="4"/>
        <v>0</v>
      </c>
      <c r="L72" s="725">
        <v>0</v>
      </c>
      <c r="M72" s="735">
        <f t="shared" si="5"/>
        <v>0</v>
      </c>
      <c r="O72" s="54"/>
      <c r="P72" s="54"/>
      <c r="Q72" s="54"/>
      <c r="R72" s="54"/>
      <c r="S72" s="54"/>
    </row>
    <row r="73" spans="1:21">
      <c r="A73" s="734" t="s">
        <v>501</v>
      </c>
      <c r="B73" s="113"/>
      <c r="C73" s="114"/>
      <c r="D73" s="725">
        <v>0</v>
      </c>
      <c r="E73" s="54">
        <f t="shared" si="0"/>
        <v>8.8325398751879503E-2</v>
      </c>
      <c r="F73" s="54">
        <f t="shared" si="1"/>
        <v>0</v>
      </c>
      <c r="G73" s="725">
        <v>0</v>
      </c>
      <c r="H73" s="54">
        <f t="shared" si="2"/>
        <v>8.5758702655388694E-2</v>
      </c>
      <c r="I73" s="54">
        <f t="shared" si="3"/>
        <v>0</v>
      </c>
      <c r="J73" s="205">
        <v>0</v>
      </c>
      <c r="K73" s="54">
        <f t="shared" si="4"/>
        <v>0</v>
      </c>
      <c r="L73" s="725">
        <v>0</v>
      </c>
      <c r="M73" s="735">
        <f t="shared" si="5"/>
        <v>0</v>
      </c>
      <c r="O73" s="54"/>
      <c r="P73" s="54"/>
      <c r="Q73" s="54"/>
      <c r="R73" s="54"/>
      <c r="S73" s="54"/>
    </row>
    <row r="74" spans="1:21">
      <c r="A74" s="734" t="s">
        <v>501</v>
      </c>
      <c r="B74" s="113"/>
      <c r="C74" s="114"/>
      <c r="D74" s="725">
        <v>0</v>
      </c>
      <c r="E74" s="54">
        <f t="shared" si="0"/>
        <v>8.8325398751879503E-2</v>
      </c>
      <c r="F74" s="54">
        <f t="shared" si="1"/>
        <v>0</v>
      </c>
      <c r="G74" s="725">
        <v>0</v>
      </c>
      <c r="H74" s="54">
        <f t="shared" si="2"/>
        <v>8.5758702655388694E-2</v>
      </c>
      <c r="I74" s="54">
        <f t="shared" si="3"/>
        <v>0</v>
      </c>
      <c r="J74" s="205">
        <v>0</v>
      </c>
      <c r="K74" s="54">
        <f t="shared" si="4"/>
        <v>0</v>
      </c>
      <c r="L74" s="725">
        <v>0</v>
      </c>
      <c r="M74" s="735">
        <f t="shared" si="5"/>
        <v>0</v>
      </c>
      <c r="O74" s="54"/>
      <c r="P74" s="54"/>
      <c r="Q74" s="54"/>
      <c r="R74" s="54"/>
      <c r="S74" s="54"/>
    </row>
    <row r="75" spans="1:21">
      <c r="A75" s="734" t="s">
        <v>501</v>
      </c>
      <c r="B75" s="113"/>
      <c r="C75" s="114"/>
      <c r="D75" s="725">
        <v>0</v>
      </c>
      <c r="E75" s="54">
        <f t="shared" si="0"/>
        <v>8.8325398751879503E-2</v>
      </c>
      <c r="F75" s="54">
        <f t="shared" si="1"/>
        <v>0</v>
      </c>
      <c r="G75" s="725">
        <v>0</v>
      </c>
      <c r="H75" s="54">
        <f t="shared" si="2"/>
        <v>8.5758702655388694E-2</v>
      </c>
      <c r="I75" s="54">
        <f t="shared" si="3"/>
        <v>0</v>
      </c>
      <c r="J75" s="205">
        <v>0</v>
      </c>
      <c r="K75" s="54">
        <f t="shared" si="4"/>
        <v>0</v>
      </c>
      <c r="L75" s="725">
        <v>0</v>
      </c>
      <c r="M75" s="735">
        <f t="shared" si="5"/>
        <v>0</v>
      </c>
      <c r="O75" s="54"/>
      <c r="P75" s="54"/>
      <c r="Q75" s="54"/>
      <c r="R75" s="54"/>
      <c r="S75" s="54"/>
    </row>
    <row r="76" spans="1:21">
      <c r="A76" s="734" t="s">
        <v>501</v>
      </c>
      <c r="B76" s="113"/>
      <c r="C76" s="114"/>
      <c r="D76" s="725">
        <v>0</v>
      </c>
      <c r="E76" s="54">
        <f t="shared" si="0"/>
        <v>8.8325398751879503E-2</v>
      </c>
      <c r="F76" s="54">
        <f t="shared" si="1"/>
        <v>0</v>
      </c>
      <c r="G76" s="725">
        <v>0</v>
      </c>
      <c r="H76" s="54">
        <f t="shared" si="2"/>
        <v>8.5758702655388694E-2</v>
      </c>
      <c r="I76" s="54">
        <f t="shared" si="3"/>
        <v>0</v>
      </c>
      <c r="J76" s="205">
        <v>0</v>
      </c>
      <c r="K76" s="54">
        <f t="shared" si="4"/>
        <v>0</v>
      </c>
      <c r="L76" s="725">
        <v>0</v>
      </c>
      <c r="M76" s="735">
        <f t="shared" si="5"/>
        <v>0</v>
      </c>
      <c r="O76" s="54"/>
      <c r="P76" s="54"/>
      <c r="Q76" s="54"/>
      <c r="R76" s="54"/>
      <c r="S76" s="54"/>
    </row>
    <row r="77" spans="1:21">
      <c r="A77" s="734" t="s">
        <v>501</v>
      </c>
      <c r="B77" s="113"/>
      <c r="C77" s="114"/>
      <c r="D77" s="725">
        <v>0</v>
      </c>
      <c r="E77" s="54">
        <f t="shared" si="0"/>
        <v>8.8325398751879503E-2</v>
      </c>
      <c r="F77" s="54">
        <f t="shared" si="1"/>
        <v>0</v>
      </c>
      <c r="G77" s="725">
        <v>0</v>
      </c>
      <c r="H77" s="54">
        <f t="shared" si="2"/>
        <v>8.5758702655388694E-2</v>
      </c>
      <c r="I77" s="54">
        <f t="shared" si="3"/>
        <v>0</v>
      </c>
      <c r="J77" s="205">
        <v>0</v>
      </c>
      <c r="K77" s="54">
        <f t="shared" si="4"/>
        <v>0</v>
      </c>
      <c r="L77" s="725">
        <v>0</v>
      </c>
      <c r="M77" s="735">
        <f t="shared" si="5"/>
        <v>0</v>
      </c>
      <c r="O77" s="54"/>
      <c r="P77" s="54"/>
      <c r="Q77" s="54"/>
      <c r="R77" s="54"/>
      <c r="S77" s="54"/>
    </row>
    <row r="78" spans="1:21">
      <c r="A78" s="734" t="s">
        <v>501</v>
      </c>
      <c r="B78" s="113"/>
      <c r="C78" s="114"/>
      <c r="D78" s="725">
        <v>0</v>
      </c>
      <c r="E78" s="54">
        <f t="shared" si="0"/>
        <v>8.8325398751879503E-2</v>
      </c>
      <c r="F78" s="54">
        <f t="shared" si="1"/>
        <v>0</v>
      </c>
      <c r="G78" s="725">
        <v>0</v>
      </c>
      <c r="H78" s="54">
        <f t="shared" si="2"/>
        <v>8.5758702655388694E-2</v>
      </c>
      <c r="I78" s="54">
        <f t="shared" si="3"/>
        <v>0</v>
      </c>
      <c r="J78" s="205">
        <v>0</v>
      </c>
      <c r="K78" s="54">
        <f t="shared" si="4"/>
        <v>0</v>
      </c>
      <c r="L78" s="725">
        <v>0</v>
      </c>
      <c r="M78" s="735">
        <f t="shared" si="5"/>
        <v>0</v>
      </c>
      <c r="O78" s="54"/>
      <c r="P78" s="54"/>
      <c r="Q78" s="54"/>
      <c r="R78" s="54"/>
      <c r="S78" s="54"/>
    </row>
    <row r="79" spans="1:21">
      <c r="A79" s="734" t="s">
        <v>501</v>
      </c>
      <c r="B79" s="113"/>
      <c r="C79" s="114"/>
      <c r="D79" s="725">
        <v>0</v>
      </c>
      <c r="E79" s="54">
        <f t="shared" si="0"/>
        <v>8.8325398751879503E-2</v>
      </c>
      <c r="F79" s="54">
        <f t="shared" si="1"/>
        <v>0</v>
      </c>
      <c r="G79" s="725">
        <v>0</v>
      </c>
      <c r="H79" s="54">
        <f t="shared" si="2"/>
        <v>8.5758702655388694E-2</v>
      </c>
      <c r="I79" s="54">
        <f t="shared" si="3"/>
        <v>0</v>
      </c>
      <c r="J79" s="205">
        <v>0</v>
      </c>
      <c r="K79" s="54">
        <f t="shared" si="4"/>
        <v>0</v>
      </c>
      <c r="L79" s="725">
        <v>0</v>
      </c>
      <c r="M79" s="735">
        <f t="shared" si="5"/>
        <v>0</v>
      </c>
      <c r="O79" s="54"/>
      <c r="P79" s="54"/>
      <c r="Q79" s="54"/>
      <c r="R79" s="54"/>
      <c r="S79" s="54"/>
    </row>
    <row r="80" spans="1:21">
      <c r="A80" s="734" t="s">
        <v>501</v>
      </c>
      <c r="B80" s="113"/>
      <c r="C80" s="114"/>
      <c r="D80" s="725">
        <v>0</v>
      </c>
      <c r="E80" s="54">
        <f t="shared" si="0"/>
        <v>8.8325398751879503E-2</v>
      </c>
      <c r="F80" s="54">
        <f t="shared" si="1"/>
        <v>0</v>
      </c>
      <c r="G80" s="725">
        <v>0</v>
      </c>
      <c r="H80" s="54">
        <f t="shared" si="2"/>
        <v>8.5758702655388694E-2</v>
      </c>
      <c r="I80" s="54">
        <f t="shared" si="3"/>
        <v>0</v>
      </c>
      <c r="J80" s="205">
        <v>0</v>
      </c>
      <c r="K80" s="54">
        <f t="shared" si="4"/>
        <v>0</v>
      </c>
      <c r="L80" s="725">
        <v>0</v>
      </c>
      <c r="M80" s="735">
        <f t="shared" si="5"/>
        <v>0</v>
      </c>
      <c r="O80" s="54"/>
      <c r="P80" s="54"/>
      <c r="Q80" s="54"/>
      <c r="R80" s="54"/>
      <c r="S80" s="54"/>
    </row>
    <row r="81" spans="1:19">
      <c r="A81" s="734" t="s">
        <v>501</v>
      </c>
      <c r="B81" s="113"/>
      <c r="C81" s="114"/>
      <c r="D81" s="725">
        <v>0</v>
      </c>
      <c r="E81" s="54">
        <f t="shared" si="0"/>
        <v>8.8325398751879503E-2</v>
      </c>
      <c r="F81" s="54">
        <f t="shared" si="1"/>
        <v>0</v>
      </c>
      <c r="G81" s="725">
        <v>0</v>
      </c>
      <c r="H81" s="54">
        <f t="shared" si="2"/>
        <v>8.5758702655388694E-2</v>
      </c>
      <c r="I81" s="54">
        <f t="shared" si="3"/>
        <v>0</v>
      </c>
      <c r="J81" s="205">
        <v>0</v>
      </c>
      <c r="K81" s="54">
        <f t="shared" si="4"/>
        <v>0</v>
      </c>
      <c r="L81" s="725">
        <v>0</v>
      </c>
      <c r="M81" s="735">
        <f t="shared" si="5"/>
        <v>0</v>
      </c>
      <c r="O81" s="54"/>
      <c r="P81" s="54"/>
      <c r="Q81" s="54"/>
      <c r="R81" s="54"/>
      <c r="S81" s="54"/>
    </row>
    <row r="82" spans="1:19">
      <c r="A82" s="734" t="s">
        <v>501</v>
      </c>
      <c r="C82" s="49"/>
      <c r="D82" s="725">
        <v>0</v>
      </c>
      <c r="E82" s="54">
        <f t="shared" si="0"/>
        <v>8.8325398751879503E-2</v>
      </c>
      <c r="F82" s="54">
        <f t="shared" si="1"/>
        <v>0</v>
      </c>
      <c r="G82" s="725">
        <v>0</v>
      </c>
      <c r="H82" s="54">
        <f t="shared" si="2"/>
        <v>8.5758702655388694E-2</v>
      </c>
      <c r="I82" s="54">
        <f t="shared" si="3"/>
        <v>0</v>
      </c>
      <c r="J82" s="205">
        <v>0</v>
      </c>
      <c r="K82" s="54">
        <f t="shared" si="4"/>
        <v>0</v>
      </c>
      <c r="L82" s="725">
        <v>0</v>
      </c>
      <c r="M82" s="735">
        <f t="shared" si="5"/>
        <v>0</v>
      </c>
      <c r="O82" s="54"/>
      <c r="P82" s="54"/>
      <c r="Q82" s="54"/>
      <c r="R82" s="54"/>
      <c r="S82" s="54"/>
    </row>
    <row r="83" spans="1:19">
      <c r="A83" s="734" t="s">
        <v>501</v>
      </c>
      <c r="C83" s="49"/>
      <c r="D83" s="725">
        <v>0</v>
      </c>
      <c r="E83" s="54">
        <f t="shared" si="0"/>
        <v>8.8325398751879503E-2</v>
      </c>
      <c r="F83" s="54">
        <f t="shared" si="1"/>
        <v>0</v>
      </c>
      <c r="G83" s="725">
        <v>0</v>
      </c>
      <c r="H83" s="54">
        <f t="shared" si="2"/>
        <v>8.5758702655388694E-2</v>
      </c>
      <c r="I83" s="54">
        <f t="shared" si="3"/>
        <v>0</v>
      </c>
      <c r="J83" s="205">
        <v>0</v>
      </c>
      <c r="K83" s="54">
        <f t="shared" si="4"/>
        <v>0</v>
      </c>
      <c r="L83" s="725">
        <v>0</v>
      </c>
      <c r="M83" s="735">
        <f t="shared" si="5"/>
        <v>0</v>
      </c>
      <c r="O83" s="54"/>
      <c r="P83" s="54"/>
      <c r="Q83" s="54"/>
      <c r="R83" s="54"/>
      <c r="S83" s="54"/>
    </row>
    <row r="84" spans="1:19">
      <c r="A84" s="734" t="s">
        <v>501</v>
      </c>
      <c r="C84" s="49"/>
      <c r="D84" s="725">
        <v>0</v>
      </c>
      <c r="E84" s="54">
        <f t="shared" si="0"/>
        <v>8.8325398751879503E-2</v>
      </c>
      <c r="F84" s="54">
        <f t="shared" si="1"/>
        <v>0</v>
      </c>
      <c r="G84" s="725">
        <v>0</v>
      </c>
      <c r="H84" s="54">
        <f t="shared" si="2"/>
        <v>8.5758702655388694E-2</v>
      </c>
      <c r="I84" s="54">
        <f t="shared" si="3"/>
        <v>0</v>
      </c>
      <c r="J84" s="205">
        <v>0</v>
      </c>
      <c r="K84" s="54">
        <f t="shared" si="4"/>
        <v>0</v>
      </c>
      <c r="L84" s="725">
        <v>0</v>
      </c>
      <c r="M84" s="735">
        <f t="shared" si="5"/>
        <v>0</v>
      </c>
      <c r="O84" s="54"/>
      <c r="P84" s="54"/>
      <c r="Q84" s="54"/>
      <c r="R84" s="54"/>
      <c r="S84" s="54"/>
    </row>
    <row r="85" spans="1:19">
      <c r="A85" s="734" t="s">
        <v>501</v>
      </c>
      <c r="C85" s="49"/>
      <c r="D85" s="725">
        <v>0</v>
      </c>
      <c r="E85" s="54">
        <f t="shared" si="0"/>
        <v>8.8325398751879503E-2</v>
      </c>
      <c r="F85" s="54">
        <f t="shared" si="1"/>
        <v>0</v>
      </c>
      <c r="G85" s="725">
        <v>0</v>
      </c>
      <c r="H85" s="54">
        <f t="shared" si="2"/>
        <v>8.5758702655388694E-2</v>
      </c>
      <c r="I85" s="54">
        <f t="shared" si="3"/>
        <v>0</v>
      </c>
      <c r="J85" s="205">
        <v>0</v>
      </c>
      <c r="K85" s="54">
        <f t="shared" si="4"/>
        <v>0</v>
      </c>
      <c r="L85" s="725">
        <v>0</v>
      </c>
      <c r="M85" s="735">
        <f t="shared" si="5"/>
        <v>0</v>
      </c>
      <c r="O85" s="54"/>
      <c r="P85" s="54"/>
      <c r="Q85" s="54"/>
      <c r="R85" s="54"/>
      <c r="S85" s="54"/>
    </row>
    <row r="86" spans="1:19" ht="13.8" thickBot="1">
      <c r="A86" s="732"/>
      <c r="B86" s="123"/>
      <c r="C86" s="123"/>
      <c r="D86" s="123"/>
      <c r="E86" s="123"/>
      <c r="F86" s="123"/>
      <c r="G86" s="123"/>
      <c r="H86" s="123"/>
      <c r="I86" s="123"/>
      <c r="J86" s="123"/>
      <c r="K86" s="723"/>
      <c r="L86" s="736"/>
      <c r="M86" s="737"/>
      <c r="O86" s="727"/>
      <c r="P86" s="727"/>
      <c r="Q86" s="727"/>
      <c r="S86" s="53"/>
    </row>
    <row r="87" spans="1:19">
      <c r="A87" s="65" t="s">
        <v>265</v>
      </c>
      <c r="B87" s="89"/>
      <c r="C87" s="66" t="s">
        <v>251</v>
      </c>
      <c r="D87" s="66"/>
      <c r="E87" s="121"/>
      <c r="F87" s="56"/>
      <c r="G87" s="22"/>
      <c r="H87" s="121"/>
      <c r="I87" s="22"/>
      <c r="J87" s="22"/>
      <c r="K87" s="22"/>
      <c r="L87" s="54"/>
      <c r="M87" s="74">
        <f>SUM(M67:M86)</f>
        <v>0</v>
      </c>
      <c r="N87" s="53"/>
      <c r="O87" s="53"/>
      <c r="P87" s="53"/>
      <c r="Q87" s="53"/>
      <c r="R87" s="53"/>
      <c r="S87" s="53"/>
    </row>
    <row r="88" spans="1:19">
      <c r="A88" s="25" t="s">
        <v>73</v>
      </c>
    </row>
    <row r="89" spans="1:19" ht="13.8" thickBot="1">
      <c r="A89" s="123" t="s">
        <v>74</v>
      </c>
    </row>
    <row r="90" spans="1:19">
      <c r="A90" s="124" t="s">
        <v>75</v>
      </c>
      <c r="C90" s="1116" t="s">
        <v>721</v>
      </c>
      <c r="D90" s="1116"/>
      <c r="E90" s="1116"/>
      <c r="F90" s="1116"/>
      <c r="G90" s="1116"/>
      <c r="H90" s="1116"/>
      <c r="I90" s="1116"/>
      <c r="J90" s="1116"/>
      <c r="K90" s="1116"/>
      <c r="L90" s="1116"/>
      <c r="M90" s="1116"/>
      <c r="N90" s="1116"/>
      <c r="O90" s="1116"/>
      <c r="P90" s="1116"/>
      <c r="Q90" s="1116"/>
    </row>
    <row r="91" spans="1:19">
      <c r="A91" s="124" t="s">
        <v>76</v>
      </c>
      <c r="C91" s="1116" t="s">
        <v>674</v>
      </c>
      <c r="D91" s="1116"/>
      <c r="E91" s="1116"/>
      <c r="F91" s="1116"/>
      <c r="G91" s="1116"/>
      <c r="H91" s="1116"/>
      <c r="I91" s="1116"/>
      <c r="J91" s="1116"/>
      <c r="K91" s="1116"/>
      <c r="L91" s="1116"/>
      <c r="M91" s="1116"/>
      <c r="N91" s="1116"/>
      <c r="O91" s="1116"/>
      <c r="P91" s="1116"/>
      <c r="Q91" s="1116"/>
    </row>
    <row r="92" spans="1:19">
      <c r="A92" s="124" t="s">
        <v>77</v>
      </c>
      <c r="C92" s="1117" t="s">
        <v>694</v>
      </c>
      <c r="D92" s="1117"/>
      <c r="E92" s="1117"/>
      <c r="F92" s="1117"/>
      <c r="G92" s="1117"/>
      <c r="H92" s="1117"/>
      <c r="I92" s="1117"/>
      <c r="J92" s="1117"/>
      <c r="K92" s="1117"/>
      <c r="L92" s="1117"/>
      <c r="M92" s="1117"/>
      <c r="N92" s="1117"/>
      <c r="O92" s="1117"/>
      <c r="P92" s="1117"/>
      <c r="Q92" s="1117"/>
    </row>
    <row r="93" spans="1:19">
      <c r="C93" s="25" t="s">
        <v>677</v>
      </c>
    </row>
    <row r="94" spans="1:19">
      <c r="A94" s="124" t="s">
        <v>78</v>
      </c>
      <c r="C94" s="1117" t="s">
        <v>963</v>
      </c>
      <c r="D94" s="1117"/>
      <c r="E94" s="1117"/>
      <c r="F94" s="1117"/>
      <c r="G94" s="1117"/>
      <c r="H94" s="1117"/>
      <c r="I94" s="1117"/>
      <c r="J94" s="1117"/>
      <c r="K94" s="1117"/>
      <c r="L94" s="1117"/>
      <c r="M94" s="1117"/>
      <c r="N94" s="1117"/>
      <c r="O94" s="1117"/>
      <c r="P94" s="1117"/>
      <c r="Q94" s="1117"/>
    </row>
    <row r="95" spans="1:19">
      <c r="A95" s="56" t="s">
        <v>79</v>
      </c>
      <c r="C95" s="1115" t="s">
        <v>676</v>
      </c>
      <c r="D95" s="1115"/>
      <c r="E95" s="1115"/>
      <c r="F95" s="1115"/>
      <c r="G95" s="1115"/>
      <c r="H95" s="1115"/>
      <c r="I95" s="1115"/>
      <c r="J95" s="1115"/>
      <c r="K95" s="1115"/>
      <c r="L95" s="1115"/>
      <c r="M95" s="1115"/>
      <c r="N95" s="1115"/>
      <c r="O95" s="1115"/>
      <c r="P95" s="1115"/>
      <c r="Q95" s="1115"/>
    </row>
    <row r="96" spans="1:19">
      <c r="A96" s="760" t="s">
        <v>80</v>
      </c>
      <c r="C96" s="1115" t="s">
        <v>723</v>
      </c>
      <c r="D96" s="1115"/>
      <c r="E96" s="1115"/>
      <c r="F96" s="1115"/>
      <c r="G96" s="1115"/>
      <c r="H96" s="1115"/>
      <c r="I96" s="1115"/>
      <c r="J96" s="1115"/>
      <c r="K96" s="1115"/>
      <c r="L96" s="1115"/>
      <c r="M96" s="1115"/>
      <c r="N96" s="1115"/>
      <c r="O96" s="1115"/>
      <c r="P96" s="1115"/>
      <c r="Q96" s="1115"/>
    </row>
    <row r="97" spans="1:17">
      <c r="A97" s="56" t="s">
        <v>81</v>
      </c>
      <c r="C97" s="25" t="s">
        <v>573</v>
      </c>
    </row>
    <row r="98" spans="1:17">
      <c r="A98" s="65" t="s">
        <v>83</v>
      </c>
      <c r="C98" s="95" t="s">
        <v>790</v>
      </c>
      <c r="D98" s="65"/>
      <c r="E98" s="56"/>
      <c r="F98" s="56"/>
      <c r="G98" s="22"/>
      <c r="J98" s="80"/>
      <c r="P98" s="22"/>
      <c r="Q98" s="96"/>
    </row>
    <row r="99" spans="1:17">
      <c r="A99" s="65" t="s">
        <v>84</v>
      </c>
      <c r="C99" s="25" t="s">
        <v>964</v>
      </c>
      <c r="D99" s="65"/>
      <c r="E99" s="56"/>
      <c r="F99" s="56"/>
      <c r="G99" s="22"/>
      <c r="J99" s="80"/>
      <c r="P99" s="22"/>
      <c r="Q99" s="77"/>
    </row>
    <row r="100" spans="1:17">
      <c r="A100" s="56"/>
      <c r="C100" s="685"/>
    </row>
    <row r="101" spans="1:17">
      <c r="A101" s="56"/>
    </row>
    <row r="282" spans="1:11">
      <c r="A282" s="145"/>
      <c r="B282" s="281"/>
      <c r="C282" s="145"/>
      <c r="D282" s="29"/>
      <c r="E282" s="29"/>
      <c r="F282" s="29"/>
      <c r="G282" s="29"/>
      <c r="H282" s="150"/>
      <c r="I282" s="282"/>
      <c r="J282" s="276"/>
      <c r="K282" s="280"/>
    </row>
  </sheetData>
  <mergeCells count="7">
    <mergeCell ref="C12:Q12"/>
    <mergeCell ref="C96:Q96"/>
    <mergeCell ref="C90:Q90"/>
    <mergeCell ref="C91:Q91"/>
    <mergeCell ref="C92:Q92"/>
    <mergeCell ref="C94:Q94"/>
    <mergeCell ref="C95:Q95"/>
  </mergeCells>
  <pageMargins left="0.25" right="0.25" top="0.75" bottom="0.75" header="0.3" footer="0.3"/>
  <pageSetup scale="60" fitToHeight="0" orientation="landscape" verticalDpi="300" r:id="rId1"/>
  <rowBreaks count="3" manualBreakCount="3">
    <brk id="51" max="12" man="1"/>
    <brk id="100" max="18" man="1"/>
    <brk id="102"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T210"/>
  <sheetViews>
    <sheetView view="pageBreakPreview" topLeftCell="B34" zoomScaleNormal="100" zoomScaleSheetLayoutView="100" workbookViewId="0">
      <selection activeCell="E55" sqref="E55"/>
    </sheetView>
  </sheetViews>
  <sheetFormatPr defaultRowHeight="15"/>
  <cols>
    <col min="2" max="2" width="1.81640625" customWidth="1"/>
    <col min="3" max="3" width="39.6328125" customWidth="1"/>
    <col min="4" max="4" width="29.453125" customWidth="1"/>
    <col min="5" max="5" width="13" customWidth="1"/>
    <col min="6" max="6" width="6.36328125" customWidth="1"/>
    <col min="7" max="7" width="11.90625" customWidth="1"/>
    <col min="8" max="8" width="11.6328125" customWidth="1"/>
    <col min="9" max="9" width="2.08984375" customWidth="1"/>
    <col min="10" max="10" width="11.6328125" customWidth="1"/>
    <col min="11" max="11" width="10.90625" customWidth="1"/>
    <col min="12" max="12" width="10.81640625" customWidth="1"/>
    <col min="13" max="13" width="9.5429687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794</v>
      </c>
    </row>
    <row r="3" spans="1:20">
      <c r="A3" s="25"/>
      <c r="B3" s="25"/>
      <c r="C3" s="25"/>
      <c r="D3" s="25"/>
      <c r="E3" s="25"/>
      <c r="F3" s="25"/>
      <c r="G3" s="25"/>
      <c r="H3" s="25"/>
      <c r="I3" s="25"/>
      <c r="J3" s="25"/>
      <c r="K3" s="25"/>
      <c r="L3" s="25"/>
    </row>
    <row r="4" spans="1:20">
      <c r="A4" s="25"/>
      <c r="B4" s="25"/>
      <c r="C4" s="25"/>
      <c r="D4" s="25"/>
      <c r="E4" s="25"/>
      <c r="F4" s="25"/>
      <c r="G4" s="56" t="str">
        <f>'11-Wholesale Distribution'!G56</f>
        <v>Attachment 11</v>
      </c>
      <c r="H4" s="25"/>
      <c r="I4" s="25"/>
      <c r="J4" s="25"/>
      <c r="K4" s="25"/>
      <c r="L4" s="25"/>
    </row>
    <row r="5" spans="1:20">
      <c r="A5" s="25"/>
      <c r="B5" s="25"/>
      <c r="C5" s="25"/>
      <c r="D5" s="25"/>
      <c r="E5" s="25"/>
      <c r="F5" s="25"/>
      <c r="G5" s="56" t="str">
        <f>'11-Wholesale Distribution'!G57</f>
        <v>Wholesale Distribution Service</v>
      </c>
      <c r="H5" s="25"/>
      <c r="I5" s="25"/>
      <c r="J5" s="25"/>
      <c r="K5" s="25"/>
      <c r="L5" s="25"/>
    </row>
    <row r="6" spans="1:20">
      <c r="A6" s="25"/>
      <c r="B6" s="25"/>
      <c r="C6" s="25"/>
      <c r="D6" s="25"/>
      <c r="E6" s="25"/>
      <c r="F6" s="25"/>
      <c r="G6" s="56"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6" thickBot="1">
      <c r="A8" s="691"/>
      <c r="B8" s="25"/>
      <c r="C8" s="97">
        <v>-1</v>
      </c>
      <c r="D8" s="97">
        <v>-2</v>
      </c>
      <c r="E8" s="97">
        <v>-3</v>
      </c>
      <c r="F8" s="690"/>
      <c r="G8" s="97">
        <v>-4</v>
      </c>
      <c r="H8" s="97">
        <v>-5</v>
      </c>
      <c r="I8" s="690"/>
      <c r="J8" s="97">
        <v>-6</v>
      </c>
      <c r="K8" s="97">
        <v>-7</v>
      </c>
      <c r="L8" s="97">
        <v>-8</v>
      </c>
      <c r="M8" s="97">
        <v>-9</v>
      </c>
      <c r="N8" s="97">
        <v>-10</v>
      </c>
      <c r="O8" s="97">
        <v>-11</v>
      </c>
      <c r="P8" s="97"/>
      <c r="Q8" s="97"/>
      <c r="R8" s="291"/>
      <c r="S8" s="291"/>
      <c r="T8" s="291"/>
    </row>
    <row r="9" spans="1:20" ht="79.8" thickBot="1">
      <c r="A9" s="701" t="s">
        <v>239</v>
      </c>
      <c r="B9" s="702"/>
      <c r="C9" s="702" t="s">
        <v>789</v>
      </c>
      <c r="D9" s="703" t="s">
        <v>240</v>
      </c>
      <c r="E9" s="703" t="s">
        <v>825</v>
      </c>
      <c r="F9" s="742"/>
      <c r="G9" s="704" t="s">
        <v>241</v>
      </c>
      <c r="H9" s="703" t="s">
        <v>242</v>
      </c>
      <c r="I9" s="742"/>
      <c r="J9" s="703" t="s">
        <v>826</v>
      </c>
      <c r="K9" s="704" t="s">
        <v>243</v>
      </c>
      <c r="L9" s="703" t="s">
        <v>269</v>
      </c>
      <c r="M9" s="705" t="s">
        <v>979</v>
      </c>
      <c r="N9" s="705" t="s">
        <v>930</v>
      </c>
      <c r="O9" s="706" t="s">
        <v>829</v>
      </c>
      <c r="P9" s="696"/>
    </row>
    <row r="10" spans="1:20">
      <c r="A10" s="717" t="s">
        <v>804</v>
      </c>
      <c r="B10" s="718"/>
      <c r="C10" s="719" t="s">
        <v>834</v>
      </c>
      <c r="D10" s="748">
        <f>+'Attachment H'!D65</f>
        <v>0</v>
      </c>
      <c r="E10" s="720">
        <f>+K169</f>
        <v>0</v>
      </c>
      <c r="F10" s="720"/>
      <c r="G10" s="720">
        <f>+D10*E10</f>
        <v>0</v>
      </c>
      <c r="H10" s="748">
        <v>0</v>
      </c>
      <c r="I10" s="718"/>
      <c r="J10" s="721">
        <f>+K172</f>
        <v>0</v>
      </c>
      <c r="K10" s="720">
        <f>+H10*J10</f>
        <v>0</v>
      </c>
      <c r="L10" s="722">
        <v>0</v>
      </c>
      <c r="M10" s="743">
        <f>+G10+K10+L10</f>
        <v>0</v>
      </c>
      <c r="N10" s="722">
        <v>0</v>
      </c>
      <c r="O10" s="745">
        <f>+M10*N10</f>
        <v>0</v>
      </c>
      <c r="P10" s="690"/>
    </row>
    <row r="11" spans="1:20">
      <c r="A11" s="707" t="s">
        <v>805</v>
      </c>
      <c r="B11" s="25"/>
      <c r="C11" s="700"/>
      <c r="D11" s="700"/>
      <c r="E11" s="54">
        <f>+E10</f>
        <v>0</v>
      </c>
      <c r="F11" s="54"/>
      <c r="G11" s="54">
        <f t="shared" ref="G11:G14" si="0">+D11*E11</f>
        <v>0</v>
      </c>
      <c r="H11" s="716">
        <v>0</v>
      </c>
      <c r="I11" s="54"/>
      <c r="J11" s="54">
        <f>+J10</f>
        <v>0</v>
      </c>
      <c r="K11" s="54">
        <f t="shared" ref="K11:K14" si="1">+H11*J11</f>
        <v>0</v>
      </c>
      <c r="L11" s="716">
        <v>0</v>
      </c>
      <c r="M11" s="714">
        <f t="shared" ref="M11:M14" si="2">+G11+K11+L11</f>
        <v>0</v>
      </c>
      <c r="N11" s="716">
        <v>0</v>
      </c>
      <c r="O11" s="746">
        <f>+M11*N11</f>
        <v>0</v>
      </c>
      <c r="P11" s="690"/>
    </row>
    <row r="12" spans="1:20">
      <c r="A12" s="707" t="s">
        <v>806</v>
      </c>
      <c r="B12" s="25"/>
      <c r="C12" s="700"/>
      <c r="D12" s="700"/>
      <c r="E12" s="54">
        <f>+E11</f>
        <v>0</v>
      </c>
      <c r="F12" s="54"/>
      <c r="G12" s="54">
        <f t="shared" si="0"/>
        <v>0</v>
      </c>
      <c r="H12" s="716">
        <v>0</v>
      </c>
      <c r="I12" s="54"/>
      <c r="J12" s="54">
        <f>+J11</f>
        <v>0</v>
      </c>
      <c r="K12" s="54">
        <f t="shared" si="1"/>
        <v>0</v>
      </c>
      <c r="L12" s="716">
        <v>0</v>
      </c>
      <c r="M12" s="714">
        <f t="shared" si="2"/>
        <v>0</v>
      </c>
      <c r="N12" s="716">
        <v>0</v>
      </c>
      <c r="O12" s="746">
        <f>+M12*N12</f>
        <v>0</v>
      </c>
      <c r="P12" s="690"/>
    </row>
    <row r="13" spans="1:20">
      <c r="A13" s="707" t="s">
        <v>807</v>
      </c>
      <c r="B13" s="25"/>
      <c r="C13" s="700"/>
      <c r="D13" s="700"/>
      <c r="E13" s="54">
        <f>+E12</f>
        <v>0</v>
      </c>
      <c r="F13" s="54"/>
      <c r="G13" s="54">
        <f t="shared" si="0"/>
        <v>0</v>
      </c>
      <c r="H13" s="716">
        <v>0</v>
      </c>
      <c r="I13" s="54"/>
      <c r="J13" s="54">
        <f>+J12</f>
        <v>0</v>
      </c>
      <c r="K13" s="54">
        <f t="shared" si="1"/>
        <v>0</v>
      </c>
      <c r="L13" s="716">
        <v>0</v>
      </c>
      <c r="M13" s="714">
        <f t="shared" si="2"/>
        <v>0</v>
      </c>
      <c r="N13" s="716">
        <v>0</v>
      </c>
      <c r="O13" s="746">
        <f>+M13*N13</f>
        <v>0</v>
      </c>
      <c r="P13" s="690"/>
    </row>
    <row r="14" spans="1:20" ht="15.6" thickBot="1">
      <c r="A14" s="708" t="s">
        <v>501</v>
      </c>
      <c r="B14" s="123"/>
      <c r="C14" s="709"/>
      <c r="D14" s="709"/>
      <c r="E14" s="723">
        <f>+E13</f>
        <v>0</v>
      </c>
      <c r="F14" s="723"/>
      <c r="G14" s="723">
        <f t="shared" si="0"/>
        <v>0</v>
      </c>
      <c r="H14" s="724">
        <v>0</v>
      </c>
      <c r="I14" s="723"/>
      <c r="J14" s="723">
        <f>+J13</f>
        <v>0</v>
      </c>
      <c r="K14" s="723">
        <f t="shared" si="1"/>
        <v>0</v>
      </c>
      <c r="L14" s="724">
        <v>0</v>
      </c>
      <c r="M14" s="47">
        <f t="shared" si="2"/>
        <v>0</v>
      </c>
      <c r="N14" s="724">
        <v>0</v>
      </c>
      <c r="O14" s="747">
        <f>+M14*N14</f>
        <v>0</v>
      </c>
      <c r="P14" s="690"/>
    </row>
    <row r="15" spans="1:20">
      <c r="A15" s="56" t="s">
        <v>808</v>
      </c>
      <c r="B15" s="25"/>
      <c r="C15" s="25" t="s">
        <v>21</v>
      </c>
      <c r="D15" s="25"/>
      <c r="E15" s="25"/>
      <c r="F15" s="25"/>
      <c r="G15" s="25"/>
      <c r="H15" s="25"/>
      <c r="I15" s="25"/>
      <c r="J15" s="25"/>
      <c r="K15" s="25"/>
      <c r="L15" s="25"/>
      <c r="M15" s="690"/>
      <c r="N15" s="690"/>
      <c r="O15" s="720">
        <f>SUM(O10:O14)</f>
        <v>0</v>
      </c>
      <c r="P15" s="690"/>
    </row>
    <row r="16" spans="1:20">
      <c r="A16" s="760"/>
      <c r="B16" s="758"/>
      <c r="C16" s="758"/>
      <c r="D16" s="758"/>
      <c r="E16" s="758"/>
      <c r="F16" s="758"/>
      <c r="G16" s="758"/>
      <c r="H16" s="758"/>
      <c r="I16" s="758"/>
      <c r="J16" s="758"/>
      <c r="K16" s="758"/>
      <c r="L16" s="758"/>
      <c r="M16" s="772"/>
      <c r="N16" s="772"/>
      <c r="O16" s="759"/>
      <c r="P16" s="772"/>
    </row>
    <row r="17" spans="1:16">
      <c r="A17" s="760"/>
      <c r="B17" s="758"/>
      <c r="C17" s="758" t="s">
        <v>931</v>
      </c>
      <c r="D17" s="758"/>
      <c r="E17" s="758"/>
      <c r="F17" s="758"/>
      <c r="G17" s="758"/>
      <c r="H17" s="758"/>
      <c r="I17" s="758"/>
      <c r="J17" s="758"/>
      <c r="K17" s="758"/>
      <c r="L17" s="758"/>
      <c r="M17" s="772"/>
      <c r="N17" s="772"/>
      <c r="O17" s="759"/>
      <c r="P17" s="772"/>
    </row>
    <row r="18" spans="1:16">
      <c r="A18" s="760"/>
      <c r="B18" s="758"/>
      <c r="C18" s="758" t="s">
        <v>934</v>
      </c>
      <c r="D18" s="758"/>
      <c r="E18" s="758"/>
      <c r="F18" s="758"/>
      <c r="G18" s="758"/>
      <c r="H18" s="758"/>
      <c r="I18" s="758"/>
      <c r="J18" s="758"/>
      <c r="K18" s="758"/>
      <c r="M18" s="772"/>
      <c r="N18" s="772"/>
      <c r="O18" s="759"/>
      <c r="P18" s="772"/>
    </row>
    <row r="19" spans="1:16">
      <c r="A19" s="760"/>
      <c r="B19" s="758"/>
      <c r="C19" s="758"/>
      <c r="D19" s="758"/>
      <c r="E19" s="758"/>
      <c r="F19" s="758"/>
      <c r="G19" s="760" t="s">
        <v>788</v>
      </c>
      <c r="H19" s="758"/>
      <c r="I19" s="758"/>
      <c r="J19" s="758"/>
      <c r="K19" s="758"/>
      <c r="L19" s="758"/>
      <c r="M19" s="772"/>
      <c r="N19" s="772"/>
      <c r="O19" s="758" t="s">
        <v>791</v>
      </c>
      <c r="P19" s="772"/>
    </row>
    <row r="20" spans="1:16">
      <c r="A20" s="760"/>
      <c r="B20" s="758"/>
      <c r="C20" s="758"/>
      <c r="D20" s="758"/>
      <c r="E20" s="758"/>
      <c r="F20" s="758"/>
      <c r="G20" s="760" t="s">
        <v>789</v>
      </c>
      <c r="H20" s="758"/>
      <c r="I20" s="758"/>
      <c r="J20" s="758"/>
      <c r="K20" s="758"/>
      <c r="L20" s="758"/>
      <c r="M20" s="772"/>
      <c r="N20" s="772"/>
      <c r="O20" s="759"/>
      <c r="P20" s="772"/>
    </row>
    <row r="21" spans="1:16">
      <c r="A21" s="760"/>
      <c r="B21" s="758"/>
      <c r="C21" s="758"/>
      <c r="D21" s="758"/>
      <c r="E21" s="758"/>
      <c r="F21" s="758"/>
      <c r="G21" s="760" t="s">
        <v>862</v>
      </c>
      <c r="H21" s="758"/>
      <c r="I21" s="758"/>
      <c r="J21" s="758"/>
      <c r="K21" s="758"/>
      <c r="L21" s="758"/>
      <c r="M21" s="772"/>
      <c r="N21" s="772"/>
      <c r="O21" s="759"/>
      <c r="P21" s="772"/>
    </row>
    <row r="22" spans="1:16">
      <c r="A22" s="760"/>
      <c r="B22" s="758"/>
      <c r="C22" s="758"/>
      <c r="D22" s="758"/>
      <c r="E22" s="758"/>
      <c r="F22" s="758"/>
      <c r="G22" s="758"/>
      <c r="H22" s="758"/>
      <c r="I22" s="758"/>
      <c r="J22" s="758"/>
      <c r="K22" s="758"/>
      <c r="L22" s="758"/>
      <c r="M22" s="772"/>
      <c r="N22" s="772"/>
      <c r="O22" s="759"/>
      <c r="P22" s="772"/>
    </row>
    <row r="23" spans="1:16">
      <c r="A23" s="760"/>
      <c r="B23" s="758"/>
      <c r="C23" s="758"/>
      <c r="D23" s="758"/>
      <c r="E23" s="758"/>
      <c r="F23" s="758"/>
      <c r="G23" s="758"/>
      <c r="H23" s="758"/>
      <c r="I23" s="758"/>
      <c r="J23" s="758"/>
      <c r="K23" s="758"/>
      <c r="L23" s="758"/>
      <c r="M23" s="772"/>
      <c r="N23" s="772"/>
      <c r="O23" s="759"/>
      <c r="P23" s="772"/>
    </row>
    <row r="24" spans="1:16">
      <c r="A24" s="56"/>
      <c r="B24" s="25"/>
      <c r="C24" s="25"/>
      <c r="D24" s="25"/>
      <c r="E24" s="25"/>
      <c r="F24" s="25"/>
      <c r="G24" s="25"/>
      <c r="H24" s="25"/>
      <c r="I24" s="25"/>
      <c r="J24" s="25"/>
      <c r="K24" s="25"/>
      <c r="L24" s="25"/>
      <c r="M24" s="690"/>
      <c r="O24" s="690"/>
      <c r="P24" s="690"/>
    </row>
    <row r="25" spans="1:16">
      <c r="A25" s="36"/>
      <c r="B25" s="25"/>
      <c r="C25" s="155" t="s">
        <v>11</v>
      </c>
      <c r="D25" s="155" t="s">
        <v>12</v>
      </c>
      <c r="E25" s="155" t="s">
        <v>13</v>
      </c>
      <c r="F25" s="29" t="s">
        <v>10</v>
      </c>
      <c r="G25" s="29"/>
      <c r="H25" s="154" t="s">
        <v>14</v>
      </c>
      <c r="I25" s="29"/>
      <c r="J25" s="154" t="s">
        <v>15</v>
      </c>
      <c r="K25" s="29"/>
      <c r="L25" s="155"/>
      <c r="M25" s="690"/>
      <c r="N25" s="690"/>
      <c r="O25" s="690"/>
      <c r="P25" s="690"/>
    </row>
    <row r="26" spans="1:16">
      <c r="A26" s="36"/>
      <c r="B26" s="25"/>
      <c r="C26" s="31"/>
      <c r="D26" s="194"/>
      <c r="E26" s="29"/>
      <c r="F26" s="29"/>
      <c r="G26" s="195" t="s">
        <v>28</v>
      </c>
      <c r="H26" s="36"/>
      <c r="I26" s="29"/>
      <c r="J26" s="195" t="s">
        <v>824</v>
      </c>
      <c r="K26" s="29"/>
      <c r="L26" s="155"/>
      <c r="M26" s="690"/>
      <c r="N26" s="690"/>
      <c r="O26" s="690"/>
      <c r="P26" s="690"/>
    </row>
    <row r="27" spans="1:16">
      <c r="A27" s="145" t="s">
        <v>16</v>
      </c>
      <c r="B27" s="25"/>
      <c r="C27" s="31"/>
      <c r="D27" s="196" t="s">
        <v>301</v>
      </c>
      <c r="E27" s="195" t="s">
        <v>27</v>
      </c>
      <c r="F27" s="197"/>
      <c r="G27" s="1158" t="s">
        <v>928</v>
      </c>
      <c r="H27" s="1158"/>
      <c r="I27" s="197"/>
      <c r="J27" s="145" t="s">
        <v>29</v>
      </c>
      <c r="K27" s="29"/>
      <c r="L27" s="155"/>
    </row>
    <row r="28" spans="1:16" ht="15.6" thickBot="1">
      <c r="A28" s="33" t="s">
        <v>18</v>
      </c>
      <c r="B28" s="25"/>
      <c r="C28" s="198" t="s">
        <v>571</v>
      </c>
      <c r="D28" s="29"/>
      <c r="E28" s="29"/>
      <c r="F28" s="29"/>
      <c r="G28" s="1157" t="s">
        <v>929</v>
      </c>
      <c r="H28" s="1157"/>
      <c r="I28" s="29"/>
      <c r="J28" s="29"/>
      <c r="K28" s="29"/>
      <c r="L28" s="29"/>
    </row>
    <row r="29" spans="1:16">
      <c r="A29" s="145"/>
      <c r="B29" s="25"/>
      <c r="C29" s="31" t="s">
        <v>797</v>
      </c>
      <c r="D29" s="29"/>
      <c r="E29" s="29"/>
      <c r="F29" s="29"/>
      <c r="G29" s="29"/>
      <c r="H29" s="29"/>
      <c r="I29" s="29"/>
      <c r="J29" s="29"/>
      <c r="K29" s="29"/>
      <c r="L29" s="29"/>
    </row>
    <row r="30" spans="1:16">
      <c r="A30" s="145">
        <v>1</v>
      </c>
      <c r="B30" s="25"/>
      <c r="C30" s="31" t="s">
        <v>420</v>
      </c>
      <c r="D30" s="215" t="str">
        <f>+'Attachment H'!$B$2&amp;", Page 2, Line "&amp;'Attachment H'!A63</f>
        <v>Attachment H, Page 2, Line 1</v>
      </c>
      <c r="E30" s="214">
        <f>+'Attachment H'!D63</f>
        <v>0</v>
      </c>
      <c r="F30" s="29"/>
      <c r="G30" s="29" t="s">
        <v>30</v>
      </c>
      <c r="H30" s="18">
        <v>0</v>
      </c>
      <c r="I30" s="29"/>
      <c r="J30" s="18">
        <f>+H30*E30</f>
        <v>0</v>
      </c>
      <c r="K30" s="29"/>
      <c r="L30" s="29"/>
    </row>
    <row r="31" spans="1:16">
      <c r="A31" s="145">
        <f>+A30+1</f>
        <v>2</v>
      </c>
      <c r="B31" s="25"/>
      <c r="C31" s="31" t="s">
        <v>31</v>
      </c>
      <c r="D31" s="215" t="str">
        <f>+'Attachment H'!$B$2&amp;", Page 2, Line "&amp;'Attachment H'!A64</f>
        <v>Attachment H, Page 2, Line 2</v>
      </c>
      <c r="E31" s="214">
        <f>+'Attachment H'!D64</f>
        <v>101270286.86388241</v>
      </c>
      <c r="F31" s="29"/>
      <c r="G31" s="29" t="s">
        <v>30</v>
      </c>
      <c r="H31" s="27"/>
      <c r="I31" s="44"/>
      <c r="J31" s="18">
        <f>+H31*E31</f>
        <v>0</v>
      </c>
      <c r="K31" s="29"/>
      <c r="L31" s="29"/>
    </row>
    <row r="32" spans="1:16">
      <c r="A32" s="145">
        <f>+A31+1</f>
        <v>3</v>
      </c>
      <c r="B32" s="25"/>
      <c r="C32" s="31" t="s">
        <v>421</v>
      </c>
      <c r="D32" s="215" t="s">
        <v>980</v>
      </c>
      <c r="E32" s="214">
        <f>D194</f>
        <v>0</v>
      </c>
      <c r="F32" s="29"/>
      <c r="G32" s="29" t="s">
        <v>97</v>
      </c>
      <c r="H32" s="161">
        <v>1</v>
      </c>
      <c r="I32" s="44"/>
      <c r="J32" s="18">
        <f>+E32*H32</f>
        <v>0</v>
      </c>
      <c r="K32" s="29"/>
      <c r="L32" s="29"/>
    </row>
    <row r="33" spans="1:12">
      <c r="A33" s="145">
        <f>+A32+1</f>
        <v>4</v>
      </c>
      <c r="B33" s="25"/>
      <c r="C33" s="31" t="s">
        <v>125</v>
      </c>
      <c r="D33" s="215" t="str">
        <f>+'Attachment H'!$B$2&amp;", Page 2, Line "&amp;'Attachment H'!A66</f>
        <v>Attachment H, Page 2, Line 4</v>
      </c>
      <c r="E33" s="214">
        <f>+'Attachment H'!D66</f>
        <v>0</v>
      </c>
      <c r="F33" s="29"/>
      <c r="G33" s="29" t="s">
        <v>32</v>
      </c>
      <c r="H33" s="27">
        <f>J150</f>
        <v>0</v>
      </c>
      <c r="I33" s="44"/>
      <c r="J33" s="18">
        <f>+H33*E33</f>
        <v>0</v>
      </c>
      <c r="K33" s="29"/>
      <c r="L33" s="29"/>
    </row>
    <row r="34" spans="1:12" ht="15.6" thickBot="1">
      <c r="A34" s="145">
        <f>+A33+1</f>
        <v>5</v>
      </c>
      <c r="B34" s="25"/>
      <c r="C34" s="31" t="s">
        <v>422</v>
      </c>
      <c r="D34" s="215" t="str">
        <f>+'Attachment H'!$B$2&amp;", Page 2, Line "&amp;'Attachment H'!A67</f>
        <v>Attachment H, Page 2, Line 5</v>
      </c>
      <c r="E34" s="214">
        <f>+'Attachment H'!D67</f>
        <v>0</v>
      </c>
      <c r="F34" s="29"/>
      <c r="G34" s="29" t="s">
        <v>183</v>
      </c>
      <c r="H34" s="27">
        <f>L154</f>
        <v>0</v>
      </c>
      <c r="I34" s="44"/>
      <c r="J34" s="201">
        <f>+H34*E34</f>
        <v>0</v>
      </c>
      <c r="K34" s="29"/>
      <c r="L34" s="29"/>
    </row>
    <row r="35" spans="1:12">
      <c r="A35" s="145">
        <f>+A34+1</f>
        <v>6</v>
      </c>
      <c r="B35" s="25"/>
      <c r="C35" s="28" t="s">
        <v>330</v>
      </c>
      <c r="D35" s="37" t="s">
        <v>329</v>
      </c>
      <c r="E35" s="214">
        <f>SUM(E30:E34)</f>
        <v>101270286.86388241</v>
      </c>
      <c r="F35" s="29"/>
      <c r="G35" s="29" t="s">
        <v>33</v>
      </c>
      <c r="H35" s="202">
        <f>IF(J35&gt;0,J35/E35,0)</f>
        <v>0</v>
      </c>
      <c r="I35" s="44"/>
      <c r="J35" s="18">
        <f>SUM(J30:J34)</f>
        <v>0</v>
      </c>
      <c r="K35" s="29"/>
      <c r="L35" s="203"/>
    </row>
    <row r="36" spans="1:12">
      <c r="A36" s="145"/>
      <c r="B36" s="25"/>
      <c r="C36" s="31"/>
      <c r="D36" s="37"/>
      <c r="E36" s="214"/>
      <c r="F36" s="29"/>
      <c r="G36" s="29"/>
      <c r="H36" s="203"/>
      <c r="I36" s="29"/>
      <c r="J36" s="18"/>
      <c r="K36" s="29"/>
      <c r="L36" s="203"/>
    </row>
    <row r="37" spans="1:12">
      <c r="A37" s="145">
        <f>+A35+1</f>
        <v>7</v>
      </c>
      <c r="B37" s="25"/>
      <c r="C37" s="31" t="s">
        <v>939</v>
      </c>
      <c r="D37" s="37"/>
      <c r="E37" s="214"/>
      <c r="F37" s="29"/>
      <c r="G37" s="29"/>
      <c r="H37" s="29"/>
      <c r="I37" s="29"/>
      <c r="J37" s="18"/>
      <c r="K37" s="29"/>
      <c r="L37" s="29"/>
    </row>
    <row r="38" spans="1:12">
      <c r="A38" s="145">
        <f t="shared" ref="A38:A43" si="3">+A37+1</f>
        <v>8</v>
      </c>
      <c r="B38" s="25"/>
      <c r="C38" s="31" t="s">
        <v>420</v>
      </c>
      <c r="D38" s="215" t="str">
        <f>+'Attachment H'!$B$2&amp;", Page 2, Line "&amp;'Attachment H'!A71</f>
        <v>Attachment H, Page 2, Line 8</v>
      </c>
      <c r="E38" s="214">
        <f>+'Attachment H'!D71</f>
        <v>0</v>
      </c>
      <c r="F38" s="29"/>
      <c r="G38" s="29" t="s">
        <v>30</v>
      </c>
      <c r="H38" s="18">
        <v>0</v>
      </c>
      <c r="I38" s="29"/>
      <c r="J38" s="18">
        <f>+H38*E38</f>
        <v>0</v>
      </c>
      <c r="K38" s="29"/>
      <c r="L38" s="29"/>
    </row>
    <row r="39" spans="1:12">
      <c r="A39" s="145">
        <f t="shared" si="3"/>
        <v>9</v>
      </c>
      <c r="B39" s="25"/>
      <c r="C39" s="31" t="s">
        <v>31</v>
      </c>
      <c r="D39" s="215" t="str">
        <f>+'Attachment H'!$B$2&amp;", Page 2, Line "&amp;'Attachment H'!A72</f>
        <v>Attachment H, Page 2, Line 9</v>
      </c>
      <c r="E39" s="214">
        <f>+'Attachment H'!D72</f>
        <v>18282481.840118468</v>
      </c>
      <c r="F39" s="29"/>
      <c r="G39" s="29" t="s">
        <v>30</v>
      </c>
      <c r="H39" s="27"/>
      <c r="I39" s="44"/>
      <c r="J39" s="18">
        <f>+H39*E39</f>
        <v>0</v>
      </c>
      <c r="K39" s="29"/>
      <c r="L39" s="29"/>
    </row>
    <row r="40" spans="1:12">
      <c r="A40" s="145">
        <f t="shared" si="3"/>
        <v>10</v>
      </c>
      <c r="B40" s="25"/>
      <c r="C40" s="31" t="s">
        <v>421</v>
      </c>
      <c r="D40" s="215" t="s">
        <v>941</v>
      </c>
      <c r="E40" s="214">
        <f>E194</f>
        <v>0</v>
      </c>
      <c r="F40" s="29"/>
      <c r="G40" s="29" t="s">
        <v>97</v>
      </c>
      <c r="H40" s="161">
        <v>1</v>
      </c>
      <c r="I40" s="44"/>
      <c r="J40" s="214">
        <f>+H40*E40</f>
        <v>0</v>
      </c>
      <c r="K40" s="29"/>
      <c r="L40" s="29"/>
    </row>
    <row r="41" spans="1:12">
      <c r="A41" s="145">
        <f t="shared" si="3"/>
        <v>11</v>
      </c>
      <c r="B41" s="25"/>
      <c r="C41" s="31" t="s">
        <v>125</v>
      </c>
      <c r="D41" s="215" t="str">
        <f>+'Attachment H'!$B$2&amp;", Page 2, Line "&amp;'Attachment H'!A74</f>
        <v>Attachment H, Page 2, Line 11</v>
      </c>
      <c r="E41" s="214">
        <f>+'Attachment H'!D74</f>
        <v>0</v>
      </c>
      <c r="F41" s="29"/>
      <c r="G41" s="29" t="s">
        <v>32</v>
      </c>
      <c r="H41" s="27">
        <f>+H33</f>
        <v>0</v>
      </c>
      <c r="I41" s="44"/>
      <c r="J41" s="18">
        <f>+H41*E41</f>
        <v>0</v>
      </c>
      <c r="K41" s="29"/>
      <c r="L41" s="29"/>
    </row>
    <row r="42" spans="1:12" ht="15.6" thickBot="1">
      <c r="A42" s="145">
        <f t="shared" si="3"/>
        <v>12</v>
      </c>
      <c r="B42" s="25"/>
      <c r="C42" s="31" t="s">
        <v>422</v>
      </c>
      <c r="D42" s="215" t="str">
        <f>+'Attachment H'!$B$2&amp;", Page 2, Line "&amp;'Attachment H'!A75</f>
        <v>Attachment H, Page 2, Line 12</v>
      </c>
      <c r="E42" s="226">
        <f>+'Attachment H'!D75</f>
        <v>0</v>
      </c>
      <c r="F42" s="29"/>
      <c r="G42" s="29" t="s">
        <v>183</v>
      </c>
      <c r="H42" s="27">
        <f>+H34</f>
        <v>0</v>
      </c>
      <c r="I42" s="44"/>
      <c r="J42" s="201">
        <f>+H42*E42</f>
        <v>0</v>
      </c>
      <c r="K42" s="29"/>
      <c r="L42" s="29"/>
    </row>
    <row r="43" spans="1:12">
      <c r="A43" s="145">
        <f t="shared" si="3"/>
        <v>13</v>
      </c>
      <c r="B43" s="25"/>
      <c r="C43" s="31" t="s">
        <v>332</v>
      </c>
      <c r="D43" s="37" t="s">
        <v>331</v>
      </c>
      <c r="E43" s="214">
        <f>SUM(E38:E42)</f>
        <v>18282481.840118468</v>
      </c>
      <c r="F43" s="29"/>
      <c r="G43" s="29"/>
      <c r="H43" s="27"/>
      <c r="I43" s="44"/>
      <c r="J43" s="18">
        <f>SUM(J38:J42)</f>
        <v>0</v>
      </c>
      <c r="K43" s="29"/>
      <c r="L43" s="29"/>
    </row>
    <row r="44" spans="1:12">
      <c r="A44" s="145"/>
      <c r="B44" s="25"/>
      <c r="C44" s="36"/>
      <c r="D44" s="37" t="s">
        <v>10</v>
      </c>
      <c r="E44" s="214"/>
      <c r="F44" s="29"/>
      <c r="G44" s="29"/>
      <c r="H44" s="202"/>
      <c r="I44" s="29"/>
      <c r="J44" s="18"/>
      <c r="K44" s="29"/>
      <c r="L44" s="203"/>
    </row>
    <row r="45" spans="1:12">
      <c r="A45" s="145">
        <f>+A43+1</f>
        <v>14</v>
      </c>
      <c r="B45" s="25"/>
      <c r="C45" s="31" t="s">
        <v>34</v>
      </c>
      <c r="D45" s="37"/>
      <c r="E45" s="214"/>
      <c r="F45" s="29"/>
      <c r="G45" s="29"/>
      <c r="H45" s="27"/>
      <c r="I45" s="29"/>
      <c r="J45" s="18"/>
      <c r="K45" s="29"/>
      <c r="L45" s="29"/>
    </row>
    <row r="46" spans="1:12">
      <c r="A46" s="145">
        <f t="shared" ref="A46:A51" si="4">+A45+1</f>
        <v>15</v>
      </c>
      <c r="B46" s="25"/>
      <c r="C46" s="31" t="s">
        <v>420</v>
      </c>
      <c r="D46" s="37" t="str">
        <f>"(line "&amp;A30&amp;" - line "&amp;A38&amp;")"</f>
        <v>(line 1 - line 8)</v>
      </c>
      <c r="E46" s="214">
        <f>E30-E38</f>
        <v>0</v>
      </c>
      <c r="F46" s="44"/>
      <c r="G46" s="44"/>
      <c r="H46" s="202"/>
      <c r="I46" s="44"/>
      <c r="J46" s="18">
        <f>J30-J38</f>
        <v>0</v>
      </c>
      <c r="K46" s="29"/>
      <c r="L46" s="203"/>
    </row>
    <row r="47" spans="1:12">
      <c r="A47" s="145">
        <f t="shared" si="4"/>
        <v>16</v>
      </c>
      <c r="B47" s="25"/>
      <c r="C47" s="31" t="s">
        <v>31</v>
      </c>
      <c r="D47" s="37" t="s">
        <v>334</v>
      </c>
      <c r="E47" s="214">
        <f>E31-E39</f>
        <v>82987805.02376394</v>
      </c>
      <c r="F47" s="44"/>
      <c r="G47" s="44"/>
      <c r="H47" s="27"/>
      <c r="I47" s="44"/>
      <c r="J47" s="18">
        <f>J31-J39</f>
        <v>0</v>
      </c>
      <c r="K47" s="29"/>
      <c r="L47" s="203"/>
    </row>
    <row r="48" spans="1:12">
      <c r="A48" s="145">
        <f t="shared" si="4"/>
        <v>17</v>
      </c>
      <c r="B48" s="25"/>
      <c r="C48" s="31" t="s">
        <v>421</v>
      </c>
      <c r="D48" s="37" t="str">
        <f>"(line "&amp;A32&amp;" - line "&amp;A40&amp;")"</f>
        <v>(line 3 - line 10)</v>
      </c>
      <c r="E48" s="214">
        <f>E32-E40</f>
        <v>0</v>
      </c>
      <c r="F48" s="44"/>
      <c r="G48" s="44"/>
      <c r="H48" s="202"/>
      <c r="I48" s="44"/>
      <c r="J48" s="214">
        <f>J32-J40</f>
        <v>0</v>
      </c>
      <c r="K48" s="29"/>
      <c r="L48" s="203"/>
    </row>
    <row r="49" spans="1:12">
      <c r="A49" s="145">
        <f t="shared" si="4"/>
        <v>18</v>
      </c>
      <c r="B49" s="25"/>
      <c r="C49" s="31" t="s">
        <v>125</v>
      </c>
      <c r="D49" s="37" t="s">
        <v>335</v>
      </c>
      <c r="E49" s="214">
        <f>E33-E41</f>
        <v>0</v>
      </c>
      <c r="F49" s="44"/>
      <c r="G49" s="44"/>
      <c r="H49" s="202"/>
      <c r="I49" s="44"/>
      <c r="J49" s="18">
        <f>J33-J41</f>
        <v>0</v>
      </c>
      <c r="K49" s="29"/>
      <c r="L49" s="203"/>
    </row>
    <row r="50" spans="1:12" ht="15.6" thickBot="1">
      <c r="A50" s="145">
        <f t="shared" si="4"/>
        <v>19</v>
      </c>
      <c r="B50" s="25"/>
      <c r="C50" s="31" t="s">
        <v>422</v>
      </c>
      <c r="D50" s="37" t="str">
        <f>"(line "&amp;A34&amp;" - line "&amp;A42&amp;")"</f>
        <v>(line 5 - line 12)</v>
      </c>
      <c r="E50" s="226">
        <f>E34-E42</f>
        <v>0</v>
      </c>
      <c r="F50" s="44"/>
      <c r="G50" s="44"/>
      <c r="H50" s="202"/>
      <c r="I50" s="44"/>
      <c r="J50" s="201">
        <f>J34-J42</f>
        <v>0</v>
      </c>
      <c r="K50" s="29"/>
      <c r="L50" s="203"/>
    </row>
    <row r="51" spans="1:12">
      <c r="A51" s="145">
        <f t="shared" si="4"/>
        <v>20</v>
      </c>
      <c r="B51" s="25"/>
      <c r="C51" s="31" t="s">
        <v>338</v>
      </c>
      <c r="D51" s="37" t="s">
        <v>333</v>
      </c>
      <c r="E51" s="214">
        <f>SUM(E46:E50)</f>
        <v>82987805.02376394</v>
      </c>
      <c r="F51" s="44"/>
      <c r="G51" s="44" t="s">
        <v>35</v>
      </c>
      <c r="H51" s="202">
        <f>IF(J51&gt;0,J51/E51,0)</f>
        <v>0</v>
      </c>
      <c r="I51" s="44"/>
      <c r="J51" s="18">
        <f>SUM(J46:J50)</f>
        <v>0</v>
      </c>
      <c r="K51" s="29"/>
      <c r="L51" s="29"/>
    </row>
    <row r="52" spans="1:12">
      <c r="A52" s="145"/>
      <c r="B52" s="25"/>
      <c r="C52" s="36"/>
      <c r="D52" s="37"/>
      <c r="E52" s="214"/>
      <c r="F52" s="29"/>
      <c r="G52" s="36"/>
      <c r="H52" s="36"/>
      <c r="I52" s="29"/>
      <c r="J52" s="18"/>
      <c r="K52" s="29"/>
      <c r="L52" s="203"/>
    </row>
    <row r="53" spans="1:12">
      <c r="A53" s="145">
        <f>+A51+1</f>
        <v>21</v>
      </c>
      <c r="B53" s="25"/>
      <c r="C53" s="28" t="s">
        <v>796</v>
      </c>
      <c r="D53" s="37"/>
      <c r="E53" s="214"/>
      <c r="F53" s="29"/>
      <c r="G53" s="29"/>
      <c r="H53" s="29"/>
      <c r="I53" s="29"/>
      <c r="J53" s="18"/>
      <c r="K53" s="29"/>
      <c r="L53" s="29"/>
    </row>
    <row r="54" spans="1:12">
      <c r="A54" s="145">
        <f>+A53+1</f>
        <v>22</v>
      </c>
      <c r="B54" s="25"/>
      <c r="C54" s="31" t="s">
        <v>126</v>
      </c>
      <c r="D54" s="215" t="str">
        <f>+'Attachment H'!$B$2&amp;", Page 2, Line "&amp;'Attachment H'!A87</f>
        <v>Attachment H, Page 2, Line 22</v>
      </c>
      <c r="E54" s="214">
        <f>+'Attachment H'!D87</f>
        <v>0</v>
      </c>
      <c r="F54" s="37"/>
      <c r="G54" s="37" t="s">
        <v>30</v>
      </c>
      <c r="H54" s="204" t="s">
        <v>184</v>
      </c>
      <c r="I54" s="44"/>
      <c r="J54" s="18">
        <v>0</v>
      </c>
      <c r="K54" s="29"/>
      <c r="L54" s="203"/>
    </row>
    <row r="55" spans="1:12">
      <c r="A55" s="145">
        <f>+A54+1</f>
        <v>23</v>
      </c>
      <c r="B55" s="25"/>
      <c r="C55" s="31" t="s">
        <v>127</v>
      </c>
      <c r="D55" s="215" t="str">
        <f>+'Attachment H'!$B$2&amp;", Page 2, Line "&amp;'Attachment H'!A88</f>
        <v>Attachment H, Page 2, Line 23</v>
      </c>
      <c r="E55" s="214">
        <f>+'Attachment H'!D88</f>
        <v>-1239642.779502745</v>
      </c>
      <c r="F55" s="29"/>
      <c r="G55" s="37" t="s">
        <v>97</v>
      </c>
      <c r="H55" s="553">
        <v>1</v>
      </c>
      <c r="I55" s="44"/>
      <c r="J55" s="18">
        <f>E55*H55</f>
        <v>-1239642.779502745</v>
      </c>
      <c r="K55" s="29"/>
      <c r="L55" s="203"/>
    </row>
    <row r="56" spans="1:12">
      <c r="A56" s="145">
        <f>+A55+1</f>
        <v>24</v>
      </c>
      <c r="B56" s="25"/>
      <c r="C56" s="31" t="s">
        <v>128</v>
      </c>
      <c r="D56" s="215" t="str">
        <f>+'Attachment H'!$B$2&amp;", Page 2, Line "&amp;'Attachment H'!A89</f>
        <v>Attachment H, Page 2, Line 24</v>
      </c>
      <c r="E56" s="214">
        <f>+'Attachment H'!D89</f>
        <v>0</v>
      </c>
      <c r="F56" s="29"/>
      <c r="G56" s="37" t="s">
        <v>97</v>
      </c>
      <c r="H56" s="553">
        <v>1</v>
      </c>
      <c r="I56" s="44"/>
      <c r="J56" s="18">
        <f>E56*H56</f>
        <v>0</v>
      </c>
      <c r="K56" s="29"/>
      <c r="L56" s="203"/>
    </row>
    <row r="57" spans="1:12">
      <c r="A57" s="145">
        <f>+A56+1</f>
        <v>25</v>
      </c>
      <c r="B57" s="25"/>
      <c r="C57" s="31" t="s">
        <v>150</v>
      </c>
      <c r="D57" s="215" t="str">
        <f>+'Attachment H'!$B$2&amp;", Page 2, Line "&amp;'Attachment H'!A90</f>
        <v>Attachment H, Page 2, Line 25</v>
      </c>
      <c r="E57" s="214">
        <f>+'Attachment H'!D90</f>
        <v>0</v>
      </c>
      <c r="F57" s="29"/>
      <c r="G57" s="37" t="s">
        <v>97</v>
      </c>
      <c r="H57" s="553">
        <v>1</v>
      </c>
      <c r="I57" s="44"/>
      <c r="J57" s="18">
        <f>E57*H57</f>
        <v>0</v>
      </c>
      <c r="K57" s="29"/>
      <c r="L57" s="203"/>
    </row>
    <row r="58" spans="1:12">
      <c r="A58" s="145">
        <f>+A57+1</f>
        <v>26</v>
      </c>
      <c r="B58" s="25"/>
      <c r="C58" s="36" t="s">
        <v>129</v>
      </c>
      <c r="D58" s="215" t="str">
        <f>+'Attachment H'!$B$2&amp;", Page 2, Line "&amp;'Attachment H'!A91</f>
        <v>Attachment H, Page 2, Line 26</v>
      </c>
      <c r="E58" s="214">
        <f>+'Attachment H'!D91</f>
        <v>0</v>
      </c>
      <c r="F58" s="29"/>
      <c r="G58" s="37" t="s">
        <v>36</v>
      </c>
      <c r="H58" s="553">
        <f>H51</f>
        <v>0</v>
      </c>
      <c r="I58" s="44"/>
      <c r="J58" s="42">
        <f>E58*H58</f>
        <v>0</v>
      </c>
      <c r="K58" s="29"/>
      <c r="L58" s="203"/>
    </row>
    <row r="59" spans="1:12">
      <c r="A59" s="552" t="s">
        <v>587</v>
      </c>
      <c r="B59" s="25"/>
      <c r="C59" s="34" t="s">
        <v>690</v>
      </c>
      <c r="D59" s="215" t="s">
        <v>942</v>
      </c>
      <c r="E59" s="214">
        <f>L207</f>
        <v>0</v>
      </c>
      <c r="F59" s="37"/>
      <c r="G59" s="37" t="s">
        <v>97</v>
      </c>
      <c r="H59" s="553">
        <v>1</v>
      </c>
      <c r="I59" s="215"/>
      <c r="J59" s="53">
        <f>+H59*E59</f>
        <v>0</v>
      </c>
      <c r="K59" s="37"/>
      <c r="L59" s="554"/>
    </row>
    <row r="60" spans="1:12">
      <c r="A60" s="145">
        <f>+A58+1</f>
        <v>27</v>
      </c>
      <c r="B60" s="25"/>
      <c r="C60" s="174" t="s">
        <v>107</v>
      </c>
      <c r="D60" s="215" t="str">
        <f>+'Attachment H'!$B$2&amp;", Page 2, Line "&amp;'Attachment H'!A93</f>
        <v>Attachment H, Page 2, Line 27</v>
      </c>
      <c r="E60" s="214">
        <f>+'Attachment H'!D93</f>
        <v>0</v>
      </c>
      <c r="F60" s="207"/>
      <c r="G60" s="208" t="s">
        <v>30</v>
      </c>
      <c r="H60" s="209"/>
      <c r="I60" s="207"/>
      <c r="J60" s="42">
        <f>+H60*E60</f>
        <v>0</v>
      </c>
      <c r="K60" s="689"/>
      <c r="L60" s="203"/>
    </row>
    <row r="61" spans="1:12">
      <c r="A61" s="145">
        <f>+A60+1</f>
        <v>28</v>
      </c>
      <c r="B61" s="25"/>
      <c r="C61" s="210" t="s">
        <v>165</v>
      </c>
      <c r="D61" s="215" t="str">
        <f>+'Attachment H'!$B$2&amp;", Page 2, Line "&amp;'Attachment H'!A94</f>
        <v>Attachment H, Page 2, Line 28</v>
      </c>
      <c r="E61" s="214">
        <f>+'Attachment H'!D94</f>
        <v>0</v>
      </c>
      <c r="F61" s="208"/>
      <c r="G61" s="208" t="str">
        <f>+G62</f>
        <v>DA</v>
      </c>
      <c r="H61" s="553">
        <v>1</v>
      </c>
      <c r="I61" s="208"/>
      <c r="J61" s="42">
        <f>+H61*E61</f>
        <v>0</v>
      </c>
      <c r="K61" s="689"/>
      <c r="L61" s="203"/>
    </row>
    <row r="62" spans="1:12" ht="15.6" thickBot="1">
      <c r="A62" s="145">
        <f>+A61+1</f>
        <v>29</v>
      </c>
      <c r="B62" s="25"/>
      <c r="C62" s="210" t="s">
        <v>166</v>
      </c>
      <c r="D62" s="215" t="str">
        <f>+'Attachment H'!$B$2&amp;", Page 2, Line "&amp;'Attachment H'!A95</f>
        <v>Attachment H, Page 2, Line 29</v>
      </c>
      <c r="E62" s="226">
        <f>+'Attachment H'!D95</f>
        <v>0</v>
      </c>
      <c r="F62" s="207"/>
      <c r="G62" s="208" t="s">
        <v>97</v>
      </c>
      <c r="H62" s="553">
        <v>1</v>
      </c>
      <c r="I62" s="207"/>
      <c r="J62" s="201">
        <f>+H62*E62</f>
        <v>0</v>
      </c>
      <c r="K62" s="689"/>
      <c r="L62" s="203"/>
    </row>
    <row r="63" spans="1:12">
      <c r="A63" s="145">
        <f>+A62+1</f>
        <v>30</v>
      </c>
      <c r="B63" s="25"/>
      <c r="C63" s="31" t="s">
        <v>337</v>
      </c>
      <c r="D63" s="37" t="s">
        <v>336</v>
      </c>
      <c r="E63" s="18">
        <f>SUM(E54:E62)</f>
        <v>-1239642.779502745</v>
      </c>
      <c r="F63" s="29"/>
      <c r="G63" s="29"/>
      <c r="H63" s="44"/>
      <c r="I63" s="44"/>
      <c r="J63" s="18">
        <f>SUM(J54:J62)</f>
        <v>-1239642.779502745</v>
      </c>
      <c r="K63" s="29"/>
      <c r="L63" s="29"/>
    </row>
    <row r="64" spans="1:12">
      <c r="A64" s="145"/>
      <c r="B64" s="25"/>
      <c r="C64" s="36"/>
      <c r="D64" s="37"/>
      <c r="E64" s="18"/>
      <c r="F64" s="29"/>
      <c r="G64" s="29"/>
      <c r="H64" s="203"/>
      <c r="I64" s="29"/>
      <c r="J64" s="18"/>
      <c r="K64" s="29"/>
      <c r="L64" s="203"/>
    </row>
    <row r="65" spans="1:15">
      <c r="A65" s="145">
        <f>+A63+1</f>
        <v>31</v>
      </c>
      <c r="B65" s="25"/>
      <c r="C65" s="28" t="s">
        <v>809</v>
      </c>
      <c r="D65" s="215" t="s">
        <v>943</v>
      </c>
      <c r="E65" s="199">
        <f>G194</f>
        <v>0</v>
      </c>
      <c r="F65" s="29"/>
      <c r="G65" s="29" t="s">
        <v>97</v>
      </c>
      <c r="H65" s="161">
        <v>1</v>
      </c>
      <c r="I65" s="44"/>
      <c r="J65" s="18">
        <f>+H65*E65</f>
        <v>0</v>
      </c>
      <c r="K65" s="29"/>
      <c r="L65" s="29"/>
    </row>
    <row r="66" spans="1:15">
      <c r="A66" s="145"/>
      <c r="B66" s="25"/>
      <c r="C66" s="31"/>
      <c r="D66" s="37"/>
      <c r="E66" s="18"/>
      <c r="F66" s="29"/>
      <c r="G66" s="29"/>
      <c r="H66" s="27"/>
      <c r="I66" s="44"/>
      <c r="J66" s="18"/>
      <c r="K66" s="29"/>
      <c r="L66" s="29"/>
    </row>
    <row r="67" spans="1:15">
      <c r="A67" s="145">
        <f>+A65+1</f>
        <v>32</v>
      </c>
      <c r="B67" s="25"/>
      <c r="C67" s="31" t="s">
        <v>342</v>
      </c>
      <c r="D67" s="37"/>
      <c r="E67" s="18"/>
      <c r="F67" s="29"/>
      <c r="G67" s="29"/>
      <c r="H67" s="27"/>
      <c r="I67" s="44"/>
      <c r="J67" s="18"/>
      <c r="K67" s="29"/>
      <c r="L67" s="29"/>
    </row>
    <row r="68" spans="1:15">
      <c r="A68" s="145">
        <f>+A67+1</f>
        <v>33</v>
      </c>
      <c r="B68" s="25"/>
      <c r="C68" s="31" t="s">
        <v>185</v>
      </c>
      <c r="D68" s="34" t="s">
        <v>981</v>
      </c>
      <c r="E68" s="214">
        <f>(E93)/8</f>
        <v>627064.59677896707</v>
      </c>
      <c r="F68" s="37"/>
      <c r="G68" s="37"/>
      <c r="H68" s="161"/>
      <c r="I68" s="215"/>
      <c r="J68" s="214">
        <f>(J93)/8</f>
        <v>0</v>
      </c>
      <c r="K68" s="151"/>
      <c r="L68" s="203"/>
    </row>
    <row r="69" spans="1:15">
      <c r="A69" s="145">
        <f>+A68+1</f>
        <v>34</v>
      </c>
      <c r="B69" s="25"/>
      <c r="C69" s="31" t="s">
        <v>810</v>
      </c>
      <c r="D69" s="215" t="s">
        <v>944</v>
      </c>
      <c r="E69" s="199">
        <f>H194</f>
        <v>0</v>
      </c>
      <c r="F69" s="29"/>
      <c r="G69" s="29" t="s">
        <v>97</v>
      </c>
      <c r="H69" s="161">
        <v>1</v>
      </c>
      <c r="I69" s="44"/>
      <c r="J69" s="18">
        <f>+H69*E69</f>
        <v>0</v>
      </c>
      <c r="K69" s="29" t="s">
        <v>10</v>
      </c>
      <c r="L69" s="203"/>
    </row>
    <row r="70" spans="1:15" ht="15.6" thickBot="1">
      <c r="A70" s="145">
        <f>+A69+1</f>
        <v>35</v>
      </c>
      <c r="B70" s="25"/>
      <c r="C70" s="31" t="s">
        <v>130</v>
      </c>
      <c r="D70" s="215" t="str">
        <f>+'Attachment H'!$B$2&amp;", Page 2, Line "&amp;'Attachment H'!A103</f>
        <v>Attachment H, Page 2, Line 35</v>
      </c>
      <c r="E70" s="200">
        <f>+'4- Rate Base'!H24</f>
        <v>200669.34910649346</v>
      </c>
      <c r="F70" s="29"/>
      <c r="G70" s="29" t="s">
        <v>37</v>
      </c>
      <c r="H70" s="27">
        <f>+H35</f>
        <v>0</v>
      </c>
      <c r="I70" s="44"/>
      <c r="J70" s="201">
        <f>+H70*E70</f>
        <v>0</v>
      </c>
      <c r="K70" s="29"/>
      <c r="L70" s="203"/>
    </row>
    <row r="71" spans="1:15">
      <c r="A71" s="145">
        <f>+A70+1</f>
        <v>36</v>
      </c>
      <c r="B71" s="25"/>
      <c r="C71" s="31" t="s">
        <v>341</v>
      </c>
      <c r="D71" s="151" t="s">
        <v>679</v>
      </c>
      <c r="E71" s="18">
        <f>SUM(E68:E70)</f>
        <v>827733.94588546059</v>
      </c>
      <c r="F71" s="151"/>
      <c r="G71" s="151"/>
      <c r="H71" s="216"/>
      <c r="I71" s="216"/>
      <c r="J71" s="18">
        <f>J68+J69+J70</f>
        <v>0</v>
      </c>
      <c r="K71" s="151"/>
      <c r="L71" s="151"/>
    </row>
    <row r="72" spans="1:15" ht="15.6" thickBot="1">
      <c r="A72" s="145"/>
      <c r="B72" s="25"/>
      <c r="C72" s="36"/>
      <c r="D72" s="29"/>
      <c r="E72" s="201"/>
      <c r="F72" s="29"/>
      <c r="G72" s="29"/>
      <c r="H72" s="29"/>
      <c r="I72" s="29"/>
      <c r="J72" s="201"/>
      <c r="K72" s="29"/>
      <c r="L72" s="29"/>
    </row>
    <row r="73" spans="1:15" ht="15.6" thickBot="1">
      <c r="A73" s="145">
        <f>+A71+1</f>
        <v>37</v>
      </c>
      <c r="B73" s="25"/>
      <c r="C73" s="31" t="s">
        <v>344</v>
      </c>
      <c r="D73" s="29" t="s">
        <v>343</v>
      </c>
      <c r="E73" s="217">
        <f>+E71+E65+E63+E51</f>
        <v>82575896.190146655</v>
      </c>
      <c r="F73" s="44"/>
      <c r="G73" s="44"/>
      <c r="H73" s="218"/>
      <c r="I73" s="44"/>
      <c r="J73" s="217">
        <f>+J71+J65+J63+J51</f>
        <v>-1239642.779502745</v>
      </c>
      <c r="K73" s="29"/>
      <c r="L73" s="203"/>
    </row>
    <row r="74" spans="1:15" ht="15.6" thickTop="1">
      <c r="A74" s="145"/>
      <c r="B74" s="25"/>
      <c r="C74" s="31"/>
      <c r="D74" s="29"/>
      <c r="E74" s="219"/>
      <c r="F74" s="44"/>
      <c r="G74" s="44"/>
      <c r="H74" s="218"/>
      <c r="I74" s="44"/>
      <c r="J74" s="219"/>
      <c r="K74" s="29"/>
      <c r="L74" s="203"/>
    </row>
    <row r="75" spans="1:15">
      <c r="A75" s="145"/>
      <c r="B75" s="25"/>
      <c r="C75" s="31"/>
      <c r="D75" s="29"/>
      <c r="E75" s="219"/>
      <c r="F75" s="44"/>
      <c r="G75" s="44"/>
      <c r="H75" s="218"/>
      <c r="I75" s="44"/>
      <c r="J75" s="219"/>
      <c r="K75" s="29"/>
      <c r="L75" s="203"/>
    </row>
    <row r="76" spans="1:15" ht="24" customHeight="1">
      <c r="A76" s="145"/>
      <c r="B76" s="25"/>
      <c r="C76" s="31"/>
      <c r="D76" s="29"/>
      <c r="E76" s="29"/>
      <c r="F76" s="29"/>
      <c r="G76" s="29"/>
      <c r="H76" s="29"/>
      <c r="I76" s="29"/>
      <c r="J76" s="29"/>
      <c r="K76" s="29"/>
      <c r="O76" s="220" t="s">
        <v>919</v>
      </c>
    </row>
    <row r="77" spans="1:15">
      <c r="A77" s="145"/>
      <c r="B77" s="25"/>
      <c r="C77" s="31"/>
      <c r="D77" s="29"/>
      <c r="E77" s="29"/>
      <c r="F77" s="29"/>
      <c r="G77" s="29"/>
      <c r="H77" s="29"/>
      <c r="I77" s="29"/>
      <c r="J77" s="29"/>
      <c r="K77" s="29"/>
      <c r="L77" s="220"/>
    </row>
    <row r="78" spans="1:15">
      <c r="A78" s="145"/>
      <c r="B78" s="25"/>
      <c r="C78" s="31" t="s">
        <v>9</v>
      </c>
      <c r="D78" s="29"/>
      <c r="E78" s="32"/>
      <c r="F78" s="29"/>
      <c r="G78" s="760" t="s">
        <v>788</v>
      </c>
      <c r="H78" s="29"/>
      <c r="I78" s="29"/>
      <c r="J78" s="143"/>
      <c r="K78" s="29"/>
      <c r="L78" s="220"/>
    </row>
    <row r="79" spans="1:15">
      <c r="A79" s="145"/>
      <c r="B79" s="25"/>
      <c r="C79" s="31"/>
      <c r="D79" s="29"/>
      <c r="E79" s="32"/>
      <c r="F79" s="29"/>
      <c r="G79" s="760" t="s">
        <v>789</v>
      </c>
      <c r="H79" s="29"/>
      <c r="I79" s="29"/>
      <c r="J79" s="29"/>
      <c r="K79" s="29"/>
      <c r="L79" s="29"/>
    </row>
    <row r="80" spans="1:15">
      <c r="A80" s="145"/>
      <c r="B80" s="25"/>
      <c r="C80" s="36"/>
      <c r="D80" s="29"/>
      <c r="E80" s="32"/>
      <c r="F80" s="29"/>
      <c r="G80" s="760" t="s">
        <v>862</v>
      </c>
      <c r="H80" s="29"/>
      <c r="I80" s="29"/>
      <c r="J80" s="29"/>
      <c r="K80" s="29"/>
      <c r="L80" s="29"/>
    </row>
    <row r="81" spans="1:12">
      <c r="A81" s="692"/>
      <c r="B81" s="25"/>
      <c r="C81" s="692"/>
      <c r="D81" s="692"/>
      <c r="E81" s="692"/>
      <c r="F81" s="692"/>
      <c r="G81" s="692"/>
      <c r="H81" s="692"/>
      <c r="I81" s="692"/>
      <c r="J81" s="692"/>
      <c r="K81" s="692"/>
      <c r="L81" s="692"/>
    </row>
    <row r="82" spans="1:12">
      <c r="A82" s="145"/>
      <c r="B82" s="25"/>
      <c r="C82" s="155" t="s">
        <v>11</v>
      </c>
      <c r="D82" s="155" t="s">
        <v>12</v>
      </c>
      <c r="E82" s="155" t="s">
        <v>13</v>
      </c>
      <c r="F82" s="29" t="s">
        <v>10</v>
      </c>
      <c r="G82" s="29"/>
      <c r="H82" s="154" t="s">
        <v>14</v>
      </c>
      <c r="I82" s="29"/>
      <c r="J82" s="154" t="s">
        <v>15</v>
      </c>
      <c r="K82" s="29"/>
      <c r="L82" s="29"/>
    </row>
    <row r="83" spans="1:12">
      <c r="A83" s="145" t="s">
        <v>16</v>
      </c>
      <c r="B83" s="25"/>
      <c r="C83" s="31"/>
      <c r="D83" s="194"/>
      <c r="E83" s="29"/>
      <c r="F83" s="29"/>
      <c r="G83" s="29"/>
      <c r="H83" s="145"/>
      <c r="I83" s="29"/>
      <c r="J83" s="195" t="s">
        <v>824</v>
      </c>
      <c r="K83" s="29"/>
      <c r="L83" s="195"/>
    </row>
    <row r="84" spans="1:12" ht="15.6" thickBot="1">
      <c r="A84" s="33" t="s">
        <v>18</v>
      </c>
      <c r="B84" s="25"/>
      <c r="C84" s="31"/>
      <c r="D84" s="196" t="s">
        <v>301</v>
      </c>
      <c r="E84" s="195" t="s">
        <v>27</v>
      </c>
      <c r="F84" s="197"/>
      <c r="G84" s="195" t="s">
        <v>28</v>
      </c>
      <c r="H84" s="36"/>
      <c r="I84" s="197"/>
      <c r="J84" s="145" t="s">
        <v>29</v>
      </c>
      <c r="K84" s="29"/>
      <c r="L84" s="195"/>
    </row>
    <row r="85" spans="1:12">
      <c r="A85" s="145"/>
      <c r="B85" s="25"/>
      <c r="C85" s="31" t="s">
        <v>7</v>
      </c>
      <c r="D85" s="29"/>
      <c r="E85" s="29"/>
      <c r="F85" s="29"/>
      <c r="G85" s="29"/>
      <c r="H85" s="29"/>
      <c r="I85" s="29"/>
      <c r="J85" s="29"/>
      <c r="K85" s="29"/>
      <c r="L85" s="29"/>
    </row>
    <row r="86" spans="1:12">
      <c r="A86" s="145">
        <v>1</v>
      </c>
      <c r="B86" s="25"/>
      <c r="C86" s="31" t="s">
        <v>795</v>
      </c>
      <c r="D86" s="489" t="s">
        <v>932</v>
      </c>
      <c r="E86" s="199"/>
      <c r="F86" s="29"/>
      <c r="G86" s="29" t="s">
        <v>97</v>
      </c>
      <c r="H86" s="161">
        <v>1</v>
      </c>
      <c r="I86" s="44"/>
      <c r="J86" s="18">
        <f t="shared" ref="J86:J92" si="5">+H86*E86</f>
        <v>0</v>
      </c>
      <c r="K86" s="151"/>
      <c r="L86" s="29"/>
    </row>
    <row r="87" spans="1:12">
      <c r="A87" s="168">
        <f>+A86+1</f>
        <v>2</v>
      </c>
      <c r="B87" s="25"/>
      <c r="C87" s="31" t="s">
        <v>40</v>
      </c>
      <c r="D87" s="44" t="str">
        <f>+'Attachment H'!$B$2&amp;", Page 3, Line "&amp;'Attachment H'!A122</f>
        <v>Attachment H, Page 3, Line 4</v>
      </c>
      <c r="E87" s="214">
        <f>+'Attachment H'!D122</f>
        <v>5016516.7742317365</v>
      </c>
      <c r="F87" s="29"/>
      <c r="G87" s="29" t="s">
        <v>32</v>
      </c>
      <c r="H87" s="27">
        <f>+H41</f>
        <v>0</v>
      </c>
      <c r="I87" s="44"/>
      <c r="J87" s="18">
        <f t="shared" si="5"/>
        <v>0</v>
      </c>
      <c r="K87" s="29"/>
      <c r="L87" s="29" t="s">
        <v>10</v>
      </c>
    </row>
    <row r="88" spans="1:12">
      <c r="A88" s="168">
        <f t="shared" ref="A88:A128" si="6">+A87+1</f>
        <v>3</v>
      </c>
      <c r="B88" s="25"/>
      <c r="C88" s="31" t="s">
        <v>187</v>
      </c>
      <c r="D88" s="44" t="str">
        <f>+'Attachment H'!$B$2&amp;", Page 3, Line "&amp;'Attachment H'!A123</f>
        <v>Attachment H, Page 3, Line 5</v>
      </c>
      <c r="E88" s="214">
        <f>+'Attachment H'!D123</f>
        <v>0</v>
      </c>
      <c r="F88" s="29"/>
      <c r="G88" s="29" t="s">
        <v>32</v>
      </c>
      <c r="H88" s="27">
        <f>+H87</f>
        <v>0</v>
      </c>
      <c r="I88" s="44"/>
      <c r="J88" s="18">
        <f t="shared" si="5"/>
        <v>0</v>
      </c>
      <c r="K88" s="29"/>
      <c r="L88" s="29"/>
    </row>
    <row r="89" spans="1:12">
      <c r="A89" s="168">
        <f t="shared" si="6"/>
        <v>4</v>
      </c>
      <c r="B89" s="25"/>
      <c r="C89" s="40" t="s">
        <v>323</v>
      </c>
      <c r="D89" s="44" t="str">
        <f>+'Attachment H'!$B$2&amp;", Page 3, Line "&amp;'Attachment H'!A124</f>
        <v>Attachment H, Page 3, Line 6</v>
      </c>
      <c r="E89" s="214">
        <f>+'Attachment H'!D124</f>
        <v>0</v>
      </c>
      <c r="F89" s="29"/>
      <c r="G89" s="29" t="s">
        <v>32</v>
      </c>
      <c r="H89" s="27">
        <f>+H88</f>
        <v>0</v>
      </c>
      <c r="I89" s="44"/>
      <c r="J89" s="18">
        <f t="shared" si="5"/>
        <v>0</v>
      </c>
      <c r="K89" s="29"/>
      <c r="L89" s="29"/>
    </row>
    <row r="90" spans="1:12">
      <c r="A90" s="168">
        <f t="shared" si="6"/>
        <v>5</v>
      </c>
      <c r="B90" s="25"/>
      <c r="C90" s="40" t="s">
        <v>310</v>
      </c>
      <c r="D90" s="44" t="str">
        <f>+'Attachment H'!$B$2&amp;", Page 3, Line "&amp;'Attachment H'!A125</f>
        <v>Attachment H, Page 3, Line 6a</v>
      </c>
      <c r="E90" s="214">
        <f>+'Attachment H'!D125</f>
        <v>0</v>
      </c>
      <c r="F90" s="126"/>
      <c r="G90" s="29" t="s">
        <v>32</v>
      </c>
      <c r="H90" s="27">
        <f>+H89</f>
        <v>0</v>
      </c>
      <c r="I90" s="44"/>
      <c r="J90" s="18">
        <f t="shared" si="5"/>
        <v>0</v>
      </c>
      <c r="K90" s="126"/>
      <c r="L90" s="126"/>
    </row>
    <row r="91" spans="1:12">
      <c r="A91" s="168">
        <f>+A90+1</f>
        <v>6</v>
      </c>
      <c r="B91" s="25"/>
      <c r="C91" s="40" t="s">
        <v>312</v>
      </c>
      <c r="D91" s="44" t="str">
        <f>+'Attachment H'!$B$2&amp;", Page 3, Line "&amp;'Attachment H'!A127</f>
        <v>Attachment H, Page 3, Line 7a</v>
      </c>
      <c r="E91" s="214">
        <f>+'Attachment H'!D127</f>
        <v>0</v>
      </c>
      <c r="F91" s="126"/>
      <c r="G91" s="29" t="s">
        <v>32</v>
      </c>
      <c r="H91" s="27">
        <f>+H90</f>
        <v>0</v>
      </c>
      <c r="I91" s="44"/>
      <c r="J91" s="18">
        <f t="shared" si="5"/>
        <v>0</v>
      </c>
      <c r="K91" s="126"/>
      <c r="L91" s="126"/>
    </row>
    <row r="92" spans="1:12">
      <c r="A92" s="168">
        <f t="shared" si="6"/>
        <v>7</v>
      </c>
      <c r="B92" s="25"/>
      <c r="C92" s="31" t="s">
        <v>422</v>
      </c>
      <c r="D92" s="44" t="str">
        <f>+'Attachment H'!$B$2&amp;", Page 3, Line "&amp;'Attachment H'!A128</f>
        <v>Attachment H, Page 3, Line 8</v>
      </c>
      <c r="E92" s="214">
        <f>+'Attachment H'!D128</f>
        <v>0</v>
      </c>
      <c r="F92" s="29"/>
      <c r="G92" s="29" t="s">
        <v>183</v>
      </c>
      <c r="H92" s="27">
        <f>+H42</f>
        <v>0</v>
      </c>
      <c r="I92" s="44"/>
      <c r="J92" s="18">
        <f t="shared" si="5"/>
        <v>0</v>
      </c>
      <c r="K92" s="29"/>
      <c r="L92" s="29"/>
    </row>
    <row r="93" spans="1:12">
      <c r="A93" s="168">
        <f t="shared" si="6"/>
        <v>8</v>
      </c>
      <c r="B93" s="25"/>
      <c r="C93" s="227" t="s">
        <v>345</v>
      </c>
      <c r="D93" s="127" t="s">
        <v>812</v>
      </c>
      <c r="E93" s="18">
        <f>+E86+E87-E88-E89-E90+E91+E92</f>
        <v>5016516.7742317365</v>
      </c>
      <c r="F93" s="18"/>
      <c r="G93" s="18"/>
      <c r="H93" s="18"/>
      <c r="I93" s="18"/>
      <c r="J93" s="18">
        <f>+J86+J87-J88-J89-J90+J91+J92</f>
        <v>0</v>
      </c>
      <c r="K93" s="29"/>
      <c r="L93" s="29"/>
    </row>
    <row r="94" spans="1:12">
      <c r="A94" s="168"/>
      <c r="B94" s="25"/>
      <c r="C94" s="36"/>
      <c r="D94" s="29"/>
      <c r="E94" s="18"/>
      <c r="F94" s="18"/>
      <c r="G94" s="18"/>
      <c r="H94" s="18"/>
      <c r="I94" s="18"/>
      <c r="J94" s="18"/>
      <c r="K94" s="29"/>
      <c r="L94" s="29"/>
    </row>
    <row r="95" spans="1:12">
      <c r="A95" s="168">
        <f>+A93+1</f>
        <v>9</v>
      </c>
      <c r="B95" s="25"/>
      <c r="C95" s="31" t="s">
        <v>815</v>
      </c>
      <c r="D95" s="29"/>
      <c r="E95" s="18"/>
      <c r="F95" s="18"/>
      <c r="G95" s="214"/>
      <c r="H95" s="214"/>
      <c r="I95" s="18"/>
      <c r="J95" s="18"/>
      <c r="K95" s="29"/>
      <c r="L95" s="29"/>
    </row>
    <row r="96" spans="1:12">
      <c r="A96" s="168">
        <f t="shared" si="6"/>
        <v>10</v>
      </c>
      <c r="B96" s="25"/>
      <c r="C96" s="40" t="s">
        <v>795</v>
      </c>
      <c r="D96" s="710" t="s">
        <v>814</v>
      </c>
      <c r="E96" s="199"/>
      <c r="F96" s="18"/>
      <c r="G96" s="37" t="s">
        <v>1075</v>
      </c>
      <c r="H96" s="957">
        <f>+H65</f>
        <v>1</v>
      </c>
      <c r="I96" s="18"/>
      <c r="J96" s="18">
        <f>+H96*E96</f>
        <v>0</v>
      </c>
      <c r="K96" s="29"/>
      <c r="L96" s="203"/>
    </row>
    <row r="97" spans="1:12">
      <c r="A97" s="168">
        <f t="shared" si="6"/>
        <v>11</v>
      </c>
      <c r="B97" s="25"/>
      <c r="C97" s="228" t="s">
        <v>125</v>
      </c>
      <c r="D97" s="215" t="str">
        <f>+'Attachment H'!$B$2&amp;", Page 3, Line "&amp;'Attachment H'!A138</f>
        <v>Attachment H, Page 3, Line 17</v>
      </c>
      <c r="E97" s="214">
        <f>+'Attachment H'!D138</f>
        <v>0</v>
      </c>
      <c r="F97" s="18"/>
      <c r="G97" s="214" t="s">
        <v>32</v>
      </c>
      <c r="H97" s="214">
        <f>+H87</f>
        <v>0</v>
      </c>
      <c r="I97" s="18"/>
      <c r="J97" s="18">
        <f>+H97*E97</f>
        <v>0</v>
      </c>
      <c r="K97" s="29"/>
      <c r="L97" s="203"/>
    </row>
    <row r="98" spans="1:12">
      <c r="A98" s="168">
        <f t="shared" si="6"/>
        <v>12</v>
      </c>
      <c r="B98" s="25"/>
      <c r="C98" s="31" t="s">
        <v>422</v>
      </c>
      <c r="D98" s="215" t="str">
        <f>+'Attachment H'!$B$2&amp;", Page 3, Line "&amp;'Attachment H'!A139</f>
        <v>Attachment H, Page 3, Line 18</v>
      </c>
      <c r="E98" s="214">
        <f>+'Attachment H'!D139</f>
        <v>0</v>
      </c>
      <c r="F98" s="42"/>
      <c r="G98" s="759" t="s">
        <v>183</v>
      </c>
      <c r="H98" s="759">
        <f>+H92</f>
        <v>0</v>
      </c>
      <c r="I98" s="42"/>
      <c r="J98" s="42">
        <f>+H98*E98</f>
        <v>0</v>
      </c>
      <c r="K98" s="29"/>
      <c r="L98" s="203"/>
    </row>
    <row r="99" spans="1:12">
      <c r="A99" s="168">
        <f t="shared" si="6"/>
        <v>13</v>
      </c>
      <c r="B99" s="25"/>
      <c r="C99" s="31" t="s">
        <v>325</v>
      </c>
      <c r="D99" s="29" t="s">
        <v>813</v>
      </c>
      <c r="E99" s="18">
        <f>SUM(E96:E98)</f>
        <v>0</v>
      </c>
      <c r="F99" s="18"/>
      <c r="G99" s="214"/>
      <c r="H99" s="214"/>
      <c r="I99" s="18"/>
      <c r="J99" s="18">
        <f>SUM(J96:J98)</f>
        <v>0</v>
      </c>
      <c r="K99" s="29"/>
      <c r="L99" s="29"/>
    </row>
    <row r="100" spans="1:12">
      <c r="A100" s="168"/>
      <c r="B100" s="25"/>
      <c r="C100" s="31"/>
      <c r="D100" s="29"/>
      <c r="E100" s="18"/>
      <c r="F100" s="18"/>
      <c r="G100" s="214"/>
      <c r="H100" s="214"/>
      <c r="I100" s="18"/>
      <c r="J100" s="18"/>
      <c r="K100" s="29"/>
      <c r="L100" s="29"/>
    </row>
    <row r="101" spans="1:12">
      <c r="A101" s="168">
        <f>+A99+1</f>
        <v>14</v>
      </c>
      <c r="B101" s="25"/>
      <c r="C101" s="31" t="s">
        <v>326</v>
      </c>
      <c r="D101" s="34"/>
      <c r="E101" s="18"/>
      <c r="F101" s="18"/>
      <c r="G101" s="214"/>
      <c r="H101" s="214"/>
      <c r="I101" s="18"/>
      <c r="J101" s="18"/>
      <c r="K101" s="29"/>
      <c r="L101" s="29"/>
    </row>
    <row r="102" spans="1:12">
      <c r="A102" s="168">
        <f t="shared" si="6"/>
        <v>15</v>
      </c>
      <c r="B102" s="25"/>
      <c r="C102" s="31" t="s">
        <v>42</v>
      </c>
      <c r="D102" s="36"/>
      <c r="E102" s="18"/>
      <c r="F102" s="18"/>
      <c r="G102" s="214"/>
      <c r="H102" s="214"/>
      <c r="I102" s="18"/>
      <c r="J102" s="18"/>
      <c r="K102" s="29"/>
      <c r="L102" s="203"/>
    </row>
    <row r="103" spans="1:12">
      <c r="A103" s="168">
        <f t="shared" si="6"/>
        <v>16</v>
      </c>
      <c r="B103" s="25"/>
      <c r="C103" s="31" t="s">
        <v>43</v>
      </c>
      <c r="D103" s="215" t="str">
        <f>+'Attachment H'!$B$2&amp;", Page 3, Line "&amp;'Attachment H'!A145</f>
        <v>Attachment H, Page 3, Line 23</v>
      </c>
      <c r="E103" s="214">
        <f>+'Attachment H'!D145</f>
        <v>0</v>
      </c>
      <c r="F103" s="18"/>
      <c r="G103" s="214" t="s">
        <v>32</v>
      </c>
      <c r="H103" s="214">
        <f>+H97</f>
        <v>0</v>
      </c>
      <c r="I103" s="18"/>
      <c r="J103" s="18">
        <f>+H103*E103</f>
        <v>0</v>
      </c>
      <c r="K103" s="29"/>
      <c r="L103" s="203"/>
    </row>
    <row r="104" spans="1:12">
      <c r="A104" s="168">
        <f t="shared" si="6"/>
        <v>17</v>
      </c>
      <c r="B104" s="25"/>
      <c r="C104" s="31" t="s">
        <v>44</v>
      </c>
      <c r="D104" s="215" t="str">
        <f>+'Attachment H'!$B$2&amp;", Page 3, Line "&amp;'Attachment H'!A146</f>
        <v>Attachment H, Page 3, Line 24</v>
      </c>
      <c r="E104" s="214">
        <f>+'Attachment H'!D146</f>
        <v>0</v>
      </c>
      <c r="F104" s="18"/>
      <c r="G104" s="214" t="s">
        <v>32</v>
      </c>
      <c r="H104" s="214">
        <f>+H103</f>
        <v>0</v>
      </c>
      <c r="I104" s="18"/>
      <c r="J104" s="18">
        <f>+H104*E104</f>
        <v>0</v>
      </c>
      <c r="K104" s="29"/>
      <c r="L104" s="203"/>
    </row>
    <row r="105" spans="1:12">
      <c r="A105" s="168">
        <f t="shared" si="6"/>
        <v>18</v>
      </c>
      <c r="B105" s="25"/>
      <c r="C105" s="31" t="s">
        <v>45</v>
      </c>
      <c r="D105" s="29" t="s">
        <v>10</v>
      </c>
      <c r="E105" s="214"/>
      <c r="F105" s="18"/>
      <c r="G105" s="214"/>
      <c r="H105" s="214"/>
      <c r="I105" s="18"/>
      <c r="J105" s="18"/>
      <c r="K105" s="29"/>
      <c r="L105" s="203"/>
    </row>
    <row r="106" spans="1:12">
      <c r="A106" s="168">
        <f t="shared" si="6"/>
        <v>19</v>
      </c>
      <c r="B106" s="25"/>
      <c r="C106" s="31" t="s">
        <v>46</v>
      </c>
      <c r="D106" s="215" t="str">
        <f>+'Attachment H'!$B$2&amp;", Page 3, Line "&amp;'Attachment H'!A148</f>
        <v>Attachment H, Page 3, Line 26</v>
      </c>
      <c r="E106" s="214">
        <f>+'Attachment H'!D148</f>
        <v>1064154.001370634</v>
      </c>
      <c r="F106" s="18"/>
      <c r="G106" s="214" t="s">
        <v>37</v>
      </c>
      <c r="H106" s="214">
        <f>+H35</f>
        <v>0</v>
      </c>
      <c r="I106" s="18"/>
      <c r="J106" s="18">
        <f>+H106*E106</f>
        <v>0</v>
      </c>
      <c r="K106" s="29"/>
      <c r="L106" s="203"/>
    </row>
    <row r="107" spans="1:12">
      <c r="A107" s="168">
        <f t="shared" si="6"/>
        <v>20</v>
      </c>
      <c r="B107" s="25"/>
      <c r="C107" s="31" t="s">
        <v>47</v>
      </c>
      <c r="D107" s="215" t="str">
        <f>+'Attachment H'!$B$2&amp;", Page 3, Line "&amp;'Attachment H'!A149</f>
        <v>Attachment H, Page 3, Line 27</v>
      </c>
      <c r="E107" s="214">
        <f>+'Attachment H'!D149</f>
        <v>0</v>
      </c>
      <c r="F107" s="18"/>
      <c r="G107" s="214" t="s">
        <v>30</v>
      </c>
      <c r="H107" s="229">
        <v>0</v>
      </c>
      <c r="I107" s="18"/>
      <c r="J107" s="18">
        <f>+H107*E107</f>
        <v>0</v>
      </c>
      <c r="K107" s="29"/>
      <c r="L107" s="203"/>
    </row>
    <row r="108" spans="1:12">
      <c r="A108" s="168">
        <f t="shared" si="6"/>
        <v>21</v>
      </c>
      <c r="B108" s="25"/>
      <c r="C108" s="31" t="s">
        <v>48</v>
      </c>
      <c r="D108" s="215" t="str">
        <f>+'Attachment H'!$B$2&amp;", Page 3, Line "&amp;'Attachment H'!A150</f>
        <v>Attachment H, Page 3, Line 28</v>
      </c>
      <c r="E108" s="214">
        <f>+'Attachment H'!D150</f>
        <v>0</v>
      </c>
      <c r="F108" s="18"/>
      <c r="G108" s="18" t="s">
        <v>37</v>
      </c>
      <c r="H108" s="18">
        <f>+H106</f>
        <v>0</v>
      </c>
      <c r="I108" s="18"/>
      <c r="J108" s="18">
        <f>+H108*E108</f>
        <v>0</v>
      </c>
      <c r="K108" s="29"/>
      <c r="L108" s="203"/>
    </row>
    <row r="109" spans="1:12" ht="15.6" thickBot="1">
      <c r="A109" s="168">
        <f t="shared" si="6"/>
        <v>22</v>
      </c>
      <c r="B109" s="25"/>
      <c r="C109" s="31" t="s">
        <v>49</v>
      </c>
      <c r="D109" s="215" t="str">
        <f>+'Attachment H'!$B$2&amp;", Page 3, Line "&amp;'Attachment H'!A151</f>
        <v>Attachment H, Page 3, Line 29</v>
      </c>
      <c r="E109" s="214">
        <f>+'Attachment H'!D151</f>
        <v>0</v>
      </c>
      <c r="F109" s="18"/>
      <c r="G109" s="18" t="s">
        <v>37</v>
      </c>
      <c r="H109" s="18">
        <f>+H106</f>
        <v>0</v>
      </c>
      <c r="I109" s="18"/>
      <c r="J109" s="201">
        <f>+H109*E109</f>
        <v>0</v>
      </c>
      <c r="K109" s="29"/>
      <c r="L109" s="203"/>
    </row>
    <row r="110" spans="1:12">
      <c r="A110" s="168">
        <f t="shared" si="6"/>
        <v>23</v>
      </c>
      <c r="B110" s="25"/>
      <c r="C110" s="31" t="s">
        <v>328</v>
      </c>
      <c r="D110" s="29" t="s">
        <v>816</v>
      </c>
      <c r="E110" s="18">
        <f>SUM(E103:E109)</f>
        <v>1064154.001370634</v>
      </c>
      <c r="F110" s="18"/>
      <c r="G110" s="18"/>
      <c r="H110" s="18"/>
      <c r="I110" s="18"/>
      <c r="J110" s="18">
        <f>SUM(J103:J109)</f>
        <v>0</v>
      </c>
      <c r="K110" s="29"/>
      <c r="L110" s="29"/>
    </row>
    <row r="111" spans="1:12">
      <c r="A111" s="168"/>
      <c r="B111" s="25"/>
      <c r="C111" s="31"/>
      <c r="D111" s="29"/>
      <c r="E111" s="29"/>
      <c r="F111" s="29"/>
      <c r="G111" s="29"/>
      <c r="H111" s="164"/>
      <c r="I111" s="29"/>
      <c r="J111" s="29"/>
      <c r="K111" s="29"/>
      <c r="L111" s="29"/>
    </row>
    <row r="112" spans="1:12">
      <c r="A112" s="168">
        <f>+A110+1</f>
        <v>24</v>
      </c>
      <c r="B112" s="25"/>
      <c r="C112" s="31" t="s">
        <v>50</v>
      </c>
      <c r="D112" s="215"/>
      <c r="E112" s="29"/>
      <c r="F112" s="29"/>
      <c r="G112" s="36"/>
      <c r="H112" s="38"/>
      <c r="I112" s="29"/>
      <c r="J112" s="36"/>
      <c r="K112" s="29"/>
      <c r="L112" s="36"/>
    </row>
    <row r="113" spans="1:12">
      <c r="A113" s="168">
        <f t="shared" si="6"/>
        <v>25</v>
      </c>
      <c r="B113" s="25"/>
      <c r="C113" s="39" t="s">
        <v>936</v>
      </c>
      <c r="D113" s="215" t="str">
        <f>+'Attachment H'!$B$2&amp;", Page 3, Line "&amp;'Attachment H'!A155</f>
        <v>Attachment H, Page 3, Line 32</v>
      </c>
      <c r="E113" s="224">
        <f>+'Attachment H'!D155</f>
        <v>0.25543747864454802</v>
      </c>
      <c r="F113" s="29"/>
      <c r="G113" s="36"/>
      <c r="H113" s="38"/>
      <c r="I113" s="29"/>
      <c r="J113" s="36"/>
      <c r="K113" s="29"/>
      <c r="L113" s="36"/>
    </row>
    <row r="114" spans="1:12">
      <c r="A114" s="168">
        <f t="shared" si="6"/>
        <v>26</v>
      </c>
      <c r="B114" s="25"/>
      <c r="C114" s="36" t="s">
        <v>51</v>
      </c>
      <c r="D114" s="215" t="str">
        <f>+'Attachment H'!$B$2&amp;", Page 3, Line "&amp;'Attachment H'!A156</f>
        <v>Attachment H, Page 3, Line 33</v>
      </c>
      <c r="E114" s="224">
        <f>+'Attachment H'!D156</f>
        <v>0.29663005855211477</v>
      </c>
      <c r="F114" s="29"/>
      <c r="G114" s="36"/>
      <c r="H114" s="38"/>
      <c r="I114" s="29"/>
      <c r="J114" s="36"/>
      <c r="K114" s="29"/>
      <c r="L114" s="36"/>
    </row>
    <row r="115" spans="1:12">
      <c r="A115" s="168">
        <f t="shared" si="6"/>
        <v>27</v>
      </c>
      <c r="B115" s="25"/>
      <c r="C115" s="40" t="s">
        <v>368</v>
      </c>
      <c r="D115" s="215" t="str">
        <f>+'Attachment H'!$B$2&amp;", Page 3, Line "&amp;'Attachment H'!A157</f>
        <v>Attachment H, Page 3, Line 34</v>
      </c>
      <c r="E115" s="29"/>
      <c r="F115" s="29"/>
      <c r="G115" s="36"/>
      <c r="H115" s="38"/>
      <c r="I115" s="29"/>
      <c r="J115" s="36"/>
      <c r="K115" s="29"/>
      <c r="L115" s="36"/>
    </row>
    <row r="116" spans="1:12">
      <c r="A116" s="168">
        <f t="shared" si="6"/>
        <v>28</v>
      </c>
      <c r="B116" s="25"/>
      <c r="C116" s="40"/>
      <c r="D116" s="689"/>
      <c r="E116" s="224"/>
      <c r="F116" s="29"/>
      <c r="G116" s="36"/>
      <c r="H116" s="38"/>
      <c r="I116" s="29"/>
      <c r="J116" s="36"/>
      <c r="K116" s="29"/>
      <c r="L116" s="36"/>
    </row>
    <row r="117" spans="1:12">
      <c r="A117" s="168">
        <f t="shared" si="6"/>
        <v>29</v>
      </c>
      <c r="B117" s="25"/>
      <c r="C117" s="41" t="str">
        <f>"      1 / (1 - T) =      (T from line "&amp;A113&amp;")"</f>
        <v xml:space="preserve">      1 / (1 - T) =      (T from line 25)</v>
      </c>
      <c r="D117" s="37"/>
      <c r="E117" s="224">
        <f>+'Attachment H'!D159</f>
        <v>1.3430705566263694</v>
      </c>
      <c r="F117" s="29"/>
      <c r="G117" s="36"/>
      <c r="H117" s="38"/>
      <c r="I117" s="29"/>
      <c r="J117" s="18"/>
      <c r="K117" s="29"/>
      <c r="L117" s="36"/>
    </row>
    <row r="118" spans="1:12">
      <c r="A118" s="168">
        <f t="shared" si="6"/>
        <v>30</v>
      </c>
      <c r="B118" s="25"/>
      <c r="C118" s="40" t="s">
        <v>363</v>
      </c>
      <c r="D118" s="215" t="str">
        <f>+'Attachment H'!$B$2&amp;", Page 3, Line "&amp;'Attachment H'!A160</f>
        <v>Attachment H, Page 3, Line 37</v>
      </c>
      <c r="E118" s="454">
        <f>+'Attachment H'!D160</f>
        <v>0</v>
      </c>
      <c r="F118" s="29"/>
      <c r="G118" s="36"/>
      <c r="H118" s="38"/>
      <c r="I118" s="29"/>
      <c r="J118" s="18"/>
      <c r="K118" s="29"/>
      <c r="L118" s="36"/>
    </row>
    <row r="119" spans="1:12">
      <c r="A119" s="168">
        <f t="shared" si="6"/>
        <v>31</v>
      </c>
      <c r="B119" s="25"/>
      <c r="C119" s="40" t="s">
        <v>984</v>
      </c>
      <c r="D119" s="215" t="str">
        <f>+'Attachment H'!$B$2&amp;", Page 3, Line "&amp;'Attachment H'!A161</f>
        <v>Attachment H, Page 3, Line 38</v>
      </c>
      <c r="E119" s="444">
        <f>+'Attachment H'!D161</f>
        <v>0</v>
      </c>
      <c r="F119" s="29"/>
      <c r="G119" s="36"/>
      <c r="H119" s="42"/>
      <c r="I119" s="29"/>
      <c r="J119" s="18"/>
      <c r="K119" s="29"/>
      <c r="L119" s="36"/>
    </row>
    <row r="120" spans="1:12">
      <c r="A120" s="168">
        <f t="shared" si="6"/>
        <v>32</v>
      </c>
      <c r="B120" s="25"/>
      <c r="C120" s="40" t="s">
        <v>469</v>
      </c>
      <c r="D120" s="215" t="str">
        <f>+'Attachment H'!$B$2&amp;", Page 3, Line "&amp;'Attachment H'!A162</f>
        <v>Attachment H, Page 3, Line 39</v>
      </c>
      <c r="E120" s="444">
        <f>+'Attachment H'!D162</f>
        <v>-450071.28625118005</v>
      </c>
      <c r="F120" s="29"/>
      <c r="G120" s="36"/>
      <c r="H120" s="38"/>
      <c r="I120" s="29"/>
      <c r="J120" s="18"/>
      <c r="K120" s="29"/>
      <c r="L120" s="36"/>
    </row>
    <row r="121" spans="1:12">
      <c r="A121" s="168">
        <f t="shared" si="6"/>
        <v>33</v>
      </c>
      <c r="B121" s="25"/>
      <c r="C121" s="41" t="s">
        <v>364</v>
      </c>
      <c r="D121" s="43" t="s">
        <v>1128</v>
      </c>
      <c r="E121" s="444">
        <f>+E114*E128</f>
        <v>1750754.3657982696</v>
      </c>
      <c r="F121" s="44"/>
      <c r="G121" s="44" t="s">
        <v>30</v>
      </c>
      <c r="H121" s="45"/>
      <c r="I121" s="44"/>
      <c r="J121" s="444">
        <f>+E114*E116*J128</f>
        <v>0</v>
      </c>
      <c r="K121" s="29"/>
      <c r="L121" s="163" t="s">
        <v>10</v>
      </c>
    </row>
    <row r="122" spans="1:12">
      <c r="A122" s="168">
        <f t="shared" si="6"/>
        <v>34</v>
      </c>
      <c r="B122" s="25"/>
      <c r="C122" s="34" t="s">
        <v>365</v>
      </c>
      <c r="D122" s="43" t="s">
        <v>817</v>
      </c>
      <c r="E122" s="444">
        <f>+E$117*E118</f>
        <v>0</v>
      </c>
      <c r="F122" s="44"/>
      <c r="G122" s="46" t="s">
        <v>36</v>
      </c>
      <c r="H122" s="27">
        <f>H51</f>
        <v>0</v>
      </c>
      <c r="I122" s="44"/>
      <c r="J122" s="444">
        <f>+H122*E122</f>
        <v>0</v>
      </c>
      <c r="K122" s="29"/>
      <c r="L122" s="163"/>
    </row>
    <row r="123" spans="1:12">
      <c r="A123" s="168">
        <f t="shared" si="6"/>
        <v>35</v>
      </c>
      <c r="B123" s="25"/>
      <c r="C123" s="34" t="s">
        <v>986</v>
      </c>
      <c r="D123" s="43" t="s">
        <v>818</v>
      </c>
      <c r="E123" s="444">
        <f>+E$117*E119</f>
        <v>0</v>
      </c>
      <c r="F123" s="44"/>
      <c r="G123" s="46" t="s">
        <v>36</v>
      </c>
      <c r="H123" s="27">
        <f>H122</f>
        <v>0</v>
      </c>
      <c r="I123" s="44"/>
      <c r="J123" s="444">
        <f>+H123*E123</f>
        <v>0</v>
      </c>
      <c r="K123" s="29"/>
      <c r="L123" s="163"/>
    </row>
    <row r="124" spans="1:12" ht="15.6" thickBot="1">
      <c r="A124" s="168">
        <f t="shared" si="6"/>
        <v>36</v>
      </c>
      <c r="B124" s="25"/>
      <c r="C124" s="34" t="s">
        <v>188</v>
      </c>
      <c r="D124" s="43" t="s">
        <v>819</v>
      </c>
      <c r="E124" s="444">
        <f>E120*E117</f>
        <v>-604477.49294691847</v>
      </c>
      <c r="F124" s="44"/>
      <c r="G124" s="46" t="s">
        <v>36</v>
      </c>
      <c r="H124" s="27">
        <f>H123</f>
        <v>0</v>
      </c>
      <c r="I124" s="44"/>
      <c r="J124" s="445">
        <f>+H124*E124</f>
        <v>0</v>
      </c>
      <c r="K124" s="29"/>
      <c r="L124" s="163"/>
    </row>
    <row r="125" spans="1:12">
      <c r="A125" s="168">
        <f t="shared" si="6"/>
        <v>37</v>
      </c>
      <c r="B125" s="25"/>
      <c r="C125" s="48" t="s">
        <v>366</v>
      </c>
      <c r="D125" s="34" t="s">
        <v>820</v>
      </c>
      <c r="E125" s="444">
        <f>SUM(E121:E124)</f>
        <v>1146276.8728513513</v>
      </c>
      <c r="F125" s="44"/>
      <c r="G125" s="44" t="s">
        <v>10</v>
      </c>
      <c r="H125" s="45" t="s">
        <v>10</v>
      </c>
      <c r="I125" s="44"/>
      <c r="J125" s="229">
        <f>SUM(J121:J124)</f>
        <v>0</v>
      </c>
      <c r="K125" s="29"/>
      <c r="L125" s="29"/>
    </row>
    <row r="126" spans="1:12">
      <c r="A126" s="168"/>
      <c r="B126" s="25"/>
      <c r="C126" s="36"/>
      <c r="D126" s="230"/>
      <c r="E126" s="18"/>
      <c r="F126" s="29"/>
      <c r="G126" s="29"/>
      <c r="H126" s="164"/>
      <c r="I126" s="29"/>
      <c r="J126" s="18"/>
      <c r="K126" s="29"/>
      <c r="L126" s="29"/>
    </row>
    <row r="127" spans="1:12">
      <c r="A127" s="168">
        <f>+A125+1</f>
        <v>38</v>
      </c>
      <c r="B127" s="25"/>
      <c r="C127" s="31" t="s">
        <v>53</v>
      </c>
      <c r="D127" s="689"/>
      <c r="E127" s="689"/>
      <c r="F127" s="689"/>
      <c r="G127" s="689"/>
      <c r="H127" s="689"/>
      <c r="I127" s="689"/>
      <c r="J127" s="689"/>
      <c r="K127" s="29"/>
      <c r="L127" s="36"/>
    </row>
    <row r="128" spans="1:12">
      <c r="A128" s="168">
        <f t="shared" si="6"/>
        <v>39</v>
      </c>
      <c r="B128" s="25"/>
      <c r="C128" s="232" t="s">
        <v>487</v>
      </c>
      <c r="D128" s="39" t="s">
        <v>982</v>
      </c>
      <c r="E128" s="18">
        <f>+$J164*E73</f>
        <v>5902147.5245762412</v>
      </c>
      <c r="F128" s="44"/>
      <c r="G128" s="44" t="s">
        <v>30</v>
      </c>
      <c r="H128" s="231"/>
      <c r="I128" s="44"/>
      <c r="J128" s="18">
        <f>+$J164*J73</f>
        <v>-88603.998260620559</v>
      </c>
      <c r="K128" s="689"/>
      <c r="L128" s="203"/>
    </row>
    <row r="129" spans="1:15">
      <c r="A129" s="168"/>
      <c r="B129" s="25"/>
      <c r="C129" s="31"/>
      <c r="D129" s="36"/>
      <c r="E129" s="42"/>
      <c r="F129" s="44"/>
      <c r="G129" s="44"/>
      <c r="H129" s="231"/>
      <c r="I129" s="44"/>
      <c r="J129" s="42"/>
      <c r="K129" s="29"/>
      <c r="L129" s="203"/>
    </row>
    <row r="130" spans="1:15" ht="15.6" thickBot="1">
      <c r="A130" s="168">
        <f>+A128+1</f>
        <v>40</v>
      </c>
      <c r="B130" s="25"/>
      <c r="C130" s="31" t="s">
        <v>371</v>
      </c>
      <c r="D130" s="29" t="s">
        <v>983</v>
      </c>
      <c r="E130" s="233">
        <f>+E128+E125+E110+E99+E93</f>
        <v>13129095.173029963</v>
      </c>
      <c r="F130" s="44"/>
      <c r="G130" s="44"/>
      <c r="H130" s="219"/>
      <c r="I130" s="44"/>
      <c r="J130" s="233">
        <f>+J128+J125+J110+J99+J93</f>
        <v>-88603.998260620559</v>
      </c>
      <c r="K130" s="151"/>
      <c r="L130" s="151"/>
    </row>
    <row r="131" spans="1:15" ht="15.6" thickTop="1">
      <c r="A131" s="168"/>
      <c r="B131" s="25"/>
      <c r="C131" s="31"/>
      <c r="D131" s="29"/>
      <c r="E131" s="219"/>
      <c r="F131" s="44"/>
      <c r="G131" s="44"/>
      <c r="H131" s="219"/>
      <c r="I131" s="44"/>
      <c r="J131" s="42"/>
      <c r="K131" s="151"/>
      <c r="L131" s="151"/>
    </row>
    <row r="132" spans="1:15">
      <c r="A132" s="168"/>
      <c r="B132" s="25"/>
      <c r="C132" s="234"/>
      <c r="D132" s="44"/>
      <c r="E132" s="235"/>
      <c r="F132" s="235"/>
      <c r="G132" s="235"/>
      <c r="H132" s="235"/>
      <c r="I132" s="235"/>
      <c r="J132" s="235"/>
      <c r="K132" s="151"/>
      <c r="L132" s="151"/>
    </row>
    <row r="133" spans="1:15">
      <c r="A133" s="145"/>
      <c r="B133" s="25"/>
      <c r="C133" s="36"/>
      <c r="D133" s="36"/>
      <c r="E133" s="36"/>
      <c r="F133" s="36"/>
      <c r="G133" s="36"/>
      <c r="H133" s="36"/>
      <c r="I133" s="36"/>
      <c r="J133" s="36"/>
      <c r="K133" s="29"/>
      <c r="O133" s="220" t="s">
        <v>920</v>
      </c>
    </row>
    <row r="134" spans="1:15">
      <c r="A134" s="145"/>
      <c r="B134" s="25"/>
      <c r="C134" s="36"/>
      <c r="D134" s="36"/>
      <c r="E134" s="36"/>
      <c r="F134" s="36"/>
      <c r="G134" s="36"/>
      <c r="H134" s="36"/>
      <c r="I134" s="36"/>
      <c r="J134" s="36"/>
      <c r="K134" s="29"/>
      <c r="L134" s="29"/>
    </row>
    <row r="135" spans="1:15">
      <c r="A135" s="145"/>
      <c r="B135" s="25"/>
      <c r="C135" s="31" t="s">
        <v>9</v>
      </c>
      <c r="D135" s="36"/>
      <c r="E135" s="688"/>
      <c r="F135" s="36"/>
      <c r="G135" s="760" t="s">
        <v>788</v>
      </c>
      <c r="H135" s="36"/>
      <c r="I135" s="36"/>
      <c r="J135" s="143"/>
      <c r="K135" s="29"/>
      <c r="L135" s="236"/>
    </row>
    <row r="136" spans="1:15">
      <c r="A136" s="145"/>
      <c r="B136" s="25"/>
      <c r="C136" s="31"/>
      <c r="D136" s="36"/>
      <c r="E136" s="688"/>
      <c r="F136" s="36"/>
      <c r="G136" s="760" t="s">
        <v>789</v>
      </c>
      <c r="H136" s="36"/>
      <c r="I136" s="36"/>
      <c r="J136" s="36"/>
      <c r="K136" s="29"/>
      <c r="L136" s="29"/>
    </row>
    <row r="137" spans="1:15">
      <c r="A137" s="145"/>
      <c r="B137" s="25"/>
      <c r="C137" s="36"/>
      <c r="D137" s="36"/>
      <c r="E137" s="688"/>
      <c r="F137" s="36"/>
      <c r="G137" s="760" t="s">
        <v>862</v>
      </c>
      <c r="H137" s="36"/>
      <c r="I137" s="36"/>
      <c r="J137" s="36"/>
      <c r="K137" s="29"/>
      <c r="L137" s="29"/>
    </row>
    <row r="138" spans="1:15">
      <c r="A138" s="692"/>
      <c r="B138" s="25"/>
      <c r="C138" s="692"/>
      <c r="D138" s="692"/>
      <c r="E138" s="692"/>
      <c r="F138" s="692"/>
      <c r="G138" s="692"/>
      <c r="H138" s="692"/>
      <c r="I138" s="692"/>
      <c r="J138" s="692"/>
      <c r="K138" s="692"/>
      <c r="L138" s="692"/>
    </row>
    <row r="139" spans="1:15">
      <c r="A139" s="237"/>
      <c r="B139" s="25"/>
      <c r="C139" s="155" t="s">
        <v>11</v>
      </c>
      <c r="D139" s="155" t="s">
        <v>12</v>
      </c>
      <c r="E139" s="155" t="s">
        <v>13</v>
      </c>
      <c r="F139" s="29" t="s">
        <v>10</v>
      </c>
      <c r="G139" s="29"/>
      <c r="H139" s="154" t="s">
        <v>14</v>
      </c>
      <c r="I139" s="29"/>
      <c r="J139" s="154" t="s">
        <v>15</v>
      </c>
      <c r="K139" s="126"/>
      <c r="L139" s="126"/>
    </row>
    <row r="140" spans="1:15">
      <c r="A140" s="145"/>
      <c r="B140" s="25"/>
      <c r="C140" s="36"/>
      <c r="D140" s="31"/>
      <c r="E140" s="31"/>
      <c r="F140" s="31"/>
      <c r="G140" s="31"/>
      <c r="H140" s="31"/>
      <c r="I140" s="31"/>
      <c r="J140" s="31"/>
      <c r="K140" s="31"/>
      <c r="L140" s="31"/>
    </row>
    <row r="141" spans="1:15">
      <c r="A141" s="145"/>
      <c r="B141" s="25"/>
      <c r="C141" s="36"/>
      <c r="D141" s="198" t="s">
        <v>54</v>
      </c>
      <c r="E141" s="36"/>
      <c r="F141" s="151"/>
      <c r="G141" s="151"/>
      <c r="H141" s="151"/>
      <c r="I141" s="151"/>
      <c r="J141" s="151"/>
      <c r="K141" s="29"/>
      <c r="L141" s="29"/>
    </row>
    <row r="142" spans="1:15">
      <c r="A142" s="145" t="s">
        <v>16</v>
      </c>
      <c r="B142" s="25"/>
      <c r="C142" s="198"/>
      <c r="D142" s="151"/>
      <c r="E142" s="151"/>
      <c r="F142" s="151"/>
      <c r="G142" s="151"/>
      <c r="H142" s="151"/>
      <c r="I142" s="151"/>
      <c r="J142" s="151"/>
      <c r="K142" s="29"/>
      <c r="L142" s="29"/>
    </row>
    <row r="143" spans="1:15" ht="15.6" thickBot="1">
      <c r="A143" s="33" t="s">
        <v>18</v>
      </c>
      <c r="B143" s="25"/>
      <c r="C143" s="181"/>
      <c r="D143" s="173"/>
      <c r="E143" s="173"/>
      <c r="F143" s="173"/>
      <c r="G143" s="173"/>
      <c r="H143" s="173"/>
      <c r="I143" s="178"/>
      <c r="J143" s="178"/>
      <c r="K143" s="37"/>
      <c r="L143" s="29"/>
    </row>
    <row r="144" spans="1:15">
      <c r="A144" s="145">
        <v>1</v>
      </c>
      <c r="B144" s="25"/>
      <c r="C144" s="31" t="s">
        <v>190</v>
      </c>
      <c r="D144" s="29"/>
      <c r="E144" s="29"/>
      <c r="F144" s="29"/>
      <c r="G144" s="29"/>
      <c r="H144" s="29"/>
      <c r="I144" s="29"/>
      <c r="J144" s="29"/>
      <c r="K144" s="29"/>
      <c r="L144" s="29"/>
    </row>
    <row r="145" spans="1:12" ht="15.6" thickBot="1">
      <c r="A145" s="145"/>
      <c r="B145" s="25"/>
      <c r="C145" s="31"/>
      <c r="D145" s="245" t="s">
        <v>57</v>
      </c>
      <c r="E145" s="695" t="s">
        <v>58</v>
      </c>
      <c r="F145" s="30" t="s">
        <v>801</v>
      </c>
      <c r="G145" s="29"/>
      <c r="H145" s="30" t="s">
        <v>59</v>
      </c>
      <c r="I145" s="29"/>
      <c r="J145" s="29"/>
      <c r="K145" s="29"/>
      <c r="L145" s="29"/>
    </row>
    <row r="146" spans="1:12">
      <c r="A146" s="145">
        <f>+A144+1</f>
        <v>2</v>
      </c>
      <c r="B146" s="25"/>
      <c r="C146" s="31" t="s">
        <v>420</v>
      </c>
      <c r="D146" s="215" t="str">
        <f>+'Attachment H'!$B$2&amp;", Page 4, Line "&amp;'Attachment H'!A195</f>
        <v>Attachment H, Page 4, Line 7</v>
      </c>
      <c r="E146" s="214">
        <f>+'Attachment H'!D195</f>
        <v>0</v>
      </c>
      <c r="F146" s="246">
        <v>0</v>
      </c>
      <c r="G146" s="247"/>
      <c r="H146" s="18">
        <f>E146*F146</f>
        <v>0</v>
      </c>
      <c r="I146" s="44"/>
      <c r="J146" s="44"/>
      <c r="K146" s="29"/>
      <c r="L146" s="29"/>
    </row>
    <row r="147" spans="1:12">
      <c r="A147" s="145">
        <f>+A146+1</f>
        <v>3</v>
      </c>
      <c r="B147" s="25"/>
      <c r="C147" s="31" t="s">
        <v>31</v>
      </c>
      <c r="D147" s="215" t="str">
        <f>+'Attachment H'!$B$2&amp;", Page 4, Line "&amp;'Attachment H'!A196</f>
        <v>Attachment H, Page 4, Line 8</v>
      </c>
      <c r="E147" s="214">
        <f>+'Attachment H'!D196</f>
        <v>1</v>
      </c>
      <c r="F147" s="246">
        <v>0</v>
      </c>
      <c r="G147" s="247"/>
      <c r="H147" s="18">
        <f>E147*F147</f>
        <v>0</v>
      </c>
      <c r="I147" s="44"/>
      <c r="J147" s="44"/>
      <c r="K147" s="29"/>
      <c r="L147" s="29"/>
    </row>
    <row r="148" spans="1:12">
      <c r="A148" s="145">
        <f>+A147+1</f>
        <v>4</v>
      </c>
      <c r="B148" s="25"/>
      <c r="C148" s="31" t="s">
        <v>421</v>
      </c>
      <c r="D148" s="215" t="str">
        <f>+'Attachment H'!$B$2&amp;", Page 4, Line "&amp;'Attachment H'!A197</f>
        <v>Attachment H, Page 4, Line 9</v>
      </c>
      <c r="E148" s="214">
        <f>+'Attachment H'!D197</f>
        <v>0</v>
      </c>
      <c r="F148" s="27">
        <v>1</v>
      </c>
      <c r="G148" s="247"/>
      <c r="H148" s="18">
        <f>E148*F148</f>
        <v>0</v>
      </c>
      <c r="I148" s="44"/>
      <c r="J148" s="248" t="s">
        <v>61</v>
      </c>
      <c r="K148" s="29"/>
      <c r="L148" s="29"/>
    </row>
    <row r="149" spans="1:12" ht="15.6" thickBot="1">
      <c r="A149" s="145">
        <f>+A148+1</f>
        <v>5</v>
      </c>
      <c r="B149" s="25"/>
      <c r="C149" s="31" t="s">
        <v>62</v>
      </c>
      <c r="D149" s="215" t="str">
        <f>+'Attachment H'!$B$2&amp;", Page 4, Line "&amp;'Attachment H'!A198</f>
        <v>Attachment H, Page 4, Line 10</v>
      </c>
      <c r="E149" s="226">
        <f>+'Attachment H'!D198</f>
        <v>0</v>
      </c>
      <c r="F149" s="246">
        <v>0</v>
      </c>
      <c r="G149" s="247"/>
      <c r="H149" s="201">
        <f>E149*F149</f>
        <v>0</v>
      </c>
      <c r="I149" s="44"/>
      <c r="J149" s="249" t="s">
        <v>63</v>
      </c>
      <c r="K149" s="29"/>
      <c r="L149" s="29"/>
    </row>
    <row r="150" spans="1:12">
      <c r="A150" s="145">
        <f>+A149+1</f>
        <v>6</v>
      </c>
      <c r="B150" s="25"/>
      <c r="C150" s="40" t="s">
        <v>713</v>
      </c>
      <c r="D150" s="37" t="s">
        <v>800</v>
      </c>
      <c r="E150" s="214">
        <f>SUM(E146:E149)</f>
        <v>1</v>
      </c>
      <c r="F150" s="29"/>
      <c r="G150" s="29"/>
      <c r="H150" s="18">
        <f>SUM(H146:H149)</f>
        <v>0</v>
      </c>
      <c r="I150" s="250" t="s">
        <v>64</v>
      </c>
      <c r="J150" s="206">
        <f>IF(H150&gt;0,H150/E150,0)</f>
        <v>0</v>
      </c>
      <c r="K150" s="32" t="s">
        <v>64</v>
      </c>
      <c r="L150" s="29" t="s">
        <v>65</v>
      </c>
    </row>
    <row r="151" spans="1:12">
      <c r="B151" s="25"/>
      <c r="C151" s="31" t="s">
        <v>10</v>
      </c>
      <c r="D151" s="29" t="s">
        <v>10</v>
      </c>
      <c r="E151" s="36"/>
      <c r="F151" s="29"/>
      <c r="G151" s="29"/>
      <c r="H151" s="36"/>
      <c r="I151" s="36"/>
      <c r="J151" s="36"/>
      <c r="K151" s="36"/>
      <c r="L151" s="29"/>
    </row>
    <row r="152" spans="1:12">
      <c r="A152" s="145"/>
      <c r="B152" s="25"/>
      <c r="C152" s="40" t="s">
        <v>940</v>
      </c>
      <c r="D152" s="29"/>
      <c r="E152" s="194" t="s">
        <v>58</v>
      </c>
      <c r="F152" s="29"/>
      <c r="G152" s="29"/>
      <c r="H152" s="32" t="s">
        <v>191</v>
      </c>
      <c r="I152" s="38"/>
      <c r="J152" s="203" t="s">
        <v>61</v>
      </c>
      <c r="K152" s="29"/>
      <c r="L152" s="29"/>
    </row>
    <row r="153" spans="1:12">
      <c r="A153" s="145">
        <f>+A150+1</f>
        <v>7</v>
      </c>
      <c r="B153" s="25"/>
      <c r="C153" s="31" t="s">
        <v>450</v>
      </c>
      <c r="D153" s="215" t="str">
        <f>+'Attachment H'!$B$2&amp;", Page 4, Line "&amp;'Attachment H'!A202</f>
        <v>Attachment H, Page 4, Line 13</v>
      </c>
      <c r="E153" s="214">
        <f>'Attachment H'!D202</f>
        <v>82987805.02376394</v>
      </c>
      <c r="F153" s="29"/>
      <c r="G153" s="36"/>
      <c r="H153" s="145" t="s">
        <v>802</v>
      </c>
      <c r="I153" s="251"/>
      <c r="J153" s="145" t="s">
        <v>803</v>
      </c>
      <c r="K153" s="29"/>
      <c r="L153" s="155" t="s">
        <v>183</v>
      </c>
    </row>
    <row r="154" spans="1:12">
      <c r="A154" s="145">
        <f>+A153+1</f>
        <v>8</v>
      </c>
      <c r="B154" s="25"/>
      <c r="C154" s="31" t="s">
        <v>451</v>
      </c>
      <c r="D154" s="215" t="str">
        <f>+'Attachment H'!$B$2&amp;", Page 4, Line "&amp;'Attachment H'!A203</f>
        <v>Attachment H, Page 4, Line 14</v>
      </c>
      <c r="E154" s="214">
        <f>'Attachment H'!D203</f>
        <v>0</v>
      </c>
      <c r="F154" s="29"/>
      <c r="G154" s="36"/>
      <c r="H154" s="206">
        <f>IF(E156&gt;0,E153/E156,0)</f>
        <v>1</v>
      </c>
      <c r="I154" s="252" t="s">
        <v>170</v>
      </c>
      <c r="J154" s="206">
        <f>J150</f>
        <v>0</v>
      </c>
      <c r="K154" s="252" t="s">
        <v>64</v>
      </c>
      <c r="L154" s="206">
        <f>J154*H154</f>
        <v>0</v>
      </c>
    </row>
    <row r="155" spans="1:12" ht="15.6" thickBot="1">
      <c r="A155" s="145">
        <f>+A154+1</f>
        <v>9</v>
      </c>
      <c r="B155" s="25"/>
      <c r="C155" s="253" t="s">
        <v>452</v>
      </c>
      <c r="D155" s="694" t="str">
        <f>+'Attachment H'!$B$2&amp;", Page 4, Line "&amp;'Attachment H'!A204</f>
        <v>Attachment H, Page 4, Line 15</v>
      </c>
      <c r="E155" s="226">
        <f>'Attachment H'!D204</f>
        <v>0</v>
      </c>
      <c r="F155" s="29"/>
      <c r="G155" s="29"/>
      <c r="H155" s="29" t="s">
        <v>10</v>
      </c>
      <c r="I155" s="29"/>
      <c r="J155" s="29"/>
      <c r="K155" s="29"/>
      <c r="L155" s="29"/>
    </row>
    <row r="156" spans="1:12">
      <c r="A156" s="145">
        <f>+A155+1</f>
        <v>10</v>
      </c>
      <c r="B156" s="25"/>
      <c r="C156" s="31" t="s">
        <v>453</v>
      </c>
      <c r="D156" s="37" t="s">
        <v>799</v>
      </c>
      <c r="E156" s="18">
        <f>E153+E154+E155</f>
        <v>82987805.02376394</v>
      </c>
      <c r="F156" s="29"/>
      <c r="G156" s="29"/>
      <c r="H156" s="29"/>
      <c r="I156" s="29"/>
      <c r="J156" s="29"/>
      <c r="K156" s="29"/>
      <c r="L156" s="29"/>
    </row>
    <row r="157" spans="1:12">
      <c r="A157" s="145">
        <f>+A156+1</f>
        <v>11</v>
      </c>
      <c r="B157" s="25"/>
      <c r="C157" s="31"/>
      <c r="D157" s="29"/>
      <c r="E157" s="36"/>
      <c r="F157" s="29"/>
      <c r="G157" s="29"/>
      <c r="H157" s="29"/>
      <c r="I157" s="29"/>
      <c r="J157" s="29"/>
      <c r="K157" s="29"/>
      <c r="L157" s="29"/>
    </row>
    <row r="158" spans="1:12" ht="15.6" thickBot="1">
      <c r="A158" s="145"/>
      <c r="B158" s="25"/>
      <c r="C158" s="28" t="s">
        <v>66</v>
      </c>
      <c r="D158" s="29"/>
      <c r="E158" s="29"/>
      <c r="F158" s="29"/>
      <c r="G158" s="29"/>
      <c r="H158" s="29"/>
      <c r="I158" s="29"/>
      <c r="J158" s="30" t="s">
        <v>58</v>
      </c>
      <c r="K158" s="29"/>
      <c r="L158" s="29"/>
    </row>
    <row r="159" spans="1:12">
      <c r="A159" s="145">
        <f>+A157+1</f>
        <v>12</v>
      </c>
      <c r="B159" s="25"/>
      <c r="C159" s="31"/>
      <c r="D159" s="29"/>
      <c r="E159" s="29"/>
      <c r="F159" s="29"/>
      <c r="G159" s="29"/>
      <c r="I159" s="29"/>
      <c r="J159" s="29"/>
      <c r="K159" s="29"/>
      <c r="L159" s="29"/>
    </row>
    <row r="160" spans="1:12" ht="15.6" thickBot="1">
      <c r="A160" s="145">
        <f>+A159+1</f>
        <v>13</v>
      </c>
      <c r="B160" s="25"/>
      <c r="C160" s="31"/>
      <c r="D160" s="29"/>
      <c r="E160" s="33" t="s">
        <v>58</v>
      </c>
      <c r="G160" s="33" t="s">
        <v>68</v>
      </c>
      <c r="H160" s="30" t="s">
        <v>67</v>
      </c>
      <c r="I160" s="29"/>
      <c r="J160" s="33" t="s">
        <v>69</v>
      </c>
      <c r="K160" s="29"/>
      <c r="L160" s="29"/>
    </row>
    <row r="161" spans="1:14">
      <c r="A161" s="145">
        <f>+A160+1</f>
        <v>14</v>
      </c>
      <c r="B161" s="25"/>
      <c r="C161" s="28" t="s">
        <v>358</v>
      </c>
      <c r="D161" s="215" t="str">
        <f>+'Attachment H'!$B$2&amp;", Page 4, Line "&amp;'Attachment H'!A210</f>
        <v>Attachment H, Page 4, Line 20</v>
      </c>
      <c r="E161" s="214">
        <f>+'Attachment H'!D210</f>
        <v>52100000</v>
      </c>
      <c r="F161" s="618"/>
      <c r="G161" s="161">
        <f>+'Attachment H'!E210</f>
        <v>0.4</v>
      </c>
      <c r="H161" s="161">
        <f>+'Attachment H'!G210</f>
        <v>2.4188570057581574E-2</v>
      </c>
      <c r="I161" s="161"/>
      <c r="J161" s="161">
        <f>+'Attachment H'!I210</f>
        <v>9.6754280230326312E-3</v>
      </c>
      <c r="K161" s="256" t="s">
        <v>70</v>
      </c>
      <c r="L161" s="36"/>
    </row>
    <row r="162" spans="1:14">
      <c r="A162" s="145">
        <f>+A161+1</f>
        <v>15</v>
      </c>
      <c r="B162" s="25"/>
      <c r="C162" s="28" t="s">
        <v>193</v>
      </c>
      <c r="D162" s="215" t="str">
        <f>+'Attachment H'!$B$2&amp;", Page 4, Line "&amp;'Attachment H'!A211</f>
        <v>Attachment H, Page 4, Line 21</v>
      </c>
      <c r="E162" s="214">
        <f>+'Attachment H'!D211</f>
        <v>0</v>
      </c>
      <c r="F162" s="618"/>
      <c r="G162" s="161">
        <f>+'Attachment H'!E211</f>
        <v>0</v>
      </c>
      <c r="H162" s="161">
        <f>+'Attachment H'!G211</f>
        <v>0</v>
      </c>
      <c r="I162" s="161"/>
      <c r="J162" s="161">
        <f>+'Attachment H'!I211</f>
        <v>0</v>
      </c>
      <c r="K162" s="29"/>
      <c r="L162" s="36"/>
    </row>
    <row r="163" spans="1:14" ht="15.6" thickBot="1">
      <c r="A163" s="145">
        <f>+A162+1</f>
        <v>16</v>
      </c>
      <c r="B163" s="25"/>
      <c r="C163" s="28" t="s">
        <v>466</v>
      </c>
      <c r="D163" s="215" t="str">
        <f>+'Attachment H'!$B$2&amp;", Page 4, Line "&amp;'Attachment H'!A212</f>
        <v>Attachment H, Page 4, Line 22</v>
      </c>
      <c r="E163" s="226">
        <f>+'Attachment H'!D212</f>
        <v>154360896</v>
      </c>
      <c r="F163" s="618"/>
      <c r="G163" s="161">
        <f>+'Attachment H'!E212</f>
        <v>0.6</v>
      </c>
      <c r="H163" s="681">
        <f>+'Attachment H'!G212</f>
        <v>0.10299999999999999</v>
      </c>
      <c r="I163" s="161"/>
      <c r="J163" s="161">
        <f>+'Attachment H'!I212</f>
        <v>6.1799999999999994E-2</v>
      </c>
      <c r="K163" s="29"/>
      <c r="L163" s="36"/>
    </row>
    <row r="164" spans="1:14">
      <c r="A164" s="145">
        <v>17</v>
      </c>
      <c r="B164" s="25"/>
      <c r="C164" s="31" t="s">
        <v>346</v>
      </c>
      <c r="D164" s="36" t="s">
        <v>798</v>
      </c>
      <c r="E164" s="257">
        <f>SUM(E161:E163)</f>
        <v>206460896</v>
      </c>
      <c r="F164" s="37" t="s">
        <v>10</v>
      </c>
      <c r="G164" s="161"/>
      <c r="H164" s="161"/>
      <c r="I164" s="161"/>
      <c r="J164" s="161">
        <f>SUM(J161:J163)</f>
        <v>7.1475428023032625E-2</v>
      </c>
      <c r="K164" s="256" t="s">
        <v>71</v>
      </c>
      <c r="L164" s="36"/>
    </row>
    <row r="165" spans="1:14">
      <c r="A165" s="177"/>
      <c r="B165" s="25"/>
      <c r="C165" s="693"/>
      <c r="D165" s="693"/>
      <c r="E165" s="693"/>
      <c r="F165" s="693"/>
      <c r="G165" s="54"/>
      <c r="H165" s="54"/>
      <c r="I165" s="54"/>
      <c r="J165" s="54"/>
      <c r="K165" s="505"/>
      <c r="L165" s="772"/>
      <c r="M165" s="772"/>
      <c r="N165" s="772"/>
    </row>
    <row r="166" spans="1:14">
      <c r="A166" s="177"/>
      <c r="B166" s="25"/>
      <c r="C166" s="505"/>
      <c r="D166" s="505"/>
      <c r="E166" s="505"/>
      <c r="F166" s="505"/>
      <c r="G166" s="505"/>
      <c r="H166" s="772"/>
      <c r="I166" s="505"/>
      <c r="L166" s="772"/>
      <c r="M166" s="772"/>
      <c r="N166" s="772"/>
    </row>
    <row r="167" spans="1:14">
      <c r="A167" s="177"/>
      <c r="B167" s="25"/>
      <c r="C167" s="505"/>
      <c r="D167" s="505"/>
      <c r="E167" s="505"/>
      <c r="F167" s="505"/>
      <c r="G167" s="810" t="s">
        <v>19</v>
      </c>
      <c r="H167" s="772"/>
      <c r="I167" s="772"/>
      <c r="J167" s="505" t="s">
        <v>821</v>
      </c>
      <c r="K167" s="505" t="s">
        <v>823</v>
      </c>
      <c r="L167" s="772"/>
      <c r="M167" s="772"/>
      <c r="N167" s="772"/>
    </row>
    <row r="168" spans="1:14">
      <c r="A168" s="177"/>
      <c r="B168" s="25"/>
      <c r="C168" s="505"/>
      <c r="E168" s="505"/>
      <c r="F168" s="505"/>
      <c r="G168" s="779" t="s">
        <v>827</v>
      </c>
      <c r="H168" s="772"/>
      <c r="I168" s="772"/>
      <c r="J168" s="772" t="s">
        <v>824</v>
      </c>
      <c r="K168" s="772" t="s">
        <v>933</v>
      </c>
      <c r="L168" s="772"/>
      <c r="M168" s="772"/>
      <c r="N168" s="772"/>
    </row>
    <row r="169" spans="1:14">
      <c r="A169" s="177">
        <v>18</v>
      </c>
      <c r="B169" s="758"/>
      <c r="C169" s="713" t="s">
        <v>226</v>
      </c>
      <c r="E169" s="712"/>
      <c r="F169" s="711"/>
      <c r="G169" s="759">
        <f>+J93+J110</f>
        <v>0</v>
      </c>
      <c r="I169" s="759"/>
      <c r="J169" s="42">
        <f>+J32</f>
        <v>0</v>
      </c>
      <c r="K169" s="54">
        <f>IF(J169=0,0,G169/J169)</f>
        <v>0</v>
      </c>
      <c r="L169" s="772"/>
      <c r="M169" s="772"/>
      <c r="N169" s="772"/>
    </row>
    <row r="170" spans="1:14">
      <c r="A170" s="177"/>
      <c r="B170" s="758"/>
      <c r="C170" s="713"/>
      <c r="D170" s="547"/>
      <c r="E170" s="712"/>
      <c r="F170" s="711"/>
      <c r="G170" s="810" t="s">
        <v>19</v>
      </c>
      <c r="H170" s="42"/>
      <c r="I170" s="759"/>
      <c r="J170" s="505" t="s">
        <v>822</v>
      </c>
      <c r="K170" s="505" t="s">
        <v>823</v>
      </c>
      <c r="L170" s="772"/>
      <c r="M170" s="772"/>
      <c r="N170" s="772"/>
    </row>
    <row r="171" spans="1:14">
      <c r="A171" s="177"/>
      <c r="B171" s="758"/>
      <c r="C171" s="713"/>
      <c r="D171" s="547"/>
      <c r="E171" s="712"/>
      <c r="F171" s="711"/>
      <c r="G171" s="810" t="s">
        <v>828</v>
      </c>
      <c r="H171" s="42"/>
      <c r="I171" s="759"/>
      <c r="J171" s="772" t="s">
        <v>824</v>
      </c>
      <c r="K171" s="772" t="s">
        <v>933</v>
      </c>
      <c r="L171" s="772"/>
      <c r="M171" s="772"/>
      <c r="N171" s="772"/>
    </row>
    <row r="172" spans="1:14">
      <c r="A172" s="177">
        <v>19</v>
      </c>
      <c r="B172" s="758"/>
      <c r="C172" s="713" t="s">
        <v>237</v>
      </c>
      <c r="E172" s="505"/>
      <c r="F172" s="505"/>
      <c r="G172" s="759">
        <f>+J125+J128</f>
        <v>-88603.998260620559</v>
      </c>
      <c r="H172" s="759"/>
      <c r="I172" s="759"/>
      <c r="J172" s="18">
        <f>+J48</f>
        <v>0</v>
      </c>
      <c r="K172" s="54">
        <f>IF(J172=0,0,G172/J172)</f>
        <v>0</v>
      </c>
      <c r="L172" s="772"/>
      <c r="M172" s="772"/>
      <c r="N172" s="772"/>
    </row>
    <row r="173" spans="1:14">
      <c r="A173" s="177"/>
      <c r="B173" s="758"/>
      <c r="C173" s="715"/>
      <c r="D173" s="505"/>
      <c r="E173" s="505"/>
      <c r="F173" s="505"/>
      <c r="G173" s="505"/>
      <c r="H173" s="741"/>
      <c r="I173" s="741"/>
      <c r="J173" s="741"/>
      <c r="K173" s="505"/>
      <c r="L173" s="772"/>
      <c r="M173" s="772"/>
      <c r="N173" s="772"/>
    </row>
    <row r="174" spans="1:14">
      <c r="A174" s="177"/>
      <c r="B174" s="758"/>
      <c r="C174" s="505"/>
      <c r="D174" s="505"/>
      <c r="E174" s="505"/>
      <c r="F174" s="505"/>
      <c r="G174" s="505"/>
      <c r="H174" s="505"/>
      <c r="I174" s="505"/>
      <c r="J174" s="505"/>
      <c r="K174" s="505"/>
      <c r="L174" s="772"/>
      <c r="M174" s="772"/>
      <c r="N174" s="772"/>
    </row>
    <row r="175" spans="1:14">
      <c r="A175" s="807"/>
      <c r="B175" s="772"/>
      <c r="C175" s="2"/>
      <c r="D175" s="806"/>
      <c r="E175" s="806" t="s">
        <v>921</v>
      </c>
      <c r="F175" s="772"/>
      <c r="G175" s="806"/>
      <c r="H175" s="806"/>
      <c r="I175" s="806"/>
      <c r="J175" s="806"/>
      <c r="K175" s="806"/>
      <c r="L175" s="806"/>
      <c r="M175" s="772"/>
      <c r="N175" s="772"/>
    </row>
    <row r="176" spans="1:14">
      <c r="A176" s="807"/>
      <c r="B176" s="772"/>
      <c r="C176" s="2"/>
      <c r="D176" s="806" t="s">
        <v>304</v>
      </c>
      <c r="E176" s="3" t="s">
        <v>922</v>
      </c>
      <c r="F176" s="772"/>
      <c r="G176" s="806" t="s">
        <v>307</v>
      </c>
      <c r="H176" s="813" t="s">
        <v>305</v>
      </c>
      <c r="I176" s="772"/>
      <c r="J176" s="814"/>
      <c r="K176" s="815"/>
      <c r="L176" s="815"/>
      <c r="N176" s="772"/>
    </row>
    <row r="177" spans="1:14" ht="26.4">
      <c r="A177" s="372" t="s">
        <v>291</v>
      </c>
      <c r="B177" s="772"/>
      <c r="C177" s="3" t="s">
        <v>252</v>
      </c>
      <c r="D177" s="3" t="s">
        <v>824</v>
      </c>
      <c r="E177" s="677" t="str">
        <f>+D177</f>
        <v>Distribution</v>
      </c>
      <c r="F177" s="772"/>
      <c r="G177" s="3" t="s">
        <v>253</v>
      </c>
      <c r="H177" s="3" t="s">
        <v>254</v>
      </c>
      <c r="I177" s="772"/>
      <c r="J177" s="816"/>
      <c r="K177" s="816"/>
      <c r="L177" s="816"/>
      <c r="N177" s="772"/>
    </row>
    <row r="178" spans="1:14">
      <c r="A178" s="807"/>
      <c r="B178" s="772"/>
      <c r="C178" s="806" t="s">
        <v>292</v>
      </c>
      <c r="D178" s="806" t="s">
        <v>293</v>
      </c>
      <c r="E178" s="806" t="s">
        <v>294</v>
      </c>
      <c r="F178" s="772"/>
      <c r="G178" s="3" t="s">
        <v>295</v>
      </c>
      <c r="H178" s="3" t="s">
        <v>297</v>
      </c>
      <c r="I178" s="772"/>
      <c r="J178" s="816"/>
      <c r="K178" s="4"/>
      <c r="L178" s="4"/>
      <c r="N178" s="772"/>
    </row>
    <row r="179" spans="1:14">
      <c r="A179" s="807"/>
      <c r="B179" s="772"/>
      <c r="C179" s="626"/>
      <c r="D179" s="414"/>
      <c r="E179" s="414"/>
      <c r="F179" s="772"/>
      <c r="G179" s="415"/>
      <c r="H179" s="415"/>
      <c r="I179" s="772"/>
      <c r="J179" s="817"/>
      <c r="K179" s="416"/>
      <c r="L179" s="416"/>
      <c r="N179" s="772"/>
    </row>
    <row r="180" spans="1:14" ht="57" customHeight="1">
      <c r="A180" s="807"/>
      <c r="B180" s="772"/>
      <c r="C180" s="806"/>
      <c r="D180" s="832" t="s">
        <v>426</v>
      </c>
      <c r="E180" s="832" t="s">
        <v>927</v>
      </c>
      <c r="F180" s="447"/>
      <c r="G180" s="832" t="s">
        <v>878</v>
      </c>
      <c r="H180" s="832" t="s">
        <v>811</v>
      </c>
      <c r="I180" s="325"/>
      <c r="J180" s="818"/>
      <c r="K180" s="818"/>
      <c r="L180" s="818"/>
      <c r="N180" s="772"/>
    </row>
    <row r="181" spans="1:14">
      <c r="A181" s="807">
        <f>+A172+1</f>
        <v>20</v>
      </c>
      <c r="B181" s="772"/>
      <c r="C181" s="5" t="s">
        <v>289</v>
      </c>
      <c r="D181" s="6">
        <v>0</v>
      </c>
      <c r="E181" s="6">
        <v>0</v>
      </c>
      <c r="F181" s="772"/>
      <c r="G181" s="6">
        <v>0</v>
      </c>
      <c r="H181" s="6">
        <v>0</v>
      </c>
      <c r="I181" s="772"/>
      <c r="J181" s="546"/>
      <c r="K181" s="819"/>
      <c r="L181" s="819"/>
      <c r="N181" s="772"/>
    </row>
    <row r="182" spans="1:14">
      <c r="A182" s="807">
        <f>+A181+1</f>
        <v>21</v>
      </c>
      <c r="B182" s="772"/>
      <c r="C182" s="5" t="s">
        <v>105</v>
      </c>
      <c r="D182" s="6">
        <v>0</v>
      </c>
      <c r="E182" s="6">
        <v>0</v>
      </c>
      <c r="F182" s="772"/>
      <c r="G182" s="6">
        <v>0</v>
      </c>
      <c r="H182" s="6">
        <v>0</v>
      </c>
      <c r="I182" s="772"/>
      <c r="J182" s="819"/>
      <c r="K182" s="546"/>
      <c r="L182" s="819"/>
      <c r="N182" s="772"/>
    </row>
    <row r="183" spans="1:14">
      <c r="A183" s="807">
        <f t="shared" ref="A183:A194" si="7">+A182+1</f>
        <v>22</v>
      </c>
      <c r="B183" s="772"/>
      <c r="C183" s="1" t="s">
        <v>104</v>
      </c>
      <c r="D183" s="6">
        <v>0</v>
      </c>
      <c r="E183" s="6">
        <v>0</v>
      </c>
      <c r="F183" s="772"/>
      <c r="G183" s="6">
        <v>0</v>
      </c>
      <c r="H183" s="6">
        <v>0</v>
      </c>
      <c r="I183" s="772"/>
      <c r="J183" s="819"/>
      <c r="K183" s="546"/>
      <c r="L183" s="819"/>
      <c r="N183" s="772"/>
    </row>
    <row r="184" spans="1:14">
      <c r="A184" s="807">
        <f t="shared" si="7"/>
        <v>23</v>
      </c>
      <c r="B184" s="772"/>
      <c r="C184" s="1" t="s">
        <v>256</v>
      </c>
      <c r="D184" s="6">
        <v>0</v>
      </c>
      <c r="E184" s="6">
        <v>0</v>
      </c>
      <c r="F184" s="772"/>
      <c r="G184" s="6">
        <v>0</v>
      </c>
      <c r="H184" s="6">
        <v>0</v>
      </c>
      <c r="I184" s="772"/>
      <c r="J184" s="819"/>
      <c r="K184" s="546"/>
      <c r="L184" s="819"/>
      <c r="N184" s="772"/>
    </row>
    <row r="185" spans="1:14">
      <c r="A185" s="807">
        <f t="shared" si="7"/>
        <v>24</v>
      </c>
      <c r="B185" s="772"/>
      <c r="C185" s="1" t="s">
        <v>95</v>
      </c>
      <c r="D185" s="6">
        <v>0</v>
      </c>
      <c r="E185" s="6">
        <v>0</v>
      </c>
      <c r="F185" s="772"/>
      <c r="G185" s="6">
        <v>0</v>
      </c>
      <c r="H185" s="6">
        <v>0</v>
      </c>
      <c r="I185" s="772"/>
      <c r="J185" s="819"/>
      <c r="K185" s="546"/>
      <c r="L185" s="819"/>
      <c r="N185" s="772"/>
    </row>
    <row r="186" spans="1:14">
      <c r="A186" s="807">
        <f t="shared" si="7"/>
        <v>25</v>
      </c>
      <c r="B186" s="772"/>
      <c r="C186" s="1" t="s">
        <v>92</v>
      </c>
      <c r="D186" s="6">
        <f t="shared" ref="D186:D193" si="8">+D185</f>
        <v>0</v>
      </c>
      <c r="E186" s="6">
        <v>0</v>
      </c>
      <c r="F186" s="772"/>
      <c r="G186" s="6">
        <v>0</v>
      </c>
      <c r="H186" s="6">
        <v>0</v>
      </c>
      <c r="I186" s="772"/>
      <c r="J186" s="819"/>
      <c r="K186" s="546"/>
      <c r="L186" s="819"/>
      <c r="N186" s="772"/>
    </row>
    <row r="187" spans="1:14">
      <c r="A187" s="807">
        <f t="shared" si="7"/>
        <v>26</v>
      </c>
      <c r="B187" s="772"/>
      <c r="C187" s="1" t="s">
        <v>145</v>
      </c>
      <c r="D187" s="6">
        <f t="shared" si="8"/>
        <v>0</v>
      </c>
      <c r="E187" s="6">
        <v>0</v>
      </c>
      <c r="F187" s="772"/>
      <c r="G187" s="6">
        <v>0</v>
      </c>
      <c r="H187" s="6">
        <v>0</v>
      </c>
      <c r="I187" s="772"/>
      <c r="J187" s="819"/>
      <c r="K187" s="546"/>
      <c r="L187" s="819"/>
      <c r="N187" s="772"/>
    </row>
    <row r="188" spans="1:14">
      <c r="A188" s="807">
        <f t="shared" si="7"/>
        <v>27</v>
      </c>
      <c r="B188" s="772"/>
      <c r="C188" s="1" t="s">
        <v>102</v>
      </c>
      <c r="D188" s="6">
        <f t="shared" si="8"/>
        <v>0</v>
      </c>
      <c r="E188" s="6">
        <v>0</v>
      </c>
      <c r="F188" s="772"/>
      <c r="G188" s="6">
        <v>0</v>
      </c>
      <c r="H188" s="6">
        <v>0</v>
      </c>
      <c r="I188" s="772"/>
      <c r="J188" s="819"/>
      <c r="K188" s="546"/>
      <c r="L188" s="819"/>
      <c r="N188" s="772"/>
    </row>
    <row r="189" spans="1:14">
      <c r="A189" s="807">
        <f t="shared" si="7"/>
        <v>28</v>
      </c>
      <c r="B189" s="772"/>
      <c r="C189" s="1" t="s">
        <v>257</v>
      </c>
      <c r="D189" s="6">
        <f t="shared" si="8"/>
        <v>0</v>
      </c>
      <c r="E189" s="6">
        <v>0</v>
      </c>
      <c r="F189" s="772"/>
      <c r="G189" s="6">
        <v>0</v>
      </c>
      <c r="H189" s="6">
        <v>0</v>
      </c>
      <c r="I189" s="772"/>
      <c r="J189" s="819"/>
      <c r="K189" s="546"/>
      <c r="L189" s="819"/>
      <c r="N189" s="772"/>
    </row>
    <row r="190" spans="1:14">
      <c r="A190" s="807">
        <f t="shared" si="7"/>
        <v>29</v>
      </c>
      <c r="B190" s="772"/>
      <c r="C190" s="1" t="s">
        <v>100</v>
      </c>
      <c r="D190" s="6">
        <f t="shared" si="8"/>
        <v>0</v>
      </c>
      <c r="E190" s="6">
        <v>0</v>
      </c>
      <c r="F190" s="772"/>
      <c r="G190" s="6">
        <v>0</v>
      </c>
      <c r="H190" s="6">
        <v>0</v>
      </c>
      <c r="I190" s="772"/>
      <c r="J190" s="819"/>
      <c r="K190" s="546"/>
      <c r="L190" s="819"/>
      <c r="N190" s="772"/>
    </row>
    <row r="191" spans="1:14">
      <c r="A191" s="807">
        <f t="shared" si="7"/>
        <v>30</v>
      </c>
      <c r="B191" s="772"/>
      <c r="C191" s="1" t="s">
        <v>106</v>
      </c>
      <c r="D191" s="6">
        <f t="shared" si="8"/>
        <v>0</v>
      </c>
      <c r="E191" s="6">
        <v>0</v>
      </c>
      <c r="F191" s="772"/>
      <c r="G191" s="6">
        <v>0</v>
      </c>
      <c r="H191" s="6">
        <v>0</v>
      </c>
      <c r="I191" s="772"/>
      <c r="J191" s="819"/>
      <c r="K191" s="546"/>
      <c r="L191" s="819"/>
      <c r="N191" s="772"/>
    </row>
    <row r="192" spans="1:14">
      <c r="A192" s="807">
        <f t="shared" si="7"/>
        <v>31</v>
      </c>
      <c r="B192" s="772"/>
      <c r="C192" s="1" t="s">
        <v>99</v>
      </c>
      <c r="D192" s="6">
        <f t="shared" si="8"/>
        <v>0</v>
      </c>
      <c r="E192" s="6">
        <v>0</v>
      </c>
      <c r="F192" s="772"/>
      <c r="G192" s="6">
        <v>0</v>
      </c>
      <c r="H192" s="6">
        <v>0</v>
      </c>
      <c r="I192" s="772"/>
      <c r="J192" s="819"/>
      <c r="K192" s="546"/>
      <c r="L192" s="819"/>
      <c r="N192" s="772"/>
    </row>
    <row r="193" spans="1:14">
      <c r="A193" s="807">
        <f t="shared" si="7"/>
        <v>32</v>
      </c>
      <c r="B193" s="772"/>
      <c r="C193" s="1" t="s">
        <v>290</v>
      </c>
      <c r="D193" s="6">
        <f t="shared" si="8"/>
        <v>0</v>
      </c>
      <c r="E193" s="6">
        <v>0</v>
      </c>
      <c r="F193" s="772"/>
      <c r="G193" s="6">
        <v>0</v>
      </c>
      <c r="H193" s="6">
        <v>0</v>
      </c>
      <c r="I193" s="772"/>
      <c r="J193" s="819"/>
      <c r="K193" s="546"/>
      <c r="L193" s="819"/>
      <c r="N193" s="772"/>
    </row>
    <row r="194" spans="1:14" ht="15.6" thickBot="1">
      <c r="A194" s="807">
        <f t="shared" si="7"/>
        <v>33</v>
      </c>
      <c r="B194" s="772"/>
      <c r="C194" s="7" t="s">
        <v>416</v>
      </c>
      <c r="D194" s="8">
        <f t="shared" ref="D194" si="9">SUM(D181:D193)/13</f>
        <v>0</v>
      </c>
      <c r="E194" s="8">
        <f>SUM(E181:E193)/13</f>
        <v>0</v>
      </c>
      <c r="F194" s="772"/>
      <c r="G194" s="8">
        <f>SUM(G181:G193)/13</f>
        <v>0</v>
      </c>
      <c r="H194" s="8">
        <f>SUM(H181:H193)/13</f>
        <v>0</v>
      </c>
      <c r="I194" s="772"/>
      <c r="J194" s="778"/>
      <c r="K194" s="778"/>
      <c r="L194" s="778"/>
      <c r="N194" s="772"/>
    </row>
    <row r="195" spans="1:14" ht="15.6" thickTop="1">
      <c r="A195" s="772"/>
      <c r="B195" s="772"/>
      <c r="C195" s="772"/>
      <c r="D195" s="772"/>
      <c r="E195" s="772"/>
      <c r="F195" s="772"/>
      <c r="G195" s="772"/>
      <c r="H195" s="772"/>
      <c r="I195" s="772"/>
      <c r="J195" s="505"/>
      <c r="K195" s="505"/>
      <c r="L195" s="505"/>
      <c r="M195" s="772"/>
      <c r="N195" s="772"/>
    </row>
    <row r="198" spans="1:14">
      <c r="A198" s="807"/>
      <c r="C198" s="447" t="s">
        <v>923</v>
      </c>
      <c r="D198" s="530"/>
      <c r="E198" s="530"/>
      <c r="G198" s="530"/>
      <c r="H198" s="531"/>
      <c r="I198" s="531"/>
      <c r="J198" s="325"/>
      <c r="K198" s="325"/>
    </row>
    <row r="199" spans="1:14">
      <c r="A199" s="807"/>
      <c r="C199" s="362" t="s">
        <v>292</v>
      </c>
      <c r="D199" s="362" t="s">
        <v>293</v>
      </c>
      <c r="E199" s="362" t="s">
        <v>294</v>
      </c>
      <c r="G199" s="362" t="s">
        <v>295</v>
      </c>
      <c r="H199" s="447" t="s">
        <v>297</v>
      </c>
      <c r="J199" s="447" t="s">
        <v>296</v>
      </c>
      <c r="K199" s="447" t="s">
        <v>298</v>
      </c>
      <c r="L199" s="447" t="s">
        <v>299</v>
      </c>
    </row>
    <row r="200" spans="1:14" ht="131.25" customHeight="1">
      <c r="A200" s="807">
        <f>+A194+1</f>
        <v>34</v>
      </c>
      <c r="C200" s="532" t="s">
        <v>604</v>
      </c>
      <c r="D200" s="305"/>
      <c r="E200" s="533" t="s">
        <v>19</v>
      </c>
      <c r="G200" s="533" t="s">
        <v>605</v>
      </c>
      <c r="H200" s="533" t="s">
        <v>606</v>
      </c>
      <c r="J200" s="533" t="s">
        <v>607</v>
      </c>
      <c r="K200" s="534" t="s">
        <v>608</v>
      </c>
      <c r="L200" s="534" t="s">
        <v>609</v>
      </c>
    </row>
    <row r="201" spans="1:14">
      <c r="A201" s="807" t="s">
        <v>924</v>
      </c>
      <c r="C201" s="505"/>
      <c r="D201" s="536" t="s">
        <v>611</v>
      </c>
      <c r="E201" s="537">
        <v>0</v>
      </c>
      <c r="G201" s="537">
        <v>0</v>
      </c>
      <c r="H201" s="538"/>
      <c r="J201" s="538"/>
      <c r="K201" s="537"/>
      <c r="L201" s="539">
        <f t="shared" ref="L201:L206" si="10">+K201*G201*E201*H201*J201</f>
        <v>0</v>
      </c>
    </row>
    <row r="202" spans="1:14">
      <c r="A202" s="807" t="s">
        <v>925</v>
      </c>
      <c r="C202" s="505"/>
      <c r="D202" s="536" t="s">
        <v>613</v>
      </c>
      <c r="E202" s="540">
        <v>0</v>
      </c>
      <c r="G202" s="537">
        <v>0</v>
      </c>
      <c r="H202" s="538"/>
      <c r="J202" s="538"/>
      <c r="K202" s="537"/>
      <c r="L202" s="539">
        <f t="shared" si="10"/>
        <v>0</v>
      </c>
    </row>
    <row r="203" spans="1:14">
      <c r="A203" s="807" t="s">
        <v>926</v>
      </c>
      <c r="C203" s="505"/>
      <c r="D203" s="536" t="s">
        <v>615</v>
      </c>
      <c r="E203" s="540"/>
      <c r="G203" s="537"/>
      <c r="H203" s="538"/>
      <c r="J203" s="538"/>
      <c r="K203" s="537"/>
      <c r="L203" s="539">
        <f t="shared" si="10"/>
        <v>0</v>
      </c>
    </row>
    <row r="204" spans="1:14">
      <c r="A204" s="807" t="s">
        <v>501</v>
      </c>
      <c r="C204" s="505"/>
      <c r="D204" s="536"/>
      <c r="E204" s="540"/>
      <c r="G204" s="537"/>
      <c r="H204" s="538"/>
      <c r="J204" s="538"/>
      <c r="K204" s="537"/>
      <c r="L204" s="539">
        <f t="shared" si="10"/>
        <v>0</v>
      </c>
    </row>
    <row r="205" spans="1:14">
      <c r="A205" s="807" t="s">
        <v>501</v>
      </c>
      <c r="C205" s="505"/>
      <c r="D205" s="536" t="s">
        <v>501</v>
      </c>
      <c r="E205" s="540"/>
      <c r="G205" s="537"/>
      <c r="H205" s="538"/>
      <c r="J205" s="538"/>
      <c r="K205" s="537"/>
      <c r="L205" s="539">
        <f t="shared" si="10"/>
        <v>0</v>
      </c>
    </row>
    <row r="206" spans="1:14">
      <c r="A206" s="807" t="s">
        <v>501</v>
      </c>
      <c r="C206" s="505"/>
      <c r="D206" s="541" t="s">
        <v>501</v>
      </c>
      <c r="E206" s="542">
        <v>0</v>
      </c>
      <c r="G206" s="543">
        <v>0</v>
      </c>
      <c r="H206" s="544"/>
      <c r="J206" s="544"/>
      <c r="K206" s="543"/>
      <c r="L206" s="545">
        <f t="shared" si="10"/>
        <v>0</v>
      </c>
    </row>
    <row r="207" spans="1:14">
      <c r="A207" s="807">
        <v>36</v>
      </c>
      <c r="C207" s="505"/>
      <c r="D207" s="532" t="s">
        <v>21</v>
      </c>
      <c r="E207" s="546">
        <f>SUM(E201:E206)</f>
        <v>0</v>
      </c>
      <c r="G207" s="121"/>
      <c r="H207" s="14"/>
      <c r="J207" s="14"/>
      <c r="K207" s="121"/>
      <c r="L207" s="539">
        <f>SUM(L201:L206)</f>
        <v>0</v>
      </c>
    </row>
    <row r="209" spans="1:10" ht="67.5" customHeight="1">
      <c r="A209" s="582" t="s">
        <v>75</v>
      </c>
      <c r="B209" s="1124" t="s">
        <v>755</v>
      </c>
      <c r="C209" s="1124"/>
      <c r="D209" s="1124"/>
      <c r="E209" s="1124"/>
      <c r="F209" s="1124"/>
      <c r="G209" s="1124"/>
      <c r="H209" s="1124"/>
      <c r="I209" s="1124"/>
      <c r="J209" s="1124"/>
    </row>
    <row r="210" spans="1:10" ht="28.5" customHeight="1">
      <c r="A210" s="548" t="s">
        <v>76</v>
      </c>
      <c r="B210" s="1105" t="s">
        <v>1074</v>
      </c>
      <c r="C210" s="1105"/>
      <c r="D210" s="1105"/>
      <c r="E210" s="1105"/>
      <c r="F210" s="1105"/>
      <c r="G210" s="1105"/>
      <c r="H210" s="1105"/>
      <c r="I210" s="1105"/>
      <c r="J210" s="1105"/>
    </row>
  </sheetData>
  <mergeCells count="4">
    <mergeCell ref="B209:J209"/>
    <mergeCell ref="G28:H28"/>
    <mergeCell ref="G27:H27"/>
    <mergeCell ref="B210:J210"/>
  </mergeCells>
  <pageMargins left="0.7" right="0.7" top="0.75" bottom="0.75" header="0.3" footer="0.3"/>
  <pageSetup scale="41" fitToHeight="0" orientation="portrait" r:id="rId1"/>
  <rowBreaks count="3" manualBreakCount="3">
    <brk id="18" max="16383" man="1"/>
    <brk id="75" max="16383" man="1"/>
    <brk id="13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61"/>
  <sheetViews>
    <sheetView workbookViewId="0">
      <selection activeCell="B21" sqref="B21"/>
    </sheetView>
  </sheetViews>
  <sheetFormatPr defaultRowHeight="15"/>
  <cols>
    <col min="2" max="2" width="27.36328125" customWidth="1"/>
    <col min="4" max="4" width="11.6328125" customWidth="1"/>
    <col min="5" max="5" width="14.81640625" customWidth="1"/>
    <col min="6" max="6" width="13.36328125" customWidth="1"/>
    <col min="7" max="7" width="12.08984375" customWidth="1"/>
    <col min="8" max="8" width="12.90625" customWidth="1"/>
    <col min="10" max="10" width="10.90625" customWidth="1"/>
    <col min="11" max="11" width="11" customWidth="1"/>
  </cols>
  <sheetData>
    <row r="1" spans="1:11">
      <c r="A1" s="758"/>
      <c r="B1" s="758"/>
      <c r="C1" s="758"/>
      <c r="D1" s="758"/>
      <c r="E1" s="758"/>
      <c r="F1" s="758"/>
      <c r="G1" s="758"/>
      <c r="H1" s="758"/>
      <c r="I1" s="758"/>
      <c r="J1" s="19" t="s">
        <v>893</v>
      </c>
      <c r="K1" s="758"/>
    </row>
    <row r="2" spans="1:11">
      <c r="A2" s="758"/>
      <c r="B2" s="758"/>
      <c r="C2" s="758"/>
      <c r="D2" s="758"/>
      <c r="E2" s="758"/>
      <c r="F2" s="758"/>
      <c r="G2" s="758"/>
      <c r="H2" s="758"/>
      <c r="I2" s="758"/>
      <c r="J2" s="758"/>
      <c r="K2" s="758"/>
    </row>
    <row r="3" spans="1:11">
      <c r="A3" s="758"/>
      <c r="B3" s="758"/>
      <c r="C3" s="758"/>
      <c r="D3" s="758"/>
      <c r="E3" s="758"/>
      <c r="F3" s="758"/>
      <c r="G3" s="758"/>
      <c r="H3" s="758"/>
      <c r="I3" s="758"/>
      <c r="J3" s="758"/>
      <c r="K3" s="758"/>
    </row>
    <row r="4" spans="1:11">
      <c r="A4" s="758"/>
      <c r="B4" s="758"/>
      <c r="C4" s="758"/>
      <c r="D4" s="758"/>
      <c r="E4" s="758"/>
      <c r="F4" s="758"/>
      <c r="G4" s="758"/>
      <c r="H4" s="758"/>
      <c r="I4" s="758"/>
      <c r="J4" s="758"/>
      <c r="K4" s="758"/>
    </row>
    <row r="5" spans="1:11">
      <c r="A5" s="647"/>
      <c r="B5" s="758"/>
      <c r="C5" s="758"/>
      <c r="D5" s="19"/>
      <c r="E5" s="829" t="s">
        <v>967</v>
      </c>
      <c r="F5" s="19"/>
      <c r="G5" s="19"/>
      <c r="H5" s="758"/>
      <c r="I5" s="19"/>
      <c r="J5" s="19"/>
      <c r="K5" s="19"/>
    </row>
    <row r="6" spans="1:11">
      <c r="A6" s="647"/>
      <c r="B6" s="758"/>
      <c r="C6" s="758"/>
      <c r="D6" s="19"/>
      <c r="E6" s="506" t="s">
        <v>966</v>
      </c>
      <c r="F6" s="22"/>
      <c r="G6" s="22"/>
      <c r="H6" s="758"/>
      <c r="I6" s="22"/>
      <c r="J6" s="22"/>
      <c r="K6" s="22"/>
    </row>
    <row r="7" spans="1:11">
      <c r="A7" s="647"/>
      <c r="B7" s="758"/>
      <c r="C7" s="26"/>
      <c r="D7" s="26"/>
      <c r="E7" s="840" t="str">
        <f>+'2-Incentive ROE'!F5</f>
        <v>Gridliance High Plains LLC</v>
      </c>
      <c r="F7" s="26"/>
      <c r="G7" s="26"/>
      <c r="H7" s="758"/>
      <c r="I7" s="26"/>
      <c r="J7" s="26"/>
      <c r="K7" s="26"/>
    </row>
    <row r="8" spans="1:11">
      <c r="A8" s="648"/>
      <c r="B8" s="758"/>
      <c r="C8" s="758"/>
      <c r="D8" s="758"/>
      <c r="E8" s="71"/>
      <c r="F8" s="71"/>
      <c r="G8" s="71"/>
      <c r="H8" s="758"/>
      <c r="I8" s="26"/>
      <c r="J8" s="26"/>
      <c r="K8" s="26"/>
    </row>
    <row r="9" spans="1:11">
      <c r="A9" s="649"/>
      <c r="B9" s="324"/>
      <c r="C9" s="324"/>
      <c r="D9" s="324"/>
      <c r="E9" s="324"/>
      <c r="F9" s="324"/>
      <c r="G9" s="324"/>
      <c r="H9" s="324"/>
      <c r="I9" s="324"/>
      <c r="J9" s="324"/>
      <c r="K9" s="841"/>
    </row>
    <row r="10" spans="1:11">
      <c r="A10" s="649"/>
      <c r="B10" s="324"/>
      <c r="C10" s="324"/>
      <c r="D10" s="1119" t="s">
        <v>889</v>
      </c>
      <c r="E10" s="1120"/>
      <c r="F10" s="555"/>
      <c r="G10" s="557" t="s">
        <v>629</v>
      </c>
      <c r="H10" s="555"/>
      <c r="I10" s="558"/>
      <c r="J10" s="558"/>
      <c r="K10" s="556"/>
    </row>
    <row r="11" spans="1:11" ht="15.6">
      <c r="A11" s="649">
        <v>1</v>
      </c>
      <c r="B11" s="324" t="s">
        <v>888</v>
      </c>
      <c r="C11" s="324"/>
      <c r="D11" s="1121" t="s">
        <v>890</v>
      </c>
      <c r="E11" s="1122"/>
      <c r="F11" s="811" t="s">
        <v>734</v>
      </c>
      <c r="G11" s="559" t="s">
        <v>630</v>
      </c>
      <c r="H11" s="811" t="s">
        <v>631</v>
      </c>
      <c r="I11" s="784"/>
      <c r="J11" s="784"/>
      <c r="K11" s="785"/>
    </row>
    <row r="12" spans="1:11">
      <c r="A12" s="649">
        <v>2</v>
      </c>
      <c r="B12" s="560"/>
      <c r="C12" s="324"/>
      <c r="D12" s="561"/>
      <c r="E12" s="561"/>
      <c r="F12" s="650">
        <v>0</v>
      </c>
      <c r="G12" s="562"/>
      <c r="H12" s="561"/>
      <c r="I12" s="561"/>
      <c r="J12" s="561"/>
      <c r="K12" s="555"/>
    </row>
    <row r="13" spans="1:11" ht="15.6">
      <c r="A13" s="490"/>
      <c r="B13" s="563" t="s">
        <v>75</v>
      </c>
      <c r="C13" s="563" t="s">
        <v>76</v>
      </c>
      <c r="D13" s="559" t="s">
        <v>77</v>
      </c>
      <c r="E13" s="559" t="s">
        <v>78</v>
      </c>
      <c r="F13" s="557" t="s">
        <v>79</v>
      </c>
      <c r="G13" s="563" t="s">
        <v>80</v>
      </c>
      <c r="H13" s="564" t="s">
        <v>81</v>
      </c>
      <c r="I13" s="564" t="s">
        <v>83</v>
      </c>
      <c r="J13" s="564" t="s">
        <v>84</v>
      </c>
      <c r="K13" s="652" t="s">
        <v>85</v>
      </c>
    </row>
    <row r="14" spans="1:11">
      <c r="A14" s="649"/>
      <c r="B14" s="561"/>
      <c r="C14" s="557"/>
      <c r="D14" s="557"/>
      <c r="E14" s="839" t="s">
        <v>735</v>
      </c>
      <c r="F14" s="557"/>
      <c r="G14" s="557"/>
      <c r="H14" s="561"/>
      <c r="I14" s="557"/>
      <c r="J14" s="561"/>
      <c r="K14" s="561"/>
    </row>
    <row r="15" spans="1:11">
      <c r="A15" s="649"/>
      <c r="B15" s="562"/>
      <c r="C15" s="564"/>
      <c r="D15" s="564" t="s">
        <v>881</v>
      </c>
      <c r="E15" s="652" t="s">
        <v>21</v>
      </c>
      <c r="F15" s="564" t="s">
        <v>634</v>
      </c>
      <c r="G15" s="564" t="s">
        <v>880</v>
      </c>
      <c r="H15" s="564" t="s">
        <v>632</v>
      </c>
      <c r="I15" s="564"/>
      <c r="J15" s="564" t="s">
        <v>502</v>
      </c>
      <c r="K15" s="564"/>
    </row>
    <row r="16" spans="1:11">
      <c r="A16" s="649"/>
      <c r="B16" s="564" t="s">
        <v>644</v>
      </c>
      <c r="C16" s="564"/>
      <c r="D16" s="564" t="s">
        <v>633</v>
      </c>
      <c r="E16" s="652" t="s">
        <v>736</v>
      </c>
      <c r="F16" s="564" t="s">
        <v>639</v>
      </c>
      <c r="G16" s="564" t="s">
        <v>633</v>
      </c>
      <c r="H16" s="564" t="s">
        <v>553</v>
      </c>
      <c r="I16" s="557" t="s">
        <v>696</v>
      </c>
      <c r="J16" s="564" t="s">
        <v>635</v>
      </c>
      <c r="K16" s="564" t="s">
        <v>737</v>
      </c>
    </row>
    <row r="17" spans="1:11" ht="16.2">
      <c r="A17" s="649"/>
      <c r="B17" s="559" t="s">
        <v>636</v>
      </c>
      <c r="C17" s="559" t="s">
        <v>637</v>
      </c>
      <c r="D17" s="559" t="s">
        <v>638</v>
      </c>
      <c r="E17" s="652" t="s">
        <v>630</v>
      </c>
      <c r="F17" s="654" t="s">
        <v>882</v>
      </c>
      <c r="G17" s="559" t="s">
        <v>738</v>
      </c>
      <c r="H17" s="559" t="s">
        <v>883</v>
      </c>
      <c r="I17" s="564" t="s">
        <v>739</v>
      </c>
      <c r="J17" s="559" t="s">
        <v>740</v>
      </c>
      <c r="K17" s="559" t="s">
        <v>884</v>
      </c>
    </row>
    <row r="18" spans="1:11">
      <c r="A18" s="649">
        <v>3</v>
      </c>
      <c r="B18" s="586"/>
      <c r="C18" s="586"/>
      <c r="D18" s="655">
        <v>0</v>
      </c>
      <c r="E18" s="656">
        <f>IF(D$39=0,0,D18/D$39)</f>
        <v>0</v>
      </c>
      <c r="F18" s="657">
        <f>IF(F$12=0,0,#REF!*F$12)</f>
        <v>0</v>
      </c>
      <c r="G18" s="658">
        <v>0</v>
      </c>
      <c r="H18" s="659">
        <f t="shared" ref="H18:H37" si="0">+G18-F18</f>
        <v>0</v>
      </c>
      <c r="I18" s="660">
        <v>0</v>
      </c>
      <c r="J18" s="659">
        <f t="shared" ref="J18:J37" si="1">(H18+I18)*((J$41/12)*24)</f>
        <v>0</v>
      </c>
      <c r="K18" s="659">
        <f>+H18+J18+I18</f>
        <v>0</v>
      </c>
    </row>
    <row r="19" spans="1:11">
      <c r="A19" s="649" t="s">
        <v>741</v>
      </c>
      <c r="B19" s="586"/>
      <c r="C19" s="586"/>
      <c r="D19" s="661">
        <v>0</v>
      </c>
      <c r="E19" s="662">
        <f t="shared" ref="E19:E37" si="2">IF(D$39=0,0,D19/D$39)</f>
        <v>0</v>
      </c>
      <c r="F19" s="657">
        <f>IF(F$12=0,0,#REF!*F$12)</f>
        <v>0</v>
      </c>
      <c r="G19" s="663">
        <v>0</v>
      </c>
      <c r="H19" s="662">
        <f t="shared" si="0"/>
        <v>0</v>
      </c>
      <c r="I19" s="664">
        <v>0</v>
      </c>
      <c r="J19" s="659">
        <f t="shared" si="1"/>
        <v>0</v>
      </c>
      <c r="K19" s="659">
        <f t="shared" ref="K19:K37" si="3">+H19+J19+I19</f>
        <v>0</v>
      </c>
    </row>
    <row r="20" spans="1:11">
      <c r="A20" s="649" t="s">
        <v>742</v>
      </c>
      <c r="B20" s="586"/>
      <c r="C20" s="586"/>
      <c r="D20" s="661">
        <v>0</v>
      </c>
      <c r="E20" s="662">
        <f t="shared" si="2"/>
        <v>0</v>
      </c>
      <c r="F20" s="657">
        <f>IF(F$12=0,0,#REF!*F$12)</f>
        <v>0</v>
      </c>
      <c r="G20" s="663">
        <v>0</v>
      </c>
      <c r="H20" s="662">
        <f t="shared" si="0"/>
        <v>0</v>
      </c>
      <c r="I20" s="664">
        <v>0</v>
      </c>
      <c r="J20" s="659">
        <f t="shared" si="1"/>
        <v>0</v>
      </c>
      <c r="K20" s="659">
        <f t="shared" si="3"/>
        <v>0</v>
      </c>
    </row>
    <row r="21" spans="1:11">
      <c r="A21" s="649" t="s">
        <v>743</v>
      </c>
      <c r="B21" s="586"/>
      <c r="C21" s="586"/>
      <c r="D21" s="661">
        <v>0</v>
      </c>
      <c r="E21" s="662">
        <f t="shared" si="2"/>
        <v>0</v>
      </c>
      <c r="F21" s="657">
        <f>IF(F$12=0,0,#REF!*F$12)</f>
        <v>0</v>
      </c>
      <c r="G21" s="663">
        <v>0</v>
      </c>
      <c r="H21" s="662">
        <f t="shared" si="0"/>
        <v>0</v>
      </c>
      <c r="I21" s="664">
        <v>0</v>
      </c>
      <c r="J21" s="659">
        <f t="shared" si="1"/>
        <v>0</v>
      </c>
      <c r="K21" s="659">
        <f t="shared" si="3"/>
        <v>0</v>
      </c>
    </row>
    <row r="22" spans="1:11">
      <c r="A22" s="649"/>
      <c r="B22" s="586"/>
      <c r="C22" s="586"/>
      <c r="D22" s="661">
        <v>0</v>
      </c>
      <c r="E22" s="662">
        <f t="shared" si="2"/>
        <v>0</v>
      </c>
      <c r="F22" s="657">
        <f>IF(F$12=0,0,#REF!*F$12)</f>
        <v>0</v>
      </c>
      <c r="G22" s="663">
        <v>0</v>
      </c>
      <c r="H22" s="662">
        <f t="shared" si="0"/>
        <v>0</v>
      </c>
      <c r="I22" s="664">
        <v>0</v>
      </c>
      <c r="J22" s="659">
        <f t="shared" si="1"/>
        <v>0</v>
      </c>
      <c r="K22" s="659">
        <f t="shared" si="3"/>
        <v>0</v>
      </c>
    </row>
    <row r="23" spans="1:11">
      <c r="A23" s="649"/>
      <c r="B23" s="586"/>
      <c r="C23" s="586"/>
      <c r="D23" s="661">
        <v>0</v>
      </c>
      <c r="E23" s="662">
        <f t="shared" si="2"/>
        <v>0</v>
      </c>
      <c r="F23" s="657">
        <f>IF(F$12=0,0,#REF!*F$12)</f>
        <v>0</v>
      </c>
      <c r="G23" s="663">
        <v>0</v>
      </c>
      <c r="H23" s="662">
        <f t="shared" si="0"/>
        <v>0</v>
      </c>
      <c r="I23" s="664">
        <v>0</v>
      </c>
      <c r="J23" s="659">
        <f t="shared" si="1"/>
        <v>0</v>
      </c>
      <c r="K23" s="659">
        <f t="shared" si="3"/>
        <v>0</v>
      </c>
    </row>
    <row r="24" spans="1:11">
      <c r="A24" s="649"/>
      <c r="B24" s="586"/>
      <c r="C24" s="586"/>
      <c r="D24" s="661">
        <v>0</v>
      </c>
      <c r="E24" s="662">
        <f t="shared" si="2"/>
        <v>0</v>
      </c>
      <c r="F24" s="657">
        <f>IF(F$12=0,0,#REF!*F$12)</f>
        <v>0</v>
      </c>
      <c r="G24" s="663">
        <v>0</v>
      </c>
      <c r="H24" s="662">
        <f t="shared" si="0"/>
        <v>0</v>
      </c>
      <c r="I24" s="664">
        <v>0</v>
      </c>
      <c r="J24" s="659">
        <f t="shared" si="1"/>
        <v>0</v>
      </c>
      <c r="K24" s="659">
        <f t="shared" si="3"/>
        <v>0</v>
      </c>
    </row>
    <row r="25" spans="1:11">
      <c r="A25" s="649"/>
      <c r="B25" s="586"/>
      <c r="C25" s="586"/>
      <c r="D25" s="661">
        <v>0</v>
      </c>
      <c r="E25" s="662">
        <f t="shared" si="2"/>
        <v>0</v>
      </c>
      <c r="F25" s="657">
        <f>IF(F$12=0,0,#REF!*F$12)</f>
        <v>0</v>
      </c>
      <c r="G25" s="663">
        <v>0</v>
      </c>
      <c r="H25" s="662">
        <f t="shared" si="0"/>
        <v>0</v>
      </c>
      <c r="I25" s="664">
        <v>0</v>
      </c>
      <c r="J25" s="659">
        <f t="shared" si="1"/>
        <v>0</v>
      </c>
      <c r="K25" s="659">
        <f t="shared" si="3"/>
        <v>0</v>
      </c>
    </row>
    <row r="26" spans="1:11">
      <c r="A26" s="649"/>
      <c r="B26" s="586"/>
      <c r="C26" s="586"/>
      <c r="D26" s="661">
        <v>0</v>
      </c>
      <c r="E26" s="662">
        <f t="shared" si="2"/>
        <v>0</v>
      </c>
      <c r="F26" s="657">
        <f>IF(F$12=0,0,#REF!*F$12)</f>
        <v>0</v>
      </c>
      <c r="G26" s="663">
        <v>0</v>
      </c>
      <c r="H26" s="662">
        <f t="shared" si="0"/>
        <v>0</v>
      </c>
      <c r="I26" s="664">
        <v>0</v>
      </c>
      <c r="J26" s="659">
        <f t="shared" si="1"/>
        <v>0</v>
      </c>
      <c r="K26" s="659">
        <f t="shared" si="3"/>
        <v>0</v>
      </c>
    </row>
    <row r="27" spans="1:11">
      <c r="A27" s="649"/>
      <c r="B27" s="586"/>
      <c r="C27" s="586"/>
      <c r="D27" s="661">
        <v>0</v>
      </c>
      <c r="E27" s="662">
        <f t="shared" si="2"/>
        <v>0</v>
      </c>
      <c r="F27" s="657">
        <f>IF(F$12=0,0,#REF!*F$12)</f>
        <v>0</v>
      </c>
      <c r="G27" s="663">
        <v>0</v>
      </c>
      <c r="H27" s="662">
        <f t="shared" si="0"/>
        <v>0</v>
      </c>
      <c r="I27" s="664">
        <v>0</v>
      </c>
      <c r="J27" s="659">
        <f t="shared" si="1"/>
        <v>0</v>
      </c>
      <c r="K27" s="659">
        <f t="shared" si="3"/>
        <v>0</v>
      </c>
    </row>
    <row r="28" spans="1:11">
      <c r="A28" s="649"/>
      <c r="B28" s="586"/>
      <c r="C28" s="586"/>
      <c r="D28" s="661">
        <v>0</v>
      </c>
      <c r="E28" s="662">
        <f t="shared" si="2"/>
        <v>0</v>
      </c>
      <c r="F28" s="657">
        <f>IF(F$12=0,0,#REF!*F$12)</f>
        <v>0</v>
      </c>
      <c r="G28" s="663">
        <v>0</v>
      </c>
      <c r="H28" s="662">
        <f t="shared" si="0"/>
        <v>0</v>
      </c>
      <c r="I28" s="664">
        <v>0</v>
      </c>
      <c r="J28" s="659">
        <f t="shared" si="1"/>
        <v>0</v>
      </c>
      <c r="K28" s="659">
        <f t="shared" si="3"/>
        <v>0</v>
      </c>
    </row>
    <row r="29" spans="1:11">
      <c r="A29" s="649"/>
      <c r="B29" s="586"/>
      <c r="C29" s="586"/>
      <c r="D29" s="661">
        <v>0</v>
      </c>
      <c r="E29" s="662">
        <f t="shared" si="2"/>
        <v>0</v>
      </c>
      <c r="F29" s="657">
        <f>IF(F$12=0,0,#REF!*F$12)</f>
        <v>0</v>
      </c>
      <c r="G29" s="663">
        <v>0</v>
      </c>
      <c r="H29" s="662">
        <f t="shared" si="0"/>
        <v>0</v>
      </c>
      <c r="I29" s="664">
        <v>0</v>
      </c>
      <c r="J29" s="659">
        <f t="shared" si="1"/>
        <v>0</v>
      </c>
      <c r="K29" s="659">
        <f t="shared" si="3"/>
        <v>0</v>
      </c>
    </row>
    <row r="30" spans="1:11">
      <c r="A30" s="649"/>
      <c r="B30" s="586"/>
      <c r="C30" s="586"/>
      <c r="D30" s="661">
        <v>0</v>
      </c>
      <c r="E30" s="662">
        <f t="shared" si="2"/>
        <v>0</v>
      </c>
      <c r="F30" s="657">
        <f>IF(F$12=0,0,#REF!*F$12)</f>
        <v>0</v>
      </c>
      <c r="G30" s="663">
        <v>0</v>
      </c>
      <c r="H30" s="662">
        <f t="shared" si="0"/>
        <v>0</v>
      </c>
      <c r="I30" s="664">
        <v>0</v>
      </c>
      <c r="J30" s="659">
        <f t="shared" si="1"/>
        <v>0</v>
      </c>
      <c r="K30" s="659">
        <f t="shared" si="3"/>
        <v>0</v>
      </c>
    </row>
    <row r="31" spans="1:11">
      <c r="A31" s="649"/>
      <c r="B31" s="586"/>
      <c r="C31" s="586"/>
      <c r="D31" s="661">
        <v>0</v>
      </c>
      <c r="E31" s="662">
        <f t="shared" si="2"/>
        <v>0</v>
      </c>
      <c r="F31" s="657">
        <f>IF(F$12=0,0,#REF!*F$12)</f>
        <v>0</v>
      </c>
      <c r="G31" s="663">
        <v>0</v>
      </c>
      <c r="H31" s="662">
        <f t="shared" si="0"/>
        <v>0</v>
      </c>
      <c r="I31" s="664">
        <v>0</v>
      </c>
      <c r="J31" s="659">
        <f t="shared" si="1"/>
        <v>0</v>
      </c>
      <c r="K31" s="659">
        <f t="shared" si="3"/>
        <v>0</v>
      </c>
    </row>
    <row r="32" spans="1:11">
      <c r="A32" s="649"/>
      <c r="B32" s="586"/>
      <c r="C32" s="586"/>
      <c r="D32" s="661">
        <v>0</v>
      </c>
      <c r="E32" s="662">
        <f t="shared" si="2"/>
        <v>0</v>
      </c>
      <c r="F32" s="657">
        <f>IF(F$12=0,0,#REF!*F$12)</f>
        <v>0</v>
      </c>
      <c r="G32" s="663">
        <v>0</v>
      </c>
      <c r="H32" s="662">
        <f t="shared" si="0"/>
        <v>0</v>
      </c>
      <c r="I32" s="664">
        <v>0</v>
      </c>
      <c r="J32" s="659">
        <f t="shared" si="1"/>
        <v>0</v>
      </c>
      <c r="K32" s="659">
        <f t="shared" si="3"/>
        <v>0</v>
      </c>
    </row>
    <row r="33" spans="1:11">
      <c r="A33" s="649"/>
      <c r="B33" s="586"/>
      <c r="C33" s="586"/>
      <c r="D33" s="661">
        <v>0</v>
      </c>
      <c r="E33" s="662">
        <f t="shared" si="2"/>
        <v>0</v>
      </c>
      <c r="F33" s="657">
        <f>IF(F$12=0,0,#REF!*F$12)</f>
        <v>0</v>
      </c>
      <c r="G33" s="663">
        <v>0</v>
      </c>
      <c r="H33" s="662">
        <f t="shared" si="0"/>
        <v>0</v>
      </c>
      <c r="I33" s="664">
        <v>0</v>
      </c>
      <c r="J33" s="659">
        <f t="shared" si="1"/>
        <v>0</v>
      </c>
      <c r="K33" s="659">
        <f t="shared" si="3"/>
        <v>0</v>
      </c>
    </row>
    <row r="34" spans="1:11">
      <c r="A34" s="649"/>
      <c r="B34" s="586"/>
      <c r="C34" s="586"/>
      <c r="D34" s="661">
        <v>0</v>
      </c>
      <c r="E34" s="662">
        <f t="shared" si="2"/>
        <v>0</v>
      </c>
      <c r="F34" s="657">
        <f>IF(F$12=0,0,#REF!*F$12)</f>
        <v>0</v>
      </c>
      <c r="G34" s="663">
        <v>0</v>
      </c>
      <c r="H34" s="662">
        <f t="shared" si="0"/>
        <v>0</v>
      </c>
      <c r="I34" s="664">
        <v>0</v>
      </c>
      <c r="J34" s="659">
        <f t="shared" si="1"/>
        <v>0</v>
      </c>
      <c r="K34" s="659">
        <f t="shared" si="3"/>
        <v>0</v>
      </c>
    </row>
    <row r="35" spans="1:11">
      <c r="A35" s="649"/>
      <c r="B35" s="586"/>
      <c r="C35" s="586"/>
      <c r="D35" s="661">
        <v>0</v>
      </c>
      <c r="E35" s="662">
        <f t="shared" si="2"/>
        <v>0</v>
      </c>
      <c r="F35" s="657">
        <f>IF(F$12=0,0,#REF!*F$12)</f>
        <v>0</v>
      </c>
      <c r="G35" s="663">
        <v>0</v>
      </c>
      <c r="H35" s="662">
        <f t="shared" si="0"/>
        <v>0</v>
      </c>
      <c r="I35" s="664">
        <v>0</v>
      </c>
      <c r="J35" s="659">
        <f t="shared" si="1"/>
        <v>0</v>
      </c>
      <c r="K35" s="659">
        <f t="shared" si="3"/>
        <v>0</v>
      </c>
    </row>
    <row r="36" spans="1:11">
      <c r="A36" s="649"/>
      <c r="B36" s="586"/>
      <c r="C36" s="586"/>
      <c r="D36" s="661">
        <v>0</v>
      </c>
      <c r="E36" s="662">
        <f t="shared" si="2"/>
        <v>0</v>
      </c>
      <c r="F36" s="657">
        <f>IF(F$12=0,0,#REF!*F$12)</f>
        <v>0</v>
      </c>
      <c r="G36" s="663">
        <v>0</v>
      </c>
      <c r="H36" s="662">
        <f t="shared" si="0"/>
        <v>0</v>
      </c>
      <c r="I36" s="664">
        <v>0</v>
      </c>
      <c r="J36" s="659">
        <f t="shared" si="1"/>
        <v>0</v>
      </c>
      <c r="K36" s="659">
        <f t="shared" si="3"/>
        <v>0</v>
      </c>
    </row>
    <row r="37" spans="1:11">
      <c r="A37" s="649"/>
      <c r="B37" s="586"/>
      <c r="C37" s="586"/>
      <c r="D37" s="661">
        <v>0</v>
      </c>
      <c r="E37" s="662">
        <f t="shared" si="2"/>
        <v>0</v>
      </c>
      <c r="F37" s="657">
        <f>IF(F$12=0,0,#REF!*F$12)</f>
        <v>0</v>
      </c>
      <c r="G37" s="663">
        <v>0</v>
      </c>
      <c r="H37" s="662">
        <f t="shared" si="0"/>
        <v>0</v>
      </c>
      <c r="I37" s="664">
        <v>0</v>
      </c>
      <c r="J37" s="659">
        <f t="shared" si="1"/>
        <v>0</v>
      </c>
      <c r="K37" s="659">
        <f t="shared" si="3"/>
        <v>0</v>
      </c>
    </row>
    <row r="38" spans="1:11">
      <c r="A38" s="649"/>
      <c r="B38" s="565"/>
      <c r="C38" s="565"/>
      <c r="D38" s="665"/>
      <c r="E38" s="666"/>
      <c r="F38" s="566"/>
      <c r="G38" s="567"/>
      <c r="H38" s="565"/>
      <c r="I38" s="565"/>
      <c r="J38" s="565"/>
      <c r="K38" s="565"/>
    </row>
    <row r="39" spans="1:11">
      <c r="A39" s="649">
        <v>4</v>
      </c>
      <c r="B39" s="324" t="s">
        <v>689</v>
      </c>
      <c r="C39" s="324"/>
      <c r="D39" s="667">
        <f t="shared" ref="D39:F39" si="4">SUM(D18:D38)</f>
        <v>0</v>
      </c>
      <c r="E39" s="667">
        <f t="shared" si="4"/>
        <v>0</v>
      </c>
      <c r="F39" s="667">
        <f t="shared" si="4"/>
        <v>0</v>
      </c>
      <c r="G39" s="667">
        <f>SUM(G18:G38)</f>
        <v>0</v>
      </c>
      <c r="H39" s="667">
        <f>SUM(H18:H38)</f>
        <v>0</v>
      </c>
      <c r="I39" s="667"/>
      <c r="J39" s="667">
        <f>SUM(J18:J38)</f>
        <v>0</v>
      </c>
      <c r="K39" s="667">
        <f>SUM(K18:K38)</f>
        <v>0</v>
      </c>
    </row>
    <row r="40" spans="1:11">
      <c r="A40" s="649"/>
      <c r="B40" s="324"/>
      <c r="C40" s="324"/>
      <c r="D40" s="667"/>
      <c r="E40" s="667"/>
      <c r="F40" s="667"/>
      <c r="G40" s="667"/>
      <c r="H40" s="667"/>
      <c r="I40" s="667"/>
      <c r="J40" s="667"/>
      <c r="K40" s="667"/>
    </row>
    <row r="41" spans="1:11">
      <c r="A41" s="649"/>
      <c r="B41" s="324"/>
      <c r="C41" s="324"/>
      <c r="D41" s="667"/>
      <c r="E41" s="667"/>
      <c r="F41" s="667"/>
      <c r="G41" s="667" t="s">
        <v>640</v>
      </c>
      <c r="H41" s="667"/>
      <c r="I41" s="667"/>
      <c r="J41" s="668">
        <v>0</v>
      </c>
      <c r="K41" s="667"/>
    </row>
    <row r="42" spans="1:11">
      <c r="A42" s="649"/>
      <c r="B42" s="324"/>
      <c r="C42" s="324"/>
      <c r="D42" s="667"/>
      <c r="E42" s="667"/>
      <c r="F42" s="667"/>
      <c r="G42" s="667" t="s">
        <v>641</v>
      </c>
      <c r="H42" s="667"/>
      <c r="I42" s="667"/>
      <c r="J42" s="667">
        <f>+J39</f>
        <v>0</v>
      </c>
      <c r="K42" s="667"/>
    </row>
    <row r="43" spans="1:11">
      <c r="A43" s="649"/>
      <c r="B43" s="324" t="s">
        <v>274</v>
      </c>
      <c r="C43" s="324"/>
      <c r="D43" s="324"/>
      <c r="E43" s="324"/>
      <c r="F43" s="324"/>
      <c r="G43" s="324"/>
      <c r="H43" s="324"/>
      <c r="I43" s="324"/>
      <c r="J43" s="324"/>
      <c r="K43" s="324"/>
    </row>
    <row r="44" spans="1:11">
      <c r="A44" s="649"/>
      <c r="B44" s="324" t="s">
        <v>969</v>
      </c>
      <c r="C44" s="324"/>
      <c r="D44" s="324"/>
      <c r="E44" s="324"/>
      <c r="F44" s="324"/>
      <c r="G44" s="324"/>
      <c r="H44" s="324"/>
      <c r="I44" s="324"/>
      <c r="J44" s="324"/>
      <c r="K44" s="324"/>
    </row>
    <row r="45" spans="1:11">
      <c r="A45" s="649"/>
      <c r="B45" s="326" t="s">
        <v>970</v>
      </c>
      <c r="C45" s="324"/>
      <c r="D45" s="324"/>
      <c r="E45" s="324"/>
      <c r="F45" s="324"/>
      <c r="G45" s="324"/>
      <c r="H45" s="324"/>
      <c r="I45" s="324"/>
      <c r="J45" s="324"/>
      <c r="K45" s="324"/>
    </row>
    <row r="46" spans="1:11">
      <c r="A46" s="649"/>
      <c r="B46" s="324" t="s">
        <v>971</v>
      </c>
      <c r="C46" s="324"/>
      <c r="D46" s="324"/>
      <c r="E46" s="324"/>
      <c r="F46" s="324"/>
      <c r="G46" s="324"/>
      <c r="H46" s="324"/>
      <c r="I46" s="324"/>
      <c r="J46" s="324"/>
      <c r="K46" s="324"/>
    </row>
    <row r="47" spans="1:11">
      <c r="A47" s="649"/>
      <c r="B47" s="758" t="s">
        <v>886</v>
      </c>
      <c r="C47" s="324"/>
      <c r="D47" s="324"/>
      <c r="E47" s="324"/>
      <c r="F47" s="324"/>
      <c r="G47" s="324"/>
      <c r="H47" s="324"/>
      <c r="I47" s="324"/>
      <c r="J47" s="324"/>
      <c r="K47" s="324"/>
    </row>
    <row r="48" spans="1:11">
      <c r="A48" s="649"/>
      <c r="B48" s="324" t="s">
        <v>855</v>
      </c>
      <c r="C48" s="324"/>
      <c r="D48" s="324"/>
      <c r="E48" s="324"/>
      <c r="F48" s="324"/>
      <c r="G48" s="324"/>
      <c r="H48" s="324"/>
      <c r="I48" s="324"/>
      <c r="J48" s="324"/>
      <c r="K48" s="324"/>
    </row>
    <row r="49" spans="1:11">
      <c r="A49" s="649"/>
      <c r="B49" s="568" t="s">
        <v>887</v>
      </c>
      <c r="C49" s="324"/>
      <c r="D49" s="324"/>
      <c r="E49" s="324"/>
      <c r="F49" s="324"/>
      <c r="G49" s="324"/>
      <c r="H49" s="324"/>
      <c r="I49" s="324"/>
      <c r="J49" s="324"/>
      <c r="K49" s="324"/>
    </row>
    <row r="52" spans="1:11">
      <c r="A52" s="669" t="s">
        <v>744</v>
      </c>
      <c r="B52" s="758"/>
      <c r="C52" s="569"/>
      <c r="D52" s="27"/>
      <c r="E52" s="27"/>
      <c r="F52" s="27"/>
      <c r="G52" s="27"/>
      <c r="H52" s="27"/>
      <c r="I52" s="569"/>
      <c r="J52" s="569"/>
      <c r="K52" s="758"/>
    </row>
    <row r="53" spans="1:11">
      <c r="A53" s="670"/>
      <c r="B53" s="760" t="s">
        <v>292</v>
      </c>
      <c r="C53" s="571" t="s">
        <v>293</v>
      </c>
      <c r="D53" s="570" t="s">
        <v>294</v>
      </c>
      <c r="E53" s="570" t="s">
        <v>295</v>
      </c>
      <c r="F53" s="760"/>
      <c r="G53" s="758"/>
      <c r="H53" s="758"/>
      <c r="I53" s="758"/>
      <c r="J53" s="569"/>
      <c r="K53" s="758"/>
    </row>
    <row r="54" spans="1:11">
      <c r="A54" s="670"/>
      <c r="B54" s="572" t="str">
        <f>+A52</f>
        <v>Prior Period Adjustment</v>
      </c>
      <c r="C54" s="573" t="s">
        <v>19</v>
      </c>
      <c r="D54" s="574" t="s">
        <v>502</v>
      </c>
      <c r="E54" s="574" t="s">
        <v>21</v>
      </c>
      <c r="F54" s="758"/>
      <c r="G54" s="758"/>
      <c r="H54" s="758"/>
      <c r="I54" s="758"/>
      <c r="J54" s="569"/>
      <c r="K54" s="758"/>
    </row>
    <row r="55" spans="1:11">
      <c r="A55" s="670"/>
      <c r="B55" s="575" t="s">
        <v>745</v>
      </c>
      <c r="C55" s="576" t="s">
        <v>642</v>
      </c>
      <c r="D55" s="576" t="s">
        <v>602</v>
      </c>
      <c r="E55" s="576" t="s">
        <v>643</v>
      </c>
      <c r="F55" s="758"/>
      <c r="G55" s="758"/>
      <c r="H55" s="758"/>
      <c r="I55" s="758"/>
      <c r="J55" s="569"/>
      <c r="K55" s="758"/>
    </row>
    <row r="56" spans="1:11">
      <c r="A56" s="670" t="s">
        <v>216</v>
      </c>
      <c r="B56" s="577">
        <v>0</v>
      </c>
      <c r="C56" s="578">
        <v>0</v>
      </c>
      <c r="D56" s="578">
        <v>0</v>
      </c>
      <c r="E56" s="579">
        <f>+C56+D56</f>
        <v>0</v>
      </c>
      <c r="F56" s="758"/>
      <c r="G56" s="758"/>
      <c r="H56" s="758"/>
      <c r="I56" s="758"/>
      <c r="J56" s="569"/>
      <c r="K56" s="758"/>
    </row>
    <row r="57" spans="1:11">
      <c r="A57" s="670"/>
      <c r="B57" s="580"/>
      <c r="C57" s="51"/>
      <c r="D57" s="51"/>
      <c r="E57" s="453"/>
      <c r="F57" s="758"/>
      <c r="G57" s="758"/>
      <c r="H57" s="758"/>
      <c r="I57" s="758"/>
      <c r="J57" s="569"/>
      <c r="K57" s="758"/>
    </row>
    <row r="58" spans="1:11">
      <c r="A58" s="670"/>
      <c r="B58" s="758"/>
      <c r="C58" s="569"/>
      <c r="D58" s="569"/>
      <c r="E58" s="569"/>
      <c r="F58" s="569"/>
      <c r="G58" s="569"/>
      <c r="H58" s="18"/>
      <c r="I58" s="758"/>
      <c r="J58" s="569"/>
      <c r="K58" s="758"/>
    </row>
    <row r="59" spans="1:11">
      <c r="A59" s="670"/>
      <c r="B59" s="758"/>
      <c r="C59" s="772"/>
      <c r="D59" s="581"/>
      <c r="E59" s="581"/>
      <c r="F59" s="581"/>
      <c r="G59" s="581"/>
      <c r="H59" s="581"/>
      <c r="I59" s="581"/>
      <c r="J59" s="569"/>
      <c r="K59" s="758"/>
    </row>
    <row r="60" spans="1:11" ht="67.5" customHeight="1">
      <c r="A60" s="671" t="s">
        <v>274</v>
      </c>
      <c r="B60" s="124" t="s">
        <v>75</v>
      </c>
      <c r="C60" s="1123" t="s">
        <v>968</v>
      </c>
      <c r="D60" s="1123"/>
      <c r="E60" s="1123"/>
      <c r="F60" s="1123"/>
      <c r="G60" s="1123"/>
      <c r="H60" s="1123"/>
      <c r="I60" s="1123"/>
      <c r="J60" s="1123"/>
      <c r="K60" s="758"/>
    </row>
    <row r="61" spans="1:11" ht="34.5" customHeight="1">
      <c r="A61" s="670"/>
      <c r="B61" s="548" t="s">
        <v>76</v>
      </c>
      <c r="C61" s="1118" t="s">
        <v>746</v>
      </c>
      <c r="D61" s="1118"/>
      <c r="E61" s="1118"/>
      <c r="F61" s="1118"/>
      <c r="G61" s="1118"/>
      <c r="H61" s="1118"/>
      <c r="I61" s="1118"/>
      <c r="J61" s="569"/>
      <c r="K61" s="758"/>
    </row>
  </sheetData>
  <mergeCells count="4">
    <mergeCell ref="D10:E10"/>
    <mergeCell ref="D11:E11"/>
    <mergeCell ref="C60:J60"/>
    <mergeCell ref="C61:I61"/>
  </mergeCells>
  <pageMargins left="0.7" right="0.7" top="0.75" bottom="0.75" header="0.3" footer="0.3"/>
  <pageSetup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FE16AEA9E78843A4F2ABC0E8E4C15A" ma:contentTypeVersion="17" ma:contentTypeDescription="Create a new document." ma:contentTypeScope="" ma:versionID="7ba185b929f40fc327a8bb672973224f">
  <xsd:schema xmlns:xsd="http://www.w3.org/2001/XMLSchema" xmlns:xs="http://www.w3.org/2001/XMLSchema" xmlns:p="http://schemas.microsoft.com/office/2006/metadata/properties" xmlns:ns2="57fd0499-4d08-43aa-b485-74857217199e" xmlns:ns3="44bb2e18-b621-4b79-9709-e425321f44c0" targetNamespace="http://schemas.microsoft.com/office/2006/metadata/properties" ma:root="true" ma:fieldsID="89ae029f324a6109b958c4043f063633" ns2:_="" ns3:_="">
    <xsd:import namespace="57fd0499-4d08-43aa-b485-74857217199e"/>
    <xsd:import namespace="44bb2e18-b621-4b79-9709-e425321f44c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e14172f09c524a93b6dd463260c21cae" minOccurs="0"/>
                <xsd:element ref="ns2:TaxCatchAll" minOccurs="0"/>
                <xsd:element ref="ns3:Accounting_x0020_Doc_x0020_Type" minOccurs="0"/>
                <xsd:element ref="ns3:Vendor" minOccurs="0"/>
                <xsd:element ref="ns3:Invoice_x0020_Date" minOccurs="0"/>
                <xsd:element ref="ns3:Approver_x0020_1" minOccurs="0"/>
                <xsd:element ref="ns3:Approver_x0020_2"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d0499-4d08-43aa-b485-748572171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element name="TaxCatchAll" ma:index="17" nillable="true" ma:displayName="Taxonomy Catch All Column" ma:description="" ma:hidden="true" ma:list="{7089dbff-b1de-413d-bf17-65e1a9a2bcff}" ma:internalName="TaxCatchAll" ma:showField="CatchAllData" ma:web="57fd0499-4d08-43aa-b485-7485721719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bb2e18-b621-4b79-9709-e425321f44c0" elementFormDefault="qualified">
    <xsd:import namespace="http://schemas.microsoft.com/office/2006/documentManagement/types"/>
    <xsd:import namespace="http://schemas.microsoft.com/office/infopath/2007/PartnerControls"/>
    <xsd:element name="e14172f09c524a93b6dd463260c21cae" ma:index="16" nillable="true" ma:taxonomy="true" ma:internalName="e14172f09c524a93b6dd463260c21cae" ma:taxonomyFieldName="Department" ma:displayName="Department" ma:default="" ma:fieldId="{e14172f0-9c52-4a93-b6dd-463260c21cae}" ma:sspId="8f173cb5-2c43-45bb-9c17-e897180e9c4a" ma:termSetId="204c630e-9f68-410a-9033-75b74d9c0a0a" ma:anchorId="00000000-0000-0000-0000-000000000000" ma:open="true" ma:isKeyword="false">
      <xsd:complexType>
        <xsd:sequence>
          <xsd:element ref="pc:Terms" minOccurs="0" maxOccurs="1"/>
        </xsd:sequence>
      </xsd:complexType>
    </xsd:element>
    <xsd:element name="Accounting_x0020_Doc_x0020_Type" ma:index="18" nillable="true" ma:displayName="Accounting Doc Type" ma:format="Dropdown" ma:internalName="Accounting_x0020_Doc_x0020_Type">
      <xsd:simpleType>
        <xsd:restriction base="dms:Choice">
          <xsd:enumeration value="Invoice"/>
        </xsd:restriction>
      </xsd:simpleType>
    </xsd:element>
    <xsd:element name="Vendor" ma:index="19" nillable="true" ma:displayName="Vendor" ma:internalName="Vendor">
      <xsd:simpleType>
        <xsd:restriction base="dms:Text">
          <xsd:maxLength value="255"/>
        </xsd:restriction>
      </xsd:simpleType>
    </xsd:element>
    <xsd:element name="Invoice_x0020_Date" ma:index="20" nillable="true" ma:displayName="Invoice Date" ma:internalName="Invoice_x0020_Date">
      <xsd:simpleType>
        <xsd:restriction base="dms:Text">
          <xsd:maxLength value="255"/>
        </xsd:restriction>
      </xsd:simpleType>
    </xsd:element>
    <xsd:element name="Approver_x0020_1" ma:index="21" nillable="true" ma:displayName="Approver 1" ma:list="UserInfo" ma:SharePointGroup="0" ma:internalName="Approver_x0020_1"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_x0020_2" ma:index="22" nillable="true" ma:displayName="Approver 2" ma:list="UserInfo" ma:SharePointGroup="0" ma:internalName="Approv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7fd0499-4d08-43aa-b485-74857217199e">5W34HDKMVS23-123873917-18064</_dlc_DocId>
    <_dlc_DocIdUrl xmlns="57fd0499-4d08-43aa-b485-74857217199e">
      <Url>https://gridliance.sharepoint.com/sites/dms/_layouts/15/DocIdRedir.aspx?ID=5W34HDKMVS23-123873917-18064</Url>
      <Description>5W34HDKMVS23-123873917-18064</Description>
    </_dlc_DocIdUrl>
    <Invoice_x0020_Date xmlns="44bb2e18-b621-4b79-9709-e425321f44c0" xsi:nil="true"/>
    <e14172f09c524a93b6dd463260c21cae xmlns="44bb2e18-b621-4b79-9709-e425321f44c0">
      <Terms xmlns="http://schemas.microsoft.com/office/infopath/2007/PartnerControls"/>
    </e14172f09c524a93b6dd463260c21cae>
    <Approver_x0020_2 xmlns="44bb2e18-b621-4b79-9709-e425321f44c0">
      <UserInfo>
        <DisplayName/>
        <AccountId xsi:nil="true"/>
        <AccountType/>
      </UserInfo>
    </Approver_x0020_2>
    <Accounting_x0020_Doc_x0020_Type xmlns="44bb2e18-b621-4b79-9709-e425321f44c0" xsi:nil="true"/>
    <TaxCatchAll xmlns="57fd0499-4d08-43aa-b485-74857217199e"/>
    <Vendor xmlns="44bb2e18-b621-4b79-9709-e425321f44c0" xsi:nil="true"/>
    <Approver_x0020_1 xmlns="44bb2e18-b621-4b79-9709-e425321f44c0">
      <UserInfo>
        <DisplayName/>
        <AccountId xsi:nil="true"/>
        <AccountType/>
      </UserInfo>
    </Approver_x0020_1>
  </documentManagement>
</p:properties>
</file>

<file path=customXml/itemProps1.xml><?xml version="1.0" encoding="utf-8"?>
<ds:datastoreItem xmlns:ds="http://schemas.openxmlformats.org/officeDocument/2006/customXml" ds:itemID="{6C0DD44D-50DD-40E3-9A20-0A3140615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d0499-4d08-43aa-b485-74857217199e"/>
    <ds:schemaRef ds:uri="44bb2e18-b621-4b79-9709-e425321f44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66E2C1DA-A6D0-4F95-8B1A-88ADDEF73894}">
  <ds:schemaRefs>
    <ds:schemaRef ds:uri="http://schemas.microsoft.com/sharepoint/events"/>
  </ds:schemaRefs>
</ds:datastoreItem>
</file>

<file path=customXml/itemProps4.xml><?xml version="1.0" encoding="utf-8"?>
<ds:datastoreItem xmlns:ds="http://schemas.openxmlformats.org/officeDocument/2006/customXml" ds:itemID="{988DBC8E-E135-4F5E-ADEE-BD14D77AAFE6}">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44bb2e18-b621-4b79-9709-e425321f44c0"/>
    <ds:schemaRef ds:uri="57fd0499-4d08-43aa-b485-74857217199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11-Wholesale Distribution</vt:lpstr>
      <vt:lpstr>11a-Wholesale Distribution </vt:lpstr>
      <vt:lpstr>12 Wholesale Dist True-Up</vt:lpstr>
      <vt:lpstr>'10-Dep Rates'!Print_Area</vt:lpstr>
      <vt:lpstr>'11a-Wholesale Distribution '!Print_Area</vt:lpstr>
      <vt:lpstr>'11-Wholesale Distribution'!Print_Area</vt:lpstr>
      <vt:lpstr>'1-Project Rev Req'!Print_Area</vt:lpstr>
      <vt:lpstr>'2-Incentive ROE'!Print_Area</vt:lpstr>
      <vt:lpstr>'3-Project True-up'!Print_Area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'7 - PBOP'!Print_Area</vt:lpstr>
      <vt:lpstr>'8-Construction Loan'!Print_Area</vt:lpstr>
      <vt:lpstr>'Attachment H'!Print_Area</vt:lpstr>
      <vt:lpstr>'4a-ADIT Projection'!Print_Titles</vt:lpstr>
      <vt:lpstr>'4b-ADIT Projection Proration'!Print_Titles</vt:lpstr>
      <vt:lpstr>'4e-ADIT True-up'!Print_Titles</vt:lpstr>
      <vt:lpstr>'4f-ADIT True-up Proration'!Print_Titles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Lowe, Amy</cp:lastModifiedBy>
  <cp:lastPrinted>2021-03-19T17:58:07Z</cp:lastPrinted>
  <dcterms:created xsi:type="dcterms:W3CDTF">1970-01-01T04:00:00Z</dcterms:created>
  <dcterms:modified xsi:type="dcterms:W3CDTF">2021-10-01T13:56:26Z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0x01010074FE16AEA9E78843A4F2ABC0E8E4C15A</vt:lpwstr>
  </property>
  <property fmtid="{D5CDD505-2E9C-101B-9397-08002B2CF9AE}" pid="5" name="_dlc_DocIdItemGuid">
    <vt:lpwstr>517232c4-5f2b-419c-ba46-5444f2c99e79</vt:lpwstr>
  </property>
  <property fmtid="{D5CDD505-2E9C-101B-9397-08002B2CF9AE}" pid="6" name="{A44787D4-0540-4523-9961-78E4036D8C6D}">
    <vt:lpwstr>{7A29DD10-A22F-40BD-9C41-8777F6BA9C44}</vt:lpwstr>
  </property>
  <property fmtid="{D5CDD505-2E9C-101B-9397-08002B2CF9AE}" pid="7" name="Department">
    <vt:lpwstr/>
  </property>
</Properties>
</file>