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Finance Sync\OneDrive - Gridliance(1)\Formula Rates\GL High Plains (SPP)\2020 RY\"/>
    </mc:Choice>
  </mc:AlternateContent>
  <xr:revisionPtr revIDLastSave="0" documentId="13_ncr:1_{AA43513F-3D67-4513-9476-0481A713172D}" xr6:coauthVersionLast="41" xr6:coauthVersionMax="41" xr10:uidLastSave="{00000000-0000-0000-0000-000000000000}"/>
  <bookViews>
    <workbookView xWindow="-120" yWindow="-120" windowWidth="29040" windowHeight="15525" tabRatio="916" xr2:uid="{88C6F73A-E218-4FFC-80BE-0D1D421EAE76}"/>
  </bookViews>
  <sheets>
    <sheet name="Attachment H" sheetId="1" r:id="rId1"/>
    <sheet name="1-Project Rev Req" sheetId="2" r:id="rId2"/>
    <sheet name="2-Incentive ROE" sheetId="3" r:id="rId3"/>
    <sheet name="3-Project True-up" sheetId="4" r:id="rId4"/>
    <sheet name="4- Rate Base" sheetId="5" r:id="rId5"/>
    <sheet name="5-P3 Support" sheetId="6" r:id="rId6"/>
    <sheet name="13 - Income Taxes" sheetId="7" r:id="rId7"/>
    <sheet name="4a - ADIT Projection" sheetId="8" r:id="rId8"/>
    <sheet name="4b - ADIT Projection Proration" sheetId="9" r:id="rId9"/>
    <sheet name="4c - ADIT BOY" sheetId="10" r:id="rId10"/>
    <sheet name="4d - ADIT EOY" sheetId="11" r:id="rId11"/>
    <sheet name="4e - ADIT True-up" sheetId="12" r:id="rId12"/>
    <sheet name="4f - ADIT True-up Proration" sheetId="13" r:id="rId13"/>
    <sheet name="6-True-Up Interest" sheetId="14" r:id="rId14"/>
    <sheet name="7 - PBOP" sheetId="15" r:id="rId15"/>
    <sheet name="8-Construction Loan" sheetId="16" r:id="rId16"/>
    <sheet name="9-Construction Loan True-up" sheetId="17" r:id="rId17"/>
    <sheet name="10-Dep Rates" sheetId="18" r:id="rId18"/>
    <sheet name="11-Wholesale Distribution" sheetId="19" state="hidden" r:id="rId19"/>
    <sheet name="11a-Wholesale Distribution " sheetId="20" state="hidden" r:id="rId20"/>
    <sheet name="12 Wholesale Dist True-Up" sheetId="21" state="hidden" r:id="rId21"/>
  </sheets>
  <externalReferences>
    <externalReference r:id="rId22"/>
    <externalReference r:id="rId23"/>
    <externalReference r:id="rId24"/>
    <externalReference r:id="rId25"/>
    <externalReference r:id="rId26"/>
  </externalReferences>
  <definedNames>
    <definedName name="_1E_1">#N/A</definedName>
    <definedName name="_31_Dec_00" localSheetId="18">#REF!</definedName>
    <definedName name="_31_Dec_00" localSheetId="2">#REF!</definedName>
    <definedName name="_31_Dec_00">#REF!</definedName>
    <definedName name="_31_Jan_01" localSheetId="18">#REF!</definedName>
    <definedName name="_31_Jan_01">#REF!</definedName>
    <definedName name="_Fill" hidden="1">#REF!</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lignment" hidden="1">"a1"</definedName>
    <definedName name="anscount" hidden="1">1</definedName>
    <definedName name="AS2DocOpenMode" hidden="1">"AS2DocumentEdit"</definedName>
    <definedName name="Balances" localSheetId="18">#REF!</definedName>
    <definedName name="Balances" localSheetId="6">#REF!</definedName>
    <definedName name="Balances">#REF!</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can" hidden="1">{#N/A,#N/A,FALSE,"O&amp;M by processes";#N/A,#N/A,FALSE,"Elec Act vs Bud";#N/A,#N/A,FALSE,"G&amp;A";#N/A,#N/A,FALSE,"BGS";#N/A,#N/A,FALSE,"Res Cost"}</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H_COS" localSheetId="18">#REF!</definedName>
    <definedName name="CH_COS" localSheetId="6">#REF!</definedName>
    <definedName name="CH_COS" localSheetId="1">#REF!</definedName>
    <definedName name="CH_COS">#REF!</definedName>
    <definedName name="ClientMatter" hidden="1">"b1"</definedName>
    <definedName name="Columns" localSheetId="18">#REF!</definedName>
    <definedName name="Columns">#REF!</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urrent_sum" localSheetId="18">#REF!</definedName>
    <definedName name="Current_sum" localSheetId="6">#REF!</definedName>
    <definedName name="Current_sum">#REF!</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ta_3">[2]Permanent!$A$9:$O$20</definedName>
    <definedName name="Date" hidden="1">"b1"</definedName>
    <definedName name="DefaultCopy" localSheetId="18">#REF!</definedName>
    <definedName name="DefaultCopy" localSheetId="2">#REF!</definedName>
    <definedName name="DefaultCopy">#REF!</definedName>
    <definedName name="DefaultPaste" localSheetId="18">#REF!</definedName>
    <definedName name="DefaultPaste">#REF!</definedName>
    <definedName name="delete" hidden="1">{#N/A,#N/A,FALSE,"CURRENT"}</definedName>
    <definedName name="detail" localSheetId="18">#REF!</definedName>
    <definedName name="detail" localSheetId="6">#REF!</definedName>
    <definedName name="detail">#REF!</definedName>
    <definedName name="DocumentName" hidden="1">"b1"</definedName>
    <definedName name="DocumentNum" hidden="1">"a1"</definedName>
    <definedName name="eeee" hidden="1">{#N/A,#N/A,FALSE,"O&amp;M by processes";#N/A,#N/A,FALSE,"Elec Act vs Bud";#N/A,#N/A,FALSE,"G&amp;A";#N/A,#N/A,FALSE,"BGS";#N/A,#N/A,FALSE,"Res Cost"}</definedName>
    <definedName name="EV__LASTREFTIME__" hidden="1">39826.8319444444</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itc" localSheetId="18">#REF!</definedName>
    <definedName name="itc" localSheetId="6">#REF!</definedName>
    <definedName name="itc">#REF!</definedName>
    <definedName name="kk" localSheetId="18">#REF!</definedName>
    <definedName name="kk">#REF!</definedName>
    <definedName name="Library" hidden="1">"a1"</definedName>
    <definedName name="limcount" hidden="1">1</definedName>
    <definedName name="Mgmt" localSheetId="18">[3]Current!#REF!</definedName>
    <definedName name="Mgmt" localSheetId="2">[3]Current!#REF!</definedName>
    <definedName name="Mgmt">[3]Current!#REF!</definedName>
    <definedName name="million">1000000</definedName>
    <definedName name="months">[2]Permanent!$A$24:$A$35</definedName>
    <definedName name="new" localSheetId="18">#REF!</definedName>
    <definedName name="new" localSheetId="2">#REF!</definedName>
    <definedName name="new">#REF!</definedName>
    <definedName name="NSP_COS" localSheetId="18">#REF!</definedName>
    <definedName name="NSP_COS" localSheetId="1">#REF!</definedName>
    <definedName name="NSP_COS">#REF!</definedName>
    <definedName name="one">1</definedName>
    <definedName name="_xlnm.Print_Area" localSheetId="17">'10-Dep Rates'!$A$1:$C$40</definedName>
    <definedName name="_xlnm.Print_Area" localSheetId="19">'11a-Wholesale Distribution '!$A$1:$O$209</definedName>
    <definedName name="_xlnm.Print_Area" localSheetId="18">'11-Wholesale Distribution'!$A$1:$M$99</definedName>
    <definedName name="_xlnm.Print_Area" localSheetId="1">'1-Project Rev Req'!$A$1:$S$108</definedName>
    <definedName name="_xlnm.Print_Area" localSheetId="2">'2-Incentive ROE'!$A$1:$K$46</definedName>
    <definedName name="_xlnm.Print_Area" localSheetId="4">'4- Rate Base'!$A$1:$J$72</definedName>
    <definedName name="_xlnm.Print_Area" localSheetId="5">'5-P3 Support'!$A$1:$M$94</definedName>
    <definedName name="_xlnm.Print_Area" localSheetId="14">'7 - PBOP'!$A$1:$I$21</definedName>
    <definedName name="_xlnm.Print_Area" localSheetId="15">'8-Construction Loan'!$A$1:$J$104</definedName>
    <definedName name="_xlnm.Print_Area" localSheetId="0">'Attachment H'!$A$1:$K$278</definedName>
    <definedName name="Print1" localSheetId="18">#REF!</definedName>
    <definedName name="Print1" localSheetId="1">#REF!</definedName>
    <definedName name="Print1" localSheetId="2">#REF!</definedName>
    <definedName name="Print1">#REF!</definedName>
    <definedName name="Print3" localSheetId="18">#REF!</definedName>
    <definedName name="Print3" localSheetId="1">#REF!</definedName>
    <definedName name="Print3">#REF!</definedName>
    <definedName name="Print4" localSheetId="18">#REF!</definedName>
    <definedName name="Print4" localSheetId="1">#REF!</definedName>
    <definedName name="Print4">#REF!</definedName>
    <definedName name="Print5" localSheetId="18">#REF!</definedName>
    <definedName name="Print5">#REF!</definedName>
    <definedName name="ProjIDList" localSheetId="18">#REF!</definedName>
    <definedName name="ProjIDList">#REF!</definedName>
    <definedName name="PSCo_COS" localSheetId="18">#REF!</definedName>
    <definedName name="PSCo_COS">#REF!</definedName>
    <definedName name="q_MTEP06_App_AB_Facility" localSheetId="18">#REF!</definedName>
    <definedName name="q_MTEP06_App_AB_Facility">#REF!</definedName>
    <definedName name="q_MTEP06_App_AB_Projects" localSheetId="18">#REF!</definedName>
    <definedName name="q_MTEP06_App_AB_Projects">#REF!</definedName>
    <definedName name="revreq" localSheetId="18">#REF!</definedName>
    <definedName name="revreq">#REF!</definedName>
    <definedName name="rrrr" hidden="1">{#N/A,#N/A,FALSE,"O&amp;M by processes";#N/A,#N/A,FALSE,"Elec Act vs Bud";#N/A,#N/A,FALSE,"G&amp;A";#N/A,#N/A,FALSE,"BGS";#N/A,#N/A,FALSE,"Res Cost"}</definedName>
    <definedName name="shiva" hidden="1">{#N/A,#N/A,FALSE,"O&amp;M by processes";#N/A,#N/A,FALSE,"Elec Act vs Bud";#N/A,#N/A,FALSE,"G&amp;A";#N/A,#N/A,FALSE,"BGS";#N/A,#N/A,FALSE,"Res Cost"}</definedName>
    <definedName name="solver_adj" localSheetId="15" hidden="1">'8-Construction Loan'!$D$50</definedName>
    <definedName name="solver_cvg" localSheetId="15" hidden="1">0.0001</definedName>
    <definedName name="solver_drv" localSheetId="15" hidden="1">1</definedName>
    <definedName name="solver_eng" localSheetId="15" hidden="1">1</definedName>
    <definedName name="solver_est" localSheetId="15" hidden="1">1</definedName>
    <definedName name="solver_itr" localSheetId="15" hidden="1">2147483647</definedName>
    <definedName name="solver_mip" localSheetId="15" hidden="1">2147483647</definedName>
    <definedName name="solver_mni" localSheetId="15" hidden="1">30</definedName>
    <definedName name="solver_mrt" localSheetId="15" hidden="1">0.075</definedName>
    <definedName name="solver_msl" localSheetId="15" hidden="1">2</definedName>
    <definedName name="solver_neg" localSheetId="15" hidden="1">1</definedName>
    <definedName name="solver_nod" localSheetId="15" hidden="1">2147483647</definedName>
    <definedName name="solver_num" localSheetId="15" hidden="1">0</definedName>
    <definedName name="solver_nwt" localSheetId="15" hidden="1">1</definedName>
    <definedName name="solver_opt" localSheetId="15" hidden="1">'8-Construction Loan'!$F$12</definedName>
    <definedName name="solver_pre" localSheetId="15" hidden="1">0.000001</definedName>
    <definedName name="solver_rbv" localSheetId="15" hidden="1">1</definedName>
    <definedName name="solver_rlx" localSheetId="15" hidden="1">2</definedName>
    <definedName name="solver_rsd" localSheetId="15" hidden="1">0</definedName>
    <definedName name="solver_scl" localSheetId="15" hidden="1">1</definedName>
    <definedName name="solver_sho" localSheetId="15" hidden="1">2</definedName>
    <definedName name="solver_ssz" localSheetId="15" hidden="1">100</definedName>
    <definedName name="solver_tim" localSheetId="15" hidden="1">2147483647</definedName>
    <definedName name="solver_tol" localSheetId="15" hidden="1">0.01</definedName>
    <definedName name="solver_typ" localSheetId="15" hidden="1">3</definedName>
    <definedName name="solver_val" localSheetId="15" hidden="1">200000000</definedName>
    <definedName name="solver_ver" localSheetId="15" hidden="1">3</definedName>
    <definedName name="SPS_COS" localSheetId="18">#REF!</definedName>
    <definedName name="SPS_COS" localSheetId="2">#REF!</definedName>
    <definedName name="SPS_COS">#REF!</definedName>
    <definedName name="statsrevised" hidden="1">{#N/A,#N/A,FALSE,"O&amp;M by processes";#N/A,#N/A,FALSE,"Elec Act vs Bud";#N/A,#N/A,FALSE,"G&amp;A";#N/A,#N/A,FALSE,"BGS";#N/A,#N/A,FALSE,"Res Cost"}</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taxcalc" localSheetId="18">#REF!</definedName>
    <definedName name="taxcalc" localSheetId="6">#REF!</definedName>
    <definedName name="taxcalc">#REF!</definedName>
    <definedName name="thousand">1000</definedName>
    <definedName name="Time" hidden="1">"b1"</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ta_Deferred" localSheetId="18">#REF!</definedName>
    <definedName name="Tota_Deferred" localSheetId="6">#REF!</definedName>
    <definedName name="Tota_Deferred">#REF!</definedName>
    <definedName name="Typist" hidden="1">"b1"</definedName>
    <definedName name="Version" hidden="1">"a1"</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rn" hidden="1">{#N/A,#N/A,FALSE,"O&amp;M by processes";#N/A,#N/A,FALSE,"Elec Act vs Bud";#N/A,#N/A,FALSE,"G&amp;A";#N/A,#N/A,FALSE,"BGS";#N/A,#N/A,FALSE,"Res Cost"}</definedName>
    <definedName name="wrn.722." hidden="1">{#N/A,#N/A,FALSE,"CURRENT"}</definedName>
    <definedName name="wrn.AGT." hidden="1">{"AGT",#N/A,FALSE,"Revenue"}</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HLP._.Detail." hidden="1">{"2002 - 2006 Detail Income Statement",#N/A,FALSE,"TUB Income Statement wo DW";"BGS Deferral",#N/A,FALSE,"BGS Deferral";"NNC Deferral",#N/A,FALSE,"NNC Deferral";"MTC Deferral",#N/A,FALSE,"MTC Deferral";#N/A,#N/A,FALSE,"Schedule D"}</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hidden="1">{#N/A,#N/A,FALSE,"Work performed";#N/A,#N/A,FALSE,"Resources"}</definedName>
    <definedName name="wrn.Tax._.Accrual." hidden="1">{#N/A,#N/A,TRUE,"TAXPROV";#N/A,#N/A,TRUE,"FLOWTHRU";#N/A,#N/A,TRUE,"SCHEDULE M'S";#N/A,#N/A,TRUE,"PLANT M'S";#N/A,#N/A,TRUE,"TAXJE"}</definedName>
    <definedName name="Xcel" localSheetId="18">'[4]Data Entry and Forecaster'!#REF!</definedName>
    <definedName name="Xcel" localSheetId="6">'[5]Data Entry and Forecaster'!#REF!</definedName>
    <definedName name="Xcel" localSheetId="1">'[4]Data Entry and Forecaster'!#REF!</definedName>
    <definedName name="Xcel">'[5]Data Entry and Forecaster'!#REF!</definedName>
    <definedName name="Xcel_COS" localSheetId="18">#REF!</definedName>
    <definedName name="Xcel_COS" localSheetId="1">#REF!</definedName>
    <definedName name="Xcel_COS" localSheetId="2">#REF!</definedName>
    <definedName name="Xcel_COS">#REF!</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Z_F04A2B9A_C6FE_4FEB_AD1E_2CF9AC309BE4_.wvu.PrintArea" localSheetId="18" hidden="1">'11-Wholesale Distribution'!$A$1:$Q$100</definedName>
    <definedName name="Z_F04A2B9A_C6FE_4FEB_AD1E_2CF9AC309BE4_.wvu.PrintArea" localSheetId="1" hidden="1">'1-Project Rev Req'!$A$1:$Q$105</definedName>
    <definedName name="Z_F04A2B9A_C6FE_4FEB_AD1E_2CF9AC309BE4_.wvu.PrintArea" localSheetId="3" hidden="1">'3-Project True-up'!$A$1:$L$24</definedName>
    <definedName name="Z_F04A2B9A_C6FE_4FEB_AD1E_2CF9AC309BE4_.wvu.PrintArea" localSheetId="4" hidden="1">'4- Rate Base'!$A$1:$L$49</definedName>
    <definedName name="Z_F04A2B9A_C6FE_4FEB_AD1E_2CF9AC309BE4_.wvu.PrintArea" localSheetId="15" hidden="1">'8-Construction Loan'!$A$2:$J$85</definedName>
    <definedName name="Z_F04A2B9A_C6FE_4FEB_AD1E_2CF9AC309BE4_.wvu.PrintArea" localSheetId="0" hidden="1">'Attachment H'!$A$1:$K$272</definedName>
    <definedName name="zero">0</definedName>
  </definedNames>
  <calcPr calcId="191029" iterate="1"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6" i="21" l="1"/>
  <c r="B54" i="21"/>
  <c r="G39" i="21"/>
  <c r="D39" i="21"/>
  <c r="E33" i="21" s="1"/>
  <c r="F37" i="21"/>
  <c r="H37" i="21" s="1"/>
  <c r="E37" i="21"/>
  <c r="K36" i="21"/>
  <c r="J36" i="21"/>
  <c r="H36" i="21"/>
  <c r="F36" i="21"/>
  <c r="J35" i="21"/>
  <c r="H35" i="21"/>
  <c r="K35" i="21" s="1"/>
  <c r="F35" i="21"/>
  <c r="E35" i="21"/>
  <c r="F34" i="21"/>
  <c r="H34" i="21" s="1"/>
  <c r="E34" i="21"/>
  <c r="K33" i="21"/>
  <c r="J33" i="21"/>
  <c r="H33" i="21"/>
  <c r="F33" i="21"/>
  <c r="H32" i="21"/>
  <c r="F32" i="21"/>
  <c r="E32" i="21"/>
  <c r="F31" i="21"/>
  <c r="H31" i="21" s="1"/>
  <c r="K30" i="21"/>
  <c r="J30" i="21"/>
  <c r="H30" i="21"/>
  <c r="F30" i="21"/>
  <c r="E30" i="21"/>
  <c r="F29" i="21"/>
  <c r="H29" i="21" s="1"/>
  <c r="E29" i="21"/>
  <c r="K28" i="21"/>
  <c r="J28" i="21"/>
  <c r="H28" i="21"/>
  <c r="F28" i="21"/>
  <c r="J27" i="21"/>
  <c r="H27" i="21"/>
  <c r="K27" i="21" s="1"/>
  <c r="F27" i="21"/>
  <c r="E27" i="21"/>
  <c r="F26" i="21"/>
  <c r="H26" i="21" s="1"/>
  <c r="E26" i="21"/>
  <c r="K25" i="21"/>
  <c r="J25" i="21"/>
  <c r="H25" i="21"/>
  <c r="F25" i="21"/>
  <c r="H24" i="21"/>
  <c r="F24" i="21"/>
  <c r="E24" i="21"/>
  <c r="F23" i="21"/>
  <c r="H23" i="21" s="1"/>
  <c r="K22" i="21"/>
  <c r="J22" i="21"/>
  <c r="H22" i="21"/>
  <c r="F22" i="21"/>
  <c r="E22" i="21"/>
  <c r="F21" i="21"/>
  <c r="H21" i="21" s="1"/>
  <c r="E21" i="21"/>
  <c r="K20" i="21"/>
  <c r="J20" i="21"/>
  <c r="H20" i="21"/>
  <c r="F20" i="21"/>
  <c r="J19" i="21"/>
  <c r="H19" i="21"/>
  <c r="K19" i="21" s="1"/>
  <c r="F19" i="21"/>
  <c r="E19" i="21"/>
  <c r="H18" i="21"/>
  <c r="J18" i="21" s="1"/>
  <c r="F18" i="21"/>
  <c r="E18" i="21"/>
  <c r="L205" i="20"/>
  <c r="E205" i="20"/>
  <c r="L204" i="20"/>
  <c r="L200" i="20"/>
  <c r="L199" i="20"/>
  <c r="H192" i="20"/>
  <c r="G192" i="20"/>
  <c r="E192" i="20"/>
  <c r="A186" i="20"/>
  <c r="A187" i="20" s="1"/>
  <c r="A188" i="20" s="1"/>
  <c r="A189" i="20" s="1"/>
  <c r="A190" i="20" s="1"/>
  <c r="A191" i="20" s="1"/>
  <c r="A192" i="20" s="1"/>
  <c r="A198" i="20" s="1"/>
  <c r="D185" i="20"/>
  <c r="D186" i="20" s="1"/>
  <c r="D187" i="20" s="1"/>
  <c r="D188" i="20" s="1"/>
  <c r="D189" i="20" s="1"/>
  <c r="D190" i="20" s="1"/>
  <c r="D191" i="20" s="1"/>
  <c r="D184" i="20"/>
  <c r="A180" i="20"/>
  <c r="A181" i="20" s="1"/>
  <c r="A182" i="20" s="1"/>
  <c r="A183" i="20" s="1"/>
  <c r="A184" i="20" s="1"/>
  <c r="A185" i="20" s="1"/>
  <c r="A179" i="20"/>
  <c r="E175" i="20"/>
  <c r="H161" i="20"/>
  <c r="H160" i="20"/>
  <c r="G160" i="20"/>
  <c r="E160" i="20"/>
  <c r="E154" i="20"/>
  <c r="H152" i="20" s="1"/>
  <c r="E147" i="20"/>
  <c r="H147" i="20" s="1"/>
  <c r="E146" i="20"/>
  <c r="H146" i="20" s="1"/>
  <c r="E145" i="20"/>
  <c r="H145" i="20" s="1"/>
  <c r="A145" i="20"/>
  <c r="A146" i="20" s="1"/>
  <c r="A147" i="20" s="1"/>
  <c r="A148" i="20" s="1"/>
  <c r="A151" i="20" s="1"/>
  <c r="A152" i="20" s="1"/>
  <c r="A153" i="20" s="1"/>
  <c r="A154" i="20" s="1"/>
  <c r="A155" i="20" s="1"/>
  <c r="A157" i="20" s="1"/>
  <c r="A158" i="20" s="1"/>
  <c r="A159" i="20" s="1"/>
  <c r="A160" i="20" s="1"/>
  <c r="A161" i="20" s="1"/>
  <c r="E144" i="20"/>
  <c r="H144" i="20" s="1"/>
  <c r="A144" i="20"/>
  <c r="E99" i="20"/>
  <c r="H97" i="20"/>
  <c r="J97" i="20" s="1"/>
  <c r="E93" i="20"/>
  <c r="D92" i="20"/>
  <c r="D91" i="20"/>
  <c r="A88" i="20"/>
  <c r="A89" i="20" s="1"/>
  <c r="A90" i="20" s="1"/>
  <c r="A91" i="20" s="1"/>
  <c r="A92" i="20" s="1"/>
  <c r="A93" i="20" s="1"/>
  <c r="A94" i="20" s="1"/>
  <c r="A96" i="20" s="1"/>
  <c r="A97" i="20" s="1"/>
  <c r="A98" i="20" s="1"/>
  <c r="A99" i="20" s="1"/>
  <c r="A100" i="20" s="1"/>
  <c r="A102" i="20" s="1"/>
  <c r="A103" i="20" s="1"/>
  <c r="A104" i="20" s="1"/>
  <c r="A105" i="20" s="1"/>
  <c r="A106" i="20" s="1"/>
  <c r="A107" i="20" s="1"/>
  <c r="A108" i="20" s="1"/>
  <c r="A109" i="20" s="1"/>
  <c r="A110" i="20" s="1"/>
  <c r="A111" i="20" s="1"/>
  <c r="A113" i="20" s="1"/>
  <c r="A114" i="20" s="1"/>
  <c r="J87" i="20"/>
  <c r="E71" i="20"/>
  <c r="J70" i="20"/>
  <c r="E70" i="20"/>
  <c r="J66" i="20"/>
  <c r="H59" i="20"/>
  <c r="J47" i="20"/>
  <c r="E43" i="20"/>
  <c r="E41" i="20"/>
  <c r="E49" i="20" s="1"/>
  <c r="E39" i="20"/>
  <c r="E35" i="20"/>
  <c r="E51" i="20" s="1"/>
  <c r="J33" i="20"/>
  <c r="J167" i="20" s="1"/>
  <c r="K167" i="20" s="1"/>
  <c r="E10" i="20" s="1"/>
  <c r="E11" i="20" s="1"/>
  <c r="E33" i="20"/>
  <c r="A32" i="20"/>
  <c r="A33" i="20" s="1"/>
  <c r="E31" i="20"/>
  <c r="E47" i="20" s="1"/>
  <c r="D31" i="20"/>
  <c r="D10" i="20"/>
  <c r="G10" i="20" s="1"/>
  <c r="G57" i="19"/>
  <c r="G5" i="20" s="1"/>
  <c r="G56" i="19"/>
  <c r="G4" i="20" s="1"/>
  <c r="I35" i="19"/>
  <c r="L35" i="19" s="1"/>
  <c r="G7" i="19"/>
  <c r="G58" i="19" s="1"/>
  <c r="G6" i="20" s="1"/>
  <c r="B3" i="18"/>
  <c r="H250" i="17"/>
  <c r="H249" i="17"/>
  <c r="H248" i="17"/>
  <c r="H247" i="17"/>
  <c r="H246" i="17"/>
  <c r="H245" i="17"/>
  <c r="H244" i="17"/>
  <c r="H243" i="17"/>
  <c r="H242" i="17"/>
  <c r="H241" i="17"/>
  <c r="H240" i="17"/>
  <c r="H239" i="17"/>
  <c r="H235" i="17"/>
  <c r="L230" i="17"/>
  <c r="H230" i="17"/>
  <c r="F230" i="17"/>
  <c r="H229" i="17"/>
  <c r="L229" i="17" s="1"/>
  <c r="F229" i="17"/>
  <c r="H228" i="17"/>
  <c r="L228" i="17" s="1"/>
  <c r="F228" i="17"/>
  <c r="L227" i="17"/>
  <c r="H227" i="17"/>
  <c r="F227" i="17"/>
  <c r="L226" i="17"/>
  <c r="H226" i="17"/>
  <c r="F226" i="17"/>
  <c r="H225" i="17"/>
  <c r="L225" i="17" s="1"/>
  <c r="F225" i="17"/>
  <c r="L224" i="17"/>
  <c r="H224" i="17"/>
  <c r="F224" i="17"/>
  <c r="P224" i="17" s="1"/>
  <c r="H223" i="17"/>
  <c r="F223" i="17"/>
  <c r="L222" i="17"/>
  <c r="P222" i="17" s="1"/>
  <c r="H222" i="17"/>
  <c r="F222" i="17"/>
  <c r="H221" i="17"/>
  <c r="F221" i="17"/>
  <c r="L220" i="17"/>
  <c r="P220" i="17" s="1"/>
  <c r="H220" i="17"/>
  <c r="F220" i="17"/>
  <c r="H219" i="17"/>
  <c r="F219" i="17"/>
  <c r="H208" i="17"/>
  <c r="H207" i="17"/>
  <c r="H206" i="17"/>
  <c r="H205" i="17"/>
  <c r="H204" i="17"/>
  <c r="H203" i="17"/>
  <c r="H202" i="17"/>
  <c r="H201" i="17"/>
  <c r="H200" i="17"/>
  <c r="H199" i="17"/>
  <c r="H198" i="17"/>
  <c r="H197" i="17"/>
  <c r="H193" i="17"/>
  <c r="L193" i="17" s="1"/>
  <c r="P193" i="17" s="1"/>
  <c r="F197" i="17" s="1"/>
  <c r="L197" i="17" s="1"/>
  <c r="H192" i="17"/>
  <c r="H187" i="17"/>
  <c r="L187" i="17" s="1"/>
  <c r="P187" i="17" s="1"/>
  <c r="F187" i="17"/>
  <c r="L186" i="17"/>
  <c r="H186" i="17"/>
  <c r="F186" i="17"/>
  <c r="P186" i="17" s="1"/>
  <c r="H185" i="17"/>
  <c r="L185" i="17" s="1"/>
  <c r="P185" i="17" s="1"/>
  <c r="F185" i="17"/>
  <c r="L184" i="17"/>
  <c r="H184" i="17"/>
  <c r="F184" i="17"/>
  <c r="P184" i="17" s="1"/>
  <c r="H183" i="17"/>
  <c r="L183" i="17" s="1"/>
  <c r="P183" i="17" s="1"/>
  <c r="F183" i="17"/>
  <c r="L182" i="17"/>
  <c r="H182" i="17"/>
  <c r="F182" i="17"/>
  <c r="P182" i="17" s="1"/>
  <c r="L181" i="17"/>
  <c r="P181" i="17" s="1"/>
  <c r="H181" i="17"/>
  <c r="F181" i="17"/>
  <c r="L180" i="17"/>
  <c r="H180" i="17"/>
  <c r="F180" i="17"/>
  <c r="P180" i="17" s="1"/>
  <c r="L179" i="17"/>
  <c r="P179" i="17" s="1"/>
  <c r="H179" i="17"/>
  <c r="F179" i="17"/>
  <c r="L178" i="17"/>
  <c r="H178" i="17"/>
  <c r="F178" i="17"/>
  <c r="P178" i="17" s="1"/>
  <c r="H177" i="17"/>
  <c r="L177" i="17" s="1"/>
  <c r="P177" i="17" s="1"/>
  <c r="F177" i="17"/>
  <c r="L176" i="17"/>
  <c r="H176" i="17"/>
  <c r="F176" i="17"/>
  <c r="P176" i="17" s="1"/>
  <c r="H161" i="17"/>
  <c r="H160" i="17"/>
  <c r="H159" i="17"/>
  <c r="H158" i="17"/>
  <c r="H157" i="17"/>
  <c r="H156" i="17"/>
  <c r="H155" i="17"/>
  <c r="H154" i="17"/>
  <c r="H153" i="17"/>
  <c r="H152" i="17"/>
  <c r="H151" i="17"/>
  <c r="H150" i="17"/>
  <c r="H146" i="17"/>
  <c r="L146" i="17" s="1"/>
  <c r="P146" i="17" s="1"/>
  <c r="F150" i="17" s="1"/>
  <c r="L145" i="17"/>
  <c r="P145" i="17" s="1"/>
  <c r="H145" i="17"/>
  <c r="H144" i="17"/>
  <c r="H139" i="17"/>
  <c r="F139" i="17"/>
  <c r="L139" i="17" s="1"/>
  <c r="P139" i="17" s="1"/>
  <c r="H138" i="17"/>
  <c r="F138" i="17"/>
  <c r="P137" i="17"/>
  <c r="H137" i="17"/>
  <c r="F137" i="17"/>
  <c r="L137" i="17" s="1"/>
  <c r="H136" i="17"/>
  <c r="F136" i="17"/>
  <c r="H135" i="17"/>
  <c r="F135" i="17"/>
  <c r="L135" i="17" s="1"/>
  <c r="P135" i="17" s="1"/>
  <c r="H134" i="17"/>
  <c r="F134" i="17"/>
  <c r="P133" i="17"/>
  <c r="H133" i="17"/>
  <c r="F133" i="17"/>
  <c r="L133" i="17" s="1"/>
  <c r="H132" i="17"/>
  <c r="F132" i="17"/>
  <c r="H131" i="17"/>
  <c r="F131" i="17"/>
  <c r="L131" i="17" s="1"/>
  <c r="P131" i="17" s="1"/>
  <c r="H130" i="17"/>
  <c r="F130" i="17"/>
  <c r="H129" i="17"/>
  <c r="F129" i="17"/>
  <c r="L129" i="17" s="1"/>
  <c r="P129" i="17" s="1"/>
  <c r="H128" i="17"/>
  <c r="F128" i="17"/>
  <c r="H117" i="17"/>
  <c r="H116" i="17"/>
  <c r="H115" i="17"/>
  <c r="H114" i="17"/>
  <c r="H113" i="17"/>
  <c r="H112" i="17"/>
  <c r="H111" i="17"/>
  <c r="H110" i="17"/>
  <c r="H109" i="17"/>
  <c r="H108" i="17"/>
  <c r="H107" i="17"/>
  <c r="F107" i="17"/>
  <c r="L106" i="17"/>
  <c r="H106" i="17"/>
  <c r="F106" i="17"/>
  <c r="H102" i="17"/>
  <c r="F102" i="17"/>
  <c r="H101" i="17"/>
  <c r="F101" i="17"/>
  <c r="L101" i="17" s="1"/>
  <c r="H100" i="17"/>
  <c r="H99" i="17"/>
  <c r="H94" i="17"/>
  <c r="F94" i="17"/>
  <c r="H93" i="17"/>
  <c r="F93" i="17"/>
  <c r="L93" i="17" s="1"/>
  <c r="P93" i="17" s="1"/>
  <c r="H92" i="17"/>
  <c r="F92" i="17"/>
  <c r="H91" i="17"/>
  <c r="F91" i="17"/>
  <c r="L91" i="17" s="1"/>
  <c r="P91" i="17" s="1"/>
  <c r="H90" i="17"/>
  <c r="F90" i="17"/>
  <c r="H89" i="17"/>
  <c r="F89" i="17"/>
  <c r="L89" i="17" s="1"/>
  <c r="P89" i="17" s="1"/>
  <c r="H88" i="17"/>
  <c r="F88" i="17"/>
  <c r="H87" i="17"/>
  <c r="F87" i="17"/>
  <c r="L87" i="17" s="1"/>
  <c r="P87" i="17" s="1"/>
  <c r="H86" i="17"/>
  <c r="F86" i="17"/>
  <c r="H85" i="17"/>
  <c r="F85" i="17"/>
  <c r="L85" i="17" s="1"/>
  <c r="P85" i="17" s="1"/>
  <c r="H84" i="17"/>
  <c r="F84" i="17"/>
  <c r="H83" i="17"/>
  <c r="F83" i="17"/>
  <c r="L83" i="17" s="1"/>
  <c r="L69" i="17"/>
  <c r="H68" i="17"/>
  <c r="H67" i="17"/>
  <c r="H66" i="17"/>
  <c r="H65" i="17"/>
  <c r="H64" i="17"/>
  <c r="H63" i="17"/>
  <c r="H62" i="17"/>
  <c r="H61" i="17"/>
  <c r="H60" i="17"/>
  <c r="H59" i="17"/>
  <c r="H58" i="17"/>
  <c r="H57" i="17"/>
  <c r="H53" i="17"/>
  <c r="H52" i="17"/>
  <c r="H51" i="17"/>
  <c r="H50" i="17"/>
  <c r="H49" i="17"/>
  <c r="L44" i="17"/>
  <c r="P44" i="17" s="1"/>
  <c r="H44" i="17"/>
  <c r="F44" i="17"/>
  <c r="L43" i="17"/>
  <c r="H43" i="17"/>
  <c r="F43" i="17"/>
  <c r="P43" i="17" s="1"/>
  <c r="L42" i="17"/>
  <c r="P42" i="17" s="1"/>
  <c r="H42" i="17"/>
  <c r="F42" i="17"/>
  <c r="L41" i="17"/>
  <c r="H41" i="17"/>
  <c r="F41" i="17"/>
  <c r="P41" i="17" s="1"/>
  <c r="L40" i="17"/>
  <c r="P40" i="17" s="1"/>
  <c r="H40" i="17"/>
  <c r="F40" i="17"/>
  <c r="L39" i="17"/>
  <c r="H39" i="17"/>
  <c r="F39" i="17"/>
  <c r="P39" i="17" s="1"/>
  <c r="L38" i="17"/>
  <c r="P38" i="17" s="1"/>
  <c r="H38" i="17"/>
  <c r="F38" i="17"/>
  <c r="L37" i="17"/>
  <c r="H37" i="17"/>
  <c r="F37" i="17"/>
  <c r="P37" i="17" s="1"/>
  <c r="L36" i="17"/>
  <c r="P36" i="17" s="1"/>
  <c r="H36" i="17"/>
  <c r="F36" i="17"/>
  <c r="L35" i="17"/>
  <c r="H35" i="17"/>
  <c r="F35" i="17"/>
  <c r="P35" i="17" s="1"/>
  <c r="H34" i="17"/>
  <c r="H33" i="17"/>
  <c r="F71" i="16"/>
  <c r="I70" i="16"/>
  <c r="F70" i="16"/>
  <c r="I71" i="16" s="1"/>
  <c r="F69" i="16"/>
  <c r="F68" i="16"/>
  <c r="I67" i="16"/>
  <c r="F67" i="16"/>
  <c r="I66" i="16"/>
  <c r="F66" i="16"/>
  <c r="I65" i="16"/>
  <c r="F65" i="16"/>
  <c r="I64" i="16"/>
  <c r="F64" i="16"/>
  <c r="F63" i="16"/>
  <c r="I62" i="16"/>
  <c r="F62" i="16"/>
  <c r="I63" i="16" s="1"/>
  <c r="F61" i="16"/>
  <c r="F60" i="16"/>
  <c r="I59" i="16"/>
  <c r="F59" i="16"/>
  <c r="I58" i="16"/>
  <c r="F58" i="16"/>
  <c r="I57" i="16"/>
  <c r="F57" i="16"/>
  <c r="F56" i="16"/>
  <c r="H55" i="16"/>
  <c r="F55" i="16"/>
  <c r="I56" i="16" s="1"/>
  <c r="F54" i="16"/>
  <c r="I55" i="16" s="1"/>
  <c r="F53" i="16"/>
  <c r="F52" i="16"/>
  <c r="J51" i="16"/>
  <c r="F51" i="16"/>
  <c r="I43" i="16"/>
  <c r="H43" i="16"/>
  <c r="G43" i="16"/>
  <c r="F43" i="16"/>
  <c r="E43" i="16"/>
  <c r="D43" i="16"/>
  <c r="C43" i="16"/>
  <c r="A42" i="16"/>
  <c r="A43"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41" i="16"/>
  <c r="G40" i="16"/>
  <c r="F40" i="16"/>
  <c r="E40" i="16"/>
  <c r="D40" i="16"/>
  <c r="F36" i="16"/>
  <c r="F31" i="16"/>
  <c r="A15" i="16"/>
  <c r="A16" i="16" s="1"/>
  <c r="A17" i="16" s="1"/>
  <c r="A18" i="16" s="1"/>
  <c r="A19" i="16" s="1"/>
  <c r="A20" i="16" s="1"/>
  <c r="A23" i="16" s="1"/>
  <c r="A24" i="16" s="1"/>
  <c r="A25" i="16" s="1"/>
  <c r="A26" i="16" s="1"/>
  <c r="A27" i="16" s="1"/>
  <c r="A28" i="16" s="1"/>
  <c r="A29" i="16" s="1"/>
  <c r="A31" i="16" s="1"/>
  <c r="A33" i="16" s="1"/>
  <c r="A34" i="16" s="1"/>
  <c r="A35" i="16" s="1"/>
  <c r="A4" i="16"/>
  <c r="I16" i="15"/>
  <c r="H13" i="15"/>
  <c r="G13" i="15"/>
  <c r="F13" i="15"/>
  <c r="E13" i="15"/>
  <c r="D13" i="15"/>
  <c r="I13" i="15" s="1"/>
  <c r="C3" i="15"/>
  <c r="P32" i="14"/>
  <c r="E15" i="14"/>
  <c r="H15" i="14" s="1"/>
  <c r="P31" i="14" s="1"/>
  <c r="Q31" i="14" s="1"/>
  <c r="I3" i="14"/>
  <c r="I54" i="13"/>
  <c r="L53" i="13"/>
  <c r="G53" i="13"/>
  <c r="F53" i="13"/>
  <c r="J53" i="13" s="1"/>
  <c r="K53" i="13" s="1"/>
  <c r="M53" i="13" s="1"/>
  <c r="E53" i="13"/>
  <c r="J52" i="13"/>
  <c r="K52" i="13" s="1"/>
  <c r="F52" i="13"/>
  <c r="E52" i="13"/>
  <c r="G52" i="13" s="1"/>
  <c r="L51" i="13"/>
  <c r="K51" i="13"/>
  <c r="M51" i="13" s="1"/>
  <c r="J51" i="13"/>
  <c r="G51" i="13"/>
  <c r="F51" i="13"/>
  <c r="E51" i="13"/>
  <c r="F50" i="13"/>
  <c r="J50" i="13" s="1"/>
  <c r="K50" i="13" s="1"/>
  <c r="E50" i="13"/>
  <c r="F49" i="13"/>
  <c r="J49" i="13" s="1"/>
  <c r="K49" i="13" s="1"/>
  <c r="M49" i="13" s="1"/>
  <c r="E49" i="13"/>
  <c r="G49" i="13" s="1"/>
  <c r="J48" i="13"/>
  <c r="K48" i="13" s="1"/>
  <c r="M48" i="13" s="1"/>
  <c r="F48" i="13"/>
  <c r="E48" i="13"/>
  <c r="G48" i="13" s="1"/>
  <c r="M47" i="13"/>
  <c r="J47" i="13"/>
  <c r="K47" i="13" s="1"/>
  <c r="L47" i="13" s="1"/>
  <c r="F47" i="13"/>
  <c r="E47" i="13"/>
  <c r="G47" i="13" s="1"/>
  <c r="F46" i="13"/>
  <c r="J46" i="13" s="1"/>
  <c r="K46" i="13" s="1"/>
  <c r="E46" i="13"/>
  <c r="J45" i="13"/>
  <c r="K45" i="13" s="1"/>
  <c r="F45" i="13"/>
  <c r="E45" i="13"/>
  <c r="G45" i="13" s="1"/>
  <c r="K44" i="13"/>
  <c r="M44" i="13" s="1"/>
  <c r="J44" i="13"/>
  <c r="F44" i="13"/>
  <c r="E44" i="13"/>
  <c r="G44" i="13" s="1"/>
  <c r="F43" i="13"/>
  <c r="J43" i="13" s="1"/>
  <c r="K43" i="13" s="1"/>
  <c r="E43" i="13"/>
  <c r="G43" i="13" s="1"/>
  <c r="G42" i="13"/>
  <c r="F42" i="13"/>
  <c r="J42" i="13" s="1"/>
  <c r="E42" i="13"/>
  <c r="H41" i="13"/>
  <c r="E41" i="13"/>
  <c r="I38" i="13"/>
  <c r="F37" i="13"/>
  <c r="J37" i="13" s="1"/>
  <c r="K37" i="13" s="1"/>
  <c r="E37" i="13"/>
  <c r="G37" i="13" s="1"/>
  <c r="F36" i="13"/>
  <c r="J36" i="13" s="1"/>
  <c r="K36" i="13" s="1"/>
  <c r="E36" i="13"/>
  <c r="G36" i="13" s="1"/>
  <c r="K35" i="13"/>
  <c r="M35" i="13" s="1"/>
  <c r="J35" i="13"/>
  <c r="G35" i="13"/>
  <c r="F35" i="13"/>
  <c r="E35" i="13"/>
  <c r="J34" i="13"/>
  <c r="K34" i="13" s="1"/>
  <c r="F34" i="13"/>
  <c r="G34" i="13" s="1"/>
  <c r="E34" i="13"/>
  <c r="M33" i="13"/>
  <c r="L33" i="13"/>
  <c r="F33" i="13"/>
  <c r="J33" i="13" s="1"/>
  <c r="K33" i="13" s="1"/>
  <c r="E33" i="13"/>
  <c r="G33" i="13" s="1"/>
  <c r="F32" i="13"/>
  <c r="J32" i="13" s="1"/>
  <c r="K32" i="13" s="1"/>
  <c r="E32" i="13"/>
  <c r="K31" i="13"/>
  <c r="M31" i="13" s="1"/>
  <c r="J31" i="13"/>
  <c r="G31" i="13"/>
  <c r="F31" i="13"/>
  <c r="E31" i="13"/>
  <c r="K30" i="13"/>
  <c r="J30" i="13"/>
  <c r="F30" i="13"/>
  <c r="G30" i="13" s="1"/>
  <c r="E30" i="13"/>
  <c r="F29" i="13"/>
  <c r="J29" i="13" s="1"/>
  <c r="K29" i="13" s="1"/>
  <c r="M29" i="13" s="1"/>
  <c r="E29" i="13"/>
  <c r="G29" i="13" s="1"/>
  <c r="F28" i="13"/>
  <c r="J28" i="13" s="1"/>
  <c r="K28" i="13" s="1"/>
  <c r="E28" i="13"/>
  <c r="K27" i="13"/>
  <c r="M27" i="13" s="1"/>
  <c r="J27" i="13"/>
  <c r="G27" i="13"/>
  <c r="F27" i="13"/>
  <c r="E27" i="13"/>
  <c r="K26" i="13"/>
  <c r="J26" i="13"/>
  <c r="J38" i="13" s="1"/>
  <c r="F26" i="13"/>
  <c r="G26" i="13" s="1"/>
  <c r="E26" i="13"/>
  <c r="H25" i="13"/>
  <c r="E25" i="13"/>
  <c r="I22" i="13"/>
  <c r="A22" i="13"/>
  <c r="A25" i="13" s="1"/>
  <c r="A26" i="13" s="1"/>
  <c r="A27" i="13" s="1"/>
  <c r="A28" i="13" s="1"/>
  <c r="A29" i="13" s="1"/>
  <c r="A30" i="13" s="1"/>
  <c r="A31" i="13" s="1"/>
  <c r="A32" i="13" s="1"/>
  <c r="A33" i="13" s="1"/>
  <c r="A34" i="13" s="1"/>
  <c r="A35" i="13" s="1"/>
  <c r="A36" i="13" s="1"/>
  <c r="A37" i="13" s="1"/>
  <c r="A38" i="13" s="1"/>
  <c r="A41" i="13" s="1"/>
  <c r="A42" i="13" s="1"/>
  <c r="A43" i="13" s="1"/>
  <c r="A44" i="13" s="1"/>
  <c r="A45" i="13" s="1"/>
  <c r="A46" i="13" s="1"/>
  <c r="A47" i="13" s="1"/>
  <c r="A48" i="13" s="1"/>
  <c r="A49" i="13" s="1"/>
  <c r="A50" i="13" s="1"/>
  <c r="A51" i="13" s="1"/>
  <c r="A52" i="13" s="1"/>
  <c r="A53" i="13" s="1"/>
  <c r="A54" i="13" s="1"/>
  <c r="E21" i="13"/>
  <c r="E20" i="13"/>
  <c r="E19" i="13"/>
  <c r="E18" i="13"/>
  <c r="F17" i="13"/>
  <c r="E17" i="13"/>
  <c r="E16" i="13"/>
  <c r="E15" i="13"/>
  <c r="M14" i="13"/>
  <c r="E14" i="13"/>
  <c r="E13" i="13"/>
  <c r="J12" i="13"/>
  <c r="K12" i="13" s="1"/>
  <c r="E12" i="13"/>
  <c r="E11" i="13"/>
  <c r="E10" i="13"/>
  <c r="A10" i="13"/>
  <c r="A11" i="13" s="1"/>
  <c r="A12" i="13" s="1"/>
  <c r="A13" i="13" s="1"/>
  <c r="A14" i="13" s="1"/>
  <c r="A15" i="13" s="1"/>
  <c r="A16" i="13" s="1"/>
  <c r="A17" i="13" s="1"/>
  <c r="A18" i="13" s="1"/>
  <c r="A19" i="13" s="1"/>
  <c r="A20" i="13" s="1"/>
  <c r="A21" i="13" s="1"/>
  <c r="E9" i="13"/>
  <c r="A15" i="12"/>
  <c r="A18" i="12" s="1"/>
  <c r="A19" i="12" s="1"/>
  <c r="A20" i="12" s="1"/>
  <c r="A21" i="12" s="1"/>
  <c r="A22" i="12" s="1"/>
  <c r="A23" i="12" s="1"/>
  <c r="A24" i="12" s="1"/>
  <c r="A25" i="12" s="1"/>
  <c r="A28" i="12" s="1"/>
  <c r="A29" i="12" s="1"/>
  <c r="A30" i="12" s="1"/>
  <c r="A31" i="12" s="1"/>
  <c r="A32" i="12" s="1"/>
  <c r="A33" i="12" s="1"/>
  <c r="A34" i="12" s="1"/>
  <c r="A35" i="12" s="1"/>
  <c r="A12" i="12"/>
  <c r="A13" i="12" s="1"/>
  <c r="A14" i="12" s="1"/>
  <c r="A10" i="12"/>
  <c r="A11" i="12" s="1"/>
  <c r="H9" i="12"/>
  <c r="A9" i="12"/>
  <c r="H8" i="12"/>
  <c r="D79" i="11"/>
  <c r="G76" i="11"/>
  <c r="G79" i="11" s="1"/>
  <c r="F76" i="11"/>
  <c r="F79" i="11" s="1"/>
  <c r="E76" i="11"/>
  <c r="E79" i="11" s="1"/>
  <c r="F19" i="12" s="1"/>
  <c r="D76" i="11"/>
  <c r="C76" i="11"/>
  <c r="C79" i="11" s="1"/>
  <c r="F55" i="11"/>
  <c r="D55" i="11"/>
  <c r="G52" i="11"/>
  <c r="G55" i="11" s="1"/>
  <c r="F52" i="11"/>
  <c r="D52" i="11"/>
  <c r="C52" i="11"/>
  <c r="C55" i="11" s="1"/>
  <c r="E52" i="11"/>
  <c r="E55" i="11" s="1"/>
  <c r="C33" i="11"/>
  <c r="E29" i="12" s="1"/>
  <c r="G30" i="11"/>
  <c r="G33" i="11" s="1"/>
  <c r="H29" i="12" s="1"/>
  <c r="F30" i="11"/>
  <c r="F33" i="11" s="1"/>
  <c r="G29" i="12" s="1"/>
  <c r="E30" i="11"/>
  <c r="E33" i="11" s="1"/>
  <c r="D30" i="11"/>
  <c r="D33" i="11" s="1"/>
  <c r="C30" i="11"/>
  <c r="A22" i="11"/>
  <c r="A23" i="11" s="1"/>
  <c r="A24" i="11" s="1"/>
  <c r="A25" i="11" s="1"/>
  <c r="A26" i="11" s="1"/>
  <c r="A27" i="11" s="1"/>
  <c r="A28" i="11" s="1"/>
  <c r="A29" i="11" s="1"/>
  <c r="A30" i="11" s="1"/>
  <c r="A31" i="11" s="1"/>
  <c r="A32" i="11" s="1"/>
  <c r="A33" i="11" s="1"/>
  <c r="A44" i="11" s="1"/>
  <c r="A45" i="11" s="1"/>
  <c r="A46" i="11" s="1"/>
  <c r="A47" i="11" s="1"/>
  <c r="A48" i="11" s="1"/>
  <c r="A49" i="11" s="1"/>
  <c r="A50" i="11" s="1"/>
  <c r="A51" i="11" s="1"/>
  <c r="A52" i="11" s="1"/>
  <c r="A53" i="11" s="1"/>
  <c r="A54" i="11" s="1"/>
  <c r="A55" i="11" s="1"/>
  <c r="A66" i="11" s="1"/>
  <c r="A67" i="11" s="1"/>
  <c r="A68" i="11" s="1"/>
  <c r="A69" i="11" s="1"/>
  <c r="A70" i="11" s="1"/>
  <c r="A71" i="11" s="1"/>
  <c r="A72" i="11" s="1"/>
  <c r="A73" i="11" s="1"/>
  <c r="A74" i="11" s="1"/>
  <c r="A75" i="11" s="1"/>
  <c r="A76" i="11" s="1"/>
  <c r="A77" i="11" s="1"/>
  <c r="A78" i="11" s="1"/>
  <c r="A79" i="11" s="1"/>
  <c r="G12" i="11"/>
  <c r="F12" i="11"/>
  <c r="A12" i="11"/>
  <c r="A13" i="11" s="1"/>
  <c r="A20" i="11" s="1"/>
  <c r="A21" i="11" s="1"/>
  <c r="E11" i="11"/>
  <c r="A11" i="11"/>
  <c r="G10" i="11"/>
  <c r="E79" i="10"/>
  <c r="C79" i="10"/>
  <c r="G76" i="10"/>
  <c r="G79" i="10" s="1"/>
  <c r="H18" i="12" s="1"/>
  <c r="F76" i="10"/>
  <c r="F79" i="10" s="1"/>
  <c r="G18" i="12" s="1"/>
  <c r="E76" i="10"/>
  <c r="D76" i="10"/>
  <c r="D79" i="10" s="1"/>
  <c r="C76" i="10"/>
  <c r="E55" i="10"/>
  <c r="F8" i="12" s="1"/>
  <c r="G52" i="10"/>
  <c r="G55" i="10" s="1"/>
  <c r="F52" i="10"/>
  <c r="F55" i="10" s="1"/>
  <c r="G8" i="12" s="1"/>
  <c r="E52" i="10"/>
  <c r="D52" i="10"/>
  <c r="D55" i="10" s="1"/>
  <c r="C52" i="10"/>
  <c r="C55" i="10" s="1"/>
  <c r="G30" i="10"/>
  <c r="G33" i="10" s="1"/>
  <c r="F30" i="10"/>
  <c r="F33" i="10" s="1"/>
  <c r="G28" i="8" s="1"/>
  <c r="E30" i="10"/>
  <c r="E33" i="10" s="1"/>
  <c r="D30" i="10"/>
  <c r="D33" i="10" s="1"/>
  <c r="C30" i="10"/>
  <c r="C33" i="10" s="1"/>
  <c r="A22" i="10"/>
  <c r="A23" i="10" s="1"/>
  <c r="A24" i="10" s="1"/>
  <c r="A25" i="10" s="1"/>
  <c r="A26" i="10" s="1"/>
  <c r="A27" i="10" s="1"/>
  <c r="A28" i="10" s="1"/>
  <c r="A29" i="10" s="1"/>
  <c r="A30" i="10" s="1"/>
  <c r="A31" i="10" s="1"/>
  <c r="A32" i="10" s="1"/>
  <c r="A33" i="10" s="1"/>
  <c r="A44" i="10" s="1"/>
  <c r="A45" i="10" s="1"/>
  <c r="A46" i="10" s="1"/>
  <c r="A47" i="10" s="1"/>
  <c r="A48" i="10" s="1"/>
  <c r="A49" i="10" s="1"/>
  <c r="A50" i="10" s="1"/>
  <c r="A51" i="10" s="1"/>
  <c r="A52" i="10" s="1"/>
  <c r="A53" i="10" s="1"/>
  <c r="A54" i="10" s="1"/>
  <c r="A55" i="10" s="1"/>
  <c r="A66" i="10" s="1"/>
  <c r="A67" i="10" s="1"/>
  <c r="A68" i="10" s="1"/>
  <c r="A69" i="10" s="1"/>
  <c r="A70" i="10" s="1"/>
  <c r="A71" i="10" s="1"/>
  <c r="A72" i="10" s="1"/>
  <c r="A73" i="10" s="1"/>
  <c r="A74" i="10" s="1"/>
  <c r="A75" i="10" s="1"/>
  <c r="A76" i="10" s="1"/>
  <c r="A77" i="10" s="1"/>
  <c r="A78" i="10" s="1"/>
  <c r="A79" i="10" s="1"/>
  <c r="F12" i="10"/>
  <c r="G11" i="10"/>
  <c r="F11" i="10"/>
  <c r="A11" i="10"/>
  <c r="A12" i="10" s="1"/>
  <c r="A13" i="10" s="1"/>
  <c r="A20" i="10" s="1"/>
  <c r="A21" i="10" s="1"/>
  <c r="G10" i="10"/>
  <c r="F10" i="10"/>
  <c r="G54" i="9"/>
  <c r="L53" i="9"/>
  <c r="J53" i="9"/>
  <c r="H53" i="9"/>
  <c r="E53" i="9"/>
  <c r="E52" i="9"/>
  <c r="L52" i="9" s="1"/>
  <c r="L51" i="9"/>
  <c r="J51" i="9"/>
  <c r="H51" i="9"/>
  <c r="E51" i="9"/>
  <c r="H50" i="9"/>
  <c r="E50" i="9"/>
  <c r="L49" i="9"/>
  <c r="J49" i="9"/>
  <c r="H49" i="9"/>
  <c r="E49" i="9"/>
  <c r="E48" i="9"/>
  <c r="L48" i="9" s="1"/>
  <c r="L47" i="9"/>
  <c r="J47" i="9"/>
  <c r="H47" i="9"/>
  <c r="E47" i="9"/>
  <c r="H46" i="9"/>
  <c r="E46" i="9"/>
  <c r="L45" i="9"/>
  <c r="J45" i="9"/>
  <c r="H45" i="9"/>
  <c r="E45" i="9"/>
  <c r="E44" i="9"/>
  <c r="L44" i="9" s="1"/>
  <c r="L43" i="9"/>
  <c r="J43" i="9"/>
  <c r="H43" i="9"/>
  <c r="E43" i="9"/>
  <c r="E42" i="9"/>
  <c r="K41" i="9"/>
  <c r="L41" i="9" s="1"/>
  <c r="J41" i="9"/>
  <c r="I41" i="9"/>
  <c r="I54" i="9" s="1"/>
  <c r="G41" i="9"/>
  <c r="H41" i="9" s="1"/>
  <c r="F41" i="9" s="1"/>
  <c r="F54" i="9" s="1"/>
  <c r="E41" i="9"/>
  <c r="I38" i="9"/>
  <c r="H37" i="9"/>
  <c r="E37" i="9"/>
  <c r="L36" i="9"/>
  <c r="J36" i="9"/>
  <c r="H36" i="9"/>
  <c r="E36" i="9"/>
  <c r="A36" i="9"/>
  <c r="A37" i="9" s="1"/>
  <c r="A38" i="9" s="1"/>
  <c r="A41" i="9" s="1"/>
  <c r="A42" i="9" s="1"/>
  <c r="A43" i="9" s="1"/>
  <c r="A44" i="9" s="1"/>
  <c r="A45" i="9" s="1"/>
  <c r="A46" i="9" s="1"/>
  <c r="A47" i="9" s="1"/>
  <c r="A48" i="9" s="1"/>
  <c r="A49" i="9" s="1"/>
  <c r="A50" i="9" s="1"/>
  <c r="A51" i="9" s="1"/>
  <c r="A52" i="9" s="1"/>
  <c r="A53" i="9" s="1"/>
  <c r="A54" i="9" s="1"/>
  <c r="E35" i="9"/>
  <c r="L35" i="9" s="1"/>
  <c r="L34" i="9"/>
  <c r="J34" i="9"/>
  <c r="H34" i="9"/>
  <c r="E34" i="9"/>
  <c r="H33" i="9"/>
  <c r="E33" i="9"/>
  <c r="L32" i="9"/>
  <c r="J32" i="9"/>
  <c r="H32" i="9"/>
  <c r="E32" i="9"/>
  <c r="E31" i="9"/>
  <c r="L31" i="9" s="1"/>
  <c r="L30" i="9"/>
  <c r="J30" i="9"/>
  <c r="H30" i="9"/>
  <c r="E30" i="9"/>
  <c r="H29" i="9"/>
  <c r="E29" i="9"/>
  <c r="L28" i="9"/>
  <c r="J28" i="9"/>
  <c r="H28" i="9"/>
  <c r="E28" i="9"/>
  <c r="E27" i="9"/>
  <c r="L27" i="9" s="1"/>
  <c r="L26" i="9"/>
  <c r="J26" i="9"/>
  <c r="H26" i="9"/>
  <c r="E26" i="9"/>
  <c r="L25" i="9"/>
  <c r="K25" i="9"/>
  <c r="K38" i="9" s="1"/>
  <c r="J25" i="9"/>
  <c r="I25" i="9"/>
  <c r="G25" i="9"/>
  <c r="G38" i="9" s="1"/>
  <c r="E25" i="9"/>
  <c r="H25" i="9" s="1"/>
  <c r="L21" i="9"/>
  <c r="J21" i="9"/>
  <c r="H21" i="9"/>
  <c r="F21" i="13"/>
  <c r="E21" i="9"/>
  <c r="J20" i="9"/>
  <c r="H20" i="9"/>
  <c r="F20" i="13"/>
  <c r="J20" i="13" s="1"/>
  <c r="K20" i="13" s="1"/>
  <c r="E20" i="9"/>
  <c r="L20" i="9" s="1"/>
  <c r="L19" i="9"/>
  <c r="F19" i="13"/>
  <c r="J19" i="13" s="1"/>
  <c r="K19" i="13" s="1"/>
  <c r="E19" i="9"/>
  <c r="J19" i="9" s="1"/>
  <c r="F18" i="13"/>
  <c r="J18" i="13" s="1"/>
  <c r="K18" i="13" s="1"/>
  <c r="E18" i="9"/>
  <c r="E17" i="9"/>
  <c r="J16" i="9"/>
  <c r="F16" i="13"/>
  <c r="J16" i="13" s="1"/>
  <c r="K16" i="13" s="1"/>
  <c r="E16" i="9"/>
  <c r="L16" i="9" s="1"/>
  <c r="F15" i="13"/>
  <c r="J15" i="13" s="1"/>
  <c r="K15" i="13" s="1"/>
  <c r="E15" i="9"/>
  <c r="L15" i="9" s="1"/>
  <c r="A15" i="9"/>
  <c r="A16" i="9" s="1"/>
  <c r="A17" i="9" s="1"/>
  <c r="A18" i="9" s="1"/>
  <c r="A19" i="9" s="1"/>
  <c r="A20" i="9" s="1"/>
  <c r="A21" i="9" s="1"/>
  <c r="A22" i="9" s="1"/>
  <c r="A25" i="9" s="1"/>
  <c r="A26" i="9" s="1"/>
  <c r="A27" i="9" s="1"/>
  <c r="A28" i="9" s="1"/>
  <c r="A29" i="9" s="1"/>
  <c r="A30" i="9" s="1"/>
  <c r="A31" i="9" s="1"/>
  <c r="A32" i="9" s="1"/>
  <c r="A33" i="9" s="1"/>
  <c r="A34" i="9" s="1"/>
  <c r="A35" i="9" s="1"/>
  <c r="L14" i="9"/>
  <c r="F14" i="13"/>
  <c r="J14" i="13" s="1"/>
  <c r="K14" i="13" s="1"/>
  <c r="L14" i="13" s="1"/>
  <c r="E14" i="9"/>
  <c r="J14" i="9" s="1"/>
  <c r="L13" i="9"/>
  <c r="J13" i="9"/>
  <c r="H13" i="9"/>
  <c r="F13" i="13"/>
  <c r="E13" i="9"/>
  <c r="A13" i="9"/>
  <c r="A14" i="9" s="1"/>
  <c r="L12" i="9"/>
  <c r="J12" i="9"/>
  <c r="H12" i="9"/>
  <c r="F12" i="13"/>
  <c r="E12" i="9"/>
  <c r="A12" i="9"/>
  <c r="L11" i="9"/>
  <c r="F11" i="13"/>
  <c r="J11" i="13" s="1"/>
  <c r="K11" i="13" s="1"/>
  <c r="E11" i="9"/>
  <c r="J11" i="9" s="1"/>
  <c r="A11" i="9"/>
  <c r="F10" i="13"/>
  <c r="J10" i="13" s="1"/>
  <c r="E10" i="9"/>
  <c r="A10" i="9"/>
  <c r="J9" i="9"/>
  <c r="I9" i="9"/>
  <c r="I22" i="9" s="1"/>
  <c r="E9" i="9"/>
  <c r="D10" i="9"/>
  <c r="H29" i="8"/>
  <c r="G29" i="8"/>
  <c r="F29" i="8"/>
  <c r="E29" i="8"/>
  <c r="A20" i="8"/>
  <c r="A21" i="8" s="1"/>
  <c r="A22" i="8" s="1"/>
  <c r="A23" i="8" s="1"/>
  <c r="A24" i="8" s="1"/>
  <c r="A25" i="8" s="1"/>
  <c r="A28" i="8" s="1"/>
  <c r="A29" i="8" s="1"/>
  <c r="A30" i="8" s="1"/>
  <c r="A31" i="8" s="1"/>
  <c r="A32" i="8" s="1"/>
  <c r="A33" i="8" s="1"/>
  <c r="A34" i="8" s="1"/>
  <c r="A35" i="8" s="1"/>
  <c r="H19" i="8"/>
  <c r="F19" i="8"/>
  <c r="H18" i="8"/>
  <c r="G18" i="8"/>
  <c r="F18" i="8"/>
  <c r="H9" i="8"/>
  <c r="F9" i="8"/>
  <c r="A9" i="8"/>
  <c r="A10" i="8" s="1"/>
  <c r="A11" i="8" s="1"/>
  <c r="A12" i="8" s="1"/>
  <c r="A13" i="8" s="1"/>
  <c r="A14" i="8" s="1"/>
  <c r="A15" i="8" s="1"/>
  <c r="A18" i="8" s="1"/>
  <c r="A19" i="8" s="1"/>
  <c r="G8" i="8"/>
  <c r="D8" i="8"/>
  <c r="D18" i="8" s="1"/>
  <c r="D28" i="8" s="1"/>
  <c r="L88" i="7"/>
  <c r="J88" i="7"/>
  <c r="L87" i="7"/>
  <c r="J87" i="7"/>
  <c r="A87" i="7"/>
  <c r="A88" i="7" s="1"/>
  <c r="A89" i="7" s="1"/>
  <c r="L86" i="7"/>
  <c r="J86" i="7"/>
  <c r="A85" i="7"/>
  <c r="A86" i="7" s="1"/>
  <c r="L84" i="7"/>
  <c r="G20" i="7" s="1"/>
  <c r="G58" i="7"/>
  <c r="J58" i="7" s="1"/>
  <c r="G56" i="7"/>
  <c r="J56" i="7" s="1"/>
  <c r="K56" i="7" s="1"/>
  <c r="F48" i="7"/>
  <c r="J47" i="7"/>
  <c r="I47" i="7"/>
  <c r="H47" i="7"/>
  <c r="G47" i="7"/>
  <c r="K47" i="7" s="1"/>
  <c r="K21" i="7" s="1"/>
  <c r="K22" i="7" s="1"/>
  <c r="F47" i="7"/>
  <c r="K46" i="7"/>
  <c r="J46" i="7"/>
  <c r="I46" i="7"/>
  <c r="H46" i="7"/>
  <c r="G46" i="7"/>
  <c r="F46" i="7"/>
  <c r="K45" i="7"/>
  <c r="J45" i="7"/>
  <c r="I45" i="7"/>
  <c r="H45" i="7"/>
  <c r="G45" i="7"/>
  <c r="F45" i="7"/>
  <c r="J44" i="7"/>
  <c r="I44" i="7"/>
  <c r="H44" i="7"/>
  <c r="G44" i="7"/>
  <c r="F44" i="7"/>
  <c r="K44" i="7" s="1"/>
  <c r="J43" i="7"/>
  <c r="I43" i="7"/>
  <c r="H43" i="7"/>
  <c r="G43" i="7"/>
  <c r="F43" i="7"/>
  <c r="J42" i="7"/>
  <c r="J48" i="7" s="1"/>
  <c r="I42" i="7"/>
  <c r="H42" i="7"/>
  <c r="H48" i="7" s="1"/>
  <c r="G42" i="7"/>
  <c r="G48" i="7" s="1"/>
  <c r="F42" i="7"/>
  <c r="J38" i="7"/>
  <c r="I38" i="7"/>
  <c r="H38" i="7"/>
  <c r="G38" i="7"/>
  <c r="F38" i="7"/>
  <c r="K37" i="7"/>
  <c r="K36" i="7"/>
  <c r="A36" i="7"/>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K35" i="7"/>
  <c r="K34" i="7"/>
  <c r="K33" i="7"/>
  <c r="K32" i="7"/>
  <c r="A32" i="7"/>
  <c r="A33" i="7" s="1"/>
  <c r="A34" i="7" s="1"/>
  <c r="A35" i="7" s="1"/>
  <c r="K30" i="7"/>
  <c r="A30" i="7"/>
  <c r="I21" i="7"/>
  <c r="K17" i="7"/>
  <c r="K18" i="7" s="1"/>
  <c r="I17" i="7"/>
  <c r="K13" i="7"/>
  <c r="K14" i="7" s="1"/>
  <c r="I13" i="7"/>
  <c r="I14" i="7" s="1"/>
  <c r="A13" i="7"/>
  <c r="A14" i="7" s="1"/>
  <c r="A16" i="7" s="1"/>
  <c r="A17" i="7" s="1"/>
  <c r="A18" i="7" s="1"/>
  <c r="A20" i="7" s="1"/>
  <c r="A21" i="7" s="1"/>
  <c r="A22" i="7" s="1"/>
  <c r="A24" i="7" s="1"/>
  <c r="F88" i="6"/>
  <c r="I87" i="6"/>
  <c r="K86" i="6"/>
  <c r="G86" i="6"/>
  <c r="G68" i="6"/>
  <c r="F68" i="6"/>
  <c r="E68" i="6"/>
  <c r="D68" i="6"/>
  <c r="C68" i="6"/>
  <c r="A57" i="6"/>
  <c r="A58" i="6" s="1"/>
  <c r="A59" i="6" s="1"/>
  <c r="A60" i="6" s="1"/>
  <c r="A61" i="6" s="1"/>
  <c r="A62" i="6" s="1"/>
  <c r="A63" i="6" s="1"/>
  <c r="A64" i="6" s="1"/>
  <c r="A65" i="6" s="1"/>
  <c r="A66" i="6" s="1"/>
  <c r="A67" i="6" s="1"/>
  <c r="A68" i="6" s="1"/>
  <c r="A69" i="6" s="1"/>
  <c r="A70" i="6" s="1"/>
  <c r="A73" i="6" s="1"/>
  <c r="A75" i="6" s="1"/>
  <c r="A77" i="6" s="1"/>
  <c r="A78" i="6" s="1"/>
  <c r="A79" i="6" s="1"/>
  <c r="A80" i="6" s="1"/>
  <c r="A85" i="6" s="1"/>
  <c r="A86" i="6" s="1"/>
  <c r="A87" i="6" s="1"/>
  <c r="A88" i="6" s="1"/>
  <c r="A56" i="6"/>
  <c r="F54" i="6"/>
  <c r="M45" i="6"/>
  <c r="L45" i="6"/>
  <c r="K45" i="6"/>
  <c r="J45" i="6"/>
  <c r="I45" i="6"/>
  <c r="H45" i="6"/>
  <c r="F45" i="6"/>
  <c r="E45" i="6"/>
  <c r="D45" i="6"/>
  <c r="C45" i="6"/>
  <c r="D138" i="1" s="1"/>
  <c r="E98" i="20" s="1"/>
  <c r="E100" i="20" s="1"/>
  <c r="G30" i="6"/>
  <c r="H30" i="6" s="1"/>
  <c r="I30" i="6" s="1"/>
  <c r="J30" i="6" s="1"/>
  <c r="F30" i="6"/>
  <c r="L24" i="6"/>
  <c r="J24" i="6"/>
  <c r="I24" i="6"/>
  <c r="H24" i="6"/>
  <c r="G24" i="6"/>
  <c r="F24" i="6"/>
  <c r="E24" i="6"/>
  <c r="D24" i="6"/>
  <c r="M24" i="6"/>
  <c r="K24" i="6"/>
  <c r="C24" i="6"/>
  <c r="H9" i="6"/>
  <c r="I9" i="6" s="1"/>
  <c r="G3" i="6"/>
  <c r="I59" i="5"/>
  <c r="D59" i="5"/>
  <c r="I58" i="5"/>
  <c r="I54" i="5"/>
  <c r="I53" i="5"/>
  <c r="I44" i="5"/>
  <c r="D44" i="5"/>
  <c r="C44" i="5"/>
  <c r="C43" i="5"/>
  <c r="J24" i="5"/>
  <c r="D24" i="5"/>
  <c r="G24" i="5"/>
  <c r="D102" i="1" s="1"/>
  <c r="F24" i="5"/>
  <c r="E24" i="5"/>
  <c r="C24" i="5"/>
  <c r="E59" i="4"/>
  <c r="B57" i="4"/>
  <c r="E26" i="4"/>
  <c r="E22" i="4"/>
  <c r="G39" i="4"/>
  <c r="D39" i="4"/>
  <c r="E18" i="4"/>
  <c r="E7" i="4"/>
  <c r="E20" i="3"/>
  <c r="E15" i="3"/>
  <c r="J14" i="3"/>
  <c r="J13" i="3"/>
  <c r="J12" i="3"/>
  <c r="A9" i="3"/>
  <c r="A12" i="3" s="1"/>
  <c r="A13" i="3" s="1"/>
  <c r="A14" i="3" s="1"/>
  <c r="A15" i="3" s="1"/>
  <c r="A16" i="3" s="1"/>
  <c r="A18" i="3" s="1"/>
  <c r="A19" i="3" s="1"/>
  <c r="F5" i="3"/>
  <c r="E7" i="21" s="1"/>
  <c r="P86" i="2"/>
  <c r="S85" i="2"/>
  <c r="G56" i="2"/>
  <c r="G55" i="2"/>
  <c r="I34" i="2"/>
  <c r="L34" i="2" s="1"/>
  <c r="G7" i="2"/>
  <c r="G57" i="2" s="1"/>
  <c r="I224" i="1"/>
  <c r="I223" i="1"/>
  <c r="I220" i="1"/>
  <c r="I217" i="1"/>
  <c r="I218" i="1" s="1"/>
  <c r="E161" i="20"/>
  <c r="I209" i="1"/>
  <c r="J160" i="20" s="1"/>
  <c r="G207" i="1"/>
  <c r="D197" i="1"/>
  <c r="G196" i="1"/>
  <c r="G195" i="1"/>
  <c r="G193" i="1"/>
  <c r="A189" i="1"/>
  <c r="A191" i="1" s="1"/>
  <c r="A193" i="1" s="1"/>
  <c r="A186" i="1"/>
  <c r="A187" i="1" s="1"/>
  <c r="A185" i="1"/>
  <c r="D160" i="1"/>
  <c r="D159" i="1"/>
  <c r="D158" i="1"/>
  <c r="C154" i="1"/>
  <c r="D151" i="1"/>
  <c r="E110" i="20" s="1"/>
  <c r="D150" i="1"/>
  <c r="E109" i="20" s="1"/>
  <c r="D149" i="1"/>
  <c r="E108" i="20" s="1"/>
  <c r="D146" i="1"/>
  <c r="E105" i="20" s="1"/>
  <c r="D145" i="1"/>
  <c r="E104" i="20" s="1"/>
  <c r="I140" i="1"/>
  <c r="D140" i="1"/>
  <c r="D137" i="1"/>
  <c r="D141" i="1" s="1"/>
  <c r="D132" i="1"/>
  <c r="I131" i="1"/>
  <c r="D131" i="1"/>
  <c r="D133" i="1" s="1"/>
  <c r="F129" i="1"/>
  <c r="D129" i="1"/>
  <c r="I129" i="1" s="1"/>
  <c r="D127" i="1"/>
  <c r="E92" i="20" s="1"/>
  <c r="D126" i="1"/>
  <c r="D134" i="1" s="1"/>
  <c r="D101" i="1" s="1"/>
  <c r="D125" i="1"/>
  <c r="E91" i="20" s="1"/>
  <c r="D124" i="1"/>
  <c r="E90" i="20" s="1"/>
  <c r="D123" i="1"/>
  <c r="E89" i="20" s="1"/>
  <c r="D122" i="1"/>
  <c r="E88" i="20" s="1"/>
  <c r="F121" i="1"/>
  <c r="D121" i="1"/>
  <c r="F120" i="1"/>
  <c r="D120" i="1"/>
  <c r="A120" i="1"/>
  <c r="A121" i="1" s="1"/>
  <c r="A122" i="1" s="1"/>
  <c r="D119" i="1"/>
  <c r="D98" i="1"/>
  <c r="D95" i="1"/>
  <c r="I94" i="1"/>
  <c r="D94" i="1"/>
  <c r="E62" i="20" s="1"/>
  <c r="J62" i="20" s="1"/>
  <c r="I93" i="1"/>
  <c r="D93" i="1"/>
  <c r="E61" i="20" s="1"/>
  <c r="J61" i="20" s="1"/>
  <c r="G92" i="1"/>
  <c r="I92" i="1" s="1"/>
  <c r="D92" i="1"/>
  <c r="E60" i="20" s="1"/>
  <c r="J60" i="20" s="1"/>
  <c r="D91" i="1"/>
  <c r="G89" i="1"/>
  <c r="G90" i="1" s="1"/>
  <c r="D87" i="1"/>
  <c r="E55" i="20" s="1"/>
  <c r="D83" i="1"/>
  <c r="D81" i="1"/>
  <c r="I79" i="1"/>
  <c r="D79" i="1"/>
  <c r="D74" i="1"/>
  <c r="E42" i="20" s="1"/>
  <c r="G73" i="1"/>
  <c r="I73" i="1" s="1"/>
  <c r="D66" i="1"/>
  <c r="A65" i="1"/>
  <c r="A66" i="1" s="1"/>
  <c r="A64" i="1"/>
  <c r="D32" i="20" s="1"/>
  <c r="D56" i="1"/>
  <c r="D113" i="1" s="1"/>
  <c r="D177" i="1" s="1"/>
  <c r="D243" i="1" s="1"/>
  <c r="A18" i="1"/>
  <c r="A19" i="1" s="1"/>
  <c r="A21" i="1" s="1"/>
  <c r="A23" i="1" s="1"/>
  <c r="A25" i="1" s="1"/>
  <c r="D16" i="1"/>
  <c r="D14" i="1"/>
  <c r="A14" i="1"/>
  <c r="A15" i="1" s="1"/>
  <c r="A16" i="1" s="1"/>
  <c r="A17" i="1" s="1"/>
  <c r="A3" i="8"/>
  <c r="A3" i="9" s="1"/>
  <c r="B3" i="10" s="1"/>
  <c r="B3" i="11" s="1"/>
  <c r="A3" i="12" s="1"/>
  <c r="A3" i="13" s="1"/>
  <c r="C3" i="1"/>
  <c r="D88" i="20" l="1"/>
  <c r="A123" i="1"/>
  <c r="D34" i="20"/>
  <c r="A67" i="1"/>
  <c r="E59" i="20"/>
  <c r="J59" i="20" s="1"/>
  <c r="I81" i="1"/>
  <c r="E34" i="20"/>
  <c r="E50" i="20" s="1"/>
  <c r="D82" i="1"/>
  <c r="E63" i="20"/>
  <c r="J63" i="20" s="1"/>
  <c r="I95" i="1"/>
  <c r="K58" i="7"/>
  <c r="K24" i="7"/>
  <c r="D144" i="20"/>
  <c r="A194" i="1"/>
  <c r="E116" i="20"/>
  <c r="E22" i="3"/>
  <c r="B20" i="3"/>
  <c r="A20" i="3"/>
  <c r="A21" i="3" s="1"/>
  <c r="A22" i="3" s="1"/>
  <c r="A23" i="3" s="1"/>
  <c r="A24" i="3" s="1"/>
  <c r="A25" i="3" s="1"/>
  <c r="A26" i="3" s="1"/>
  <c r="A27" i="3" s="1"/>
  <c r="A28" i="3" s="1"/>
  <c r="A29" i="3" s="1"/>
  <c r="A31" i="3" s="1"/>
  <c r="A33" i="3" s="1"/>
  <c r="A34" i="3" s="1"/>
  <c r="A35" i="3" s="1"/>
  <c r="A36" i="3" s="1"/>
  <c r="A37" i="3" s="1"/>
  <c r="A38" i="3" s="1"/>
  <c r="J13" i="13"/>
  <c r="K13" i="13" s="1"/>
  <c r="G13" i="13"/>
  <c r="E159" i="20"/>
  <c r="E162" i="20" s="1"/>
  <c r="I85" i="6"/>
  <c r="G208" i="1" s="1"/>
  <c r="H159" i="20" s="1"/>
  <c r="K241" i="1"/>
  <c r="J15" i="3"/>
  <c r="E30" i="4"/>
  <c r="E33" i="4"/>
  <c r="E27" i="4"/>
  <c r="E23" i="4"/>
  <c r="E19" i="4"/>
  <c r="E36" i="4"/>
  <c r="E31" i="4"/>
  <c r="E28" i="4"/>
  <c r="E24" i="4"/>
  <c r="E20" i="4"/>
  <c r="E34" i="4"/>
  <c r="E37" i="4"/>
  <c r="E29" i="4"/>
  <c r="E25" i="4"/>
  <c r="E21" i="4"/>
  <c r="K26" i="7"/>
  <c r="I24" i="7"/>
  <c r="E30" i="8"/>
  <c r="E30" i="12"/>
  <c r="E28" i="12"/>
  <c r="E28" i="8"/>
  <c r="E31" i="12"/>
  <c r="E35" i="12" s="1"/>
  <c r="E27" i="3"/>
  <c r="D64" i="1"/>
  <c r="E117" i="20"/>
  <c r="E23" i="3"/>
  <c r="M26" i="13"/>
  <c r="L26" i="13"/>
  <c r="K38" i="13"/>
  <c r="E94" i="20"/>
  <c r="E69" i="20" s="1"/>
  <c r="E72" i="20" s="1"/>
  <c r="E118" i="20"/>
  <c r="E24" i="3"/>
  <c r="D211" i="1"/>
  <c r="E210" i="1" s="1"/>
  <c r="I225" i="1"/>
  <c r="E26" i="3"/>
  <c r="E32" i="4"/>
  <c r="H24" i="5"/>
  <c r="D103" i="1" s="1"/>
  <c r="D104" i="1" s="1"/>
  <c r="G45" i="6"/>
  <c r="D148" i="1" s="1"/>
  <c r="H17" i="7"/>
  <c r="G55" i="7"/>
  <c r="J55" i="7" s="1"/>
  <c r="H21" i="7"/>
  <c r="H13" i="7"/>
  <c r="H14" i="7" s="1"/>
  <c r="M19" i="13"/>
  <c r="L19" i="13"/>
  <c r="F22" i="13"/>
  <c r="K111" i="1"/>
  <c r="K175" i="1"/>
  <c r="F12" i="4"/>
  <c r="I24" i="5"/>
  <c r="D72" i="1" s="1"/>
  <c r="L42" i="9"/>
  <c r="L54" i="9" s="1"/>
  <c r="J42" i="9"/>
  <c r="H42" i="9"/>
  <c r="H28" i="8"/>
  <c r="H28" i="12"/>
  <c r="J17" i="13"/>
  <c r="K17" i="13" s="1"/>
  <c r="G17" i="13"/>
  <c r="G57" i="7"/>
  <c r="J57" i="7" s="1"/>
  <c r="J21" i="7"/>
  <c r="J17" i="7"/>
  <c r="J13" i="7"/>
  <c r="J14" i="7" s="1"/>
  <c r="K54" i="1"/>
  <c r="E28" i="3"/>
  <c r="E31" i="8"/>
  <c r="E35" i="8" s="1"/>
  <c r="L17" i="9"/>
  <c r="J17" i="9"/>
  <c r="H17" i="9"/>
  <c r="M12" i="13"/>
  <c r="L12" i="13"/>
  <c r="E35" i="4"/>
  <c r="G12" i="10"/>
  <c r="L10" i="9"/>
  <c r="J10" i="9"/>
  <c r="J22" i="9" s="1"/>
  <c r="H10" i="9"/>
  <c r="M15" i="13"/>
  <c r="L15" i="13"/>
  <c r="M20" i="13"/>
  <c r="L20" i="13"/>
  <c r="L33" i="9"/>
  <c r="J33" i="9"/>
  <c r="F13" i="10"/>
  <c r="H8" i="8"/>
  <c r="K9" i="9"/>
  <c r="G9" i="12"/>
  <c r="G9" i="8"/>
  <c r="F10" i="11"/>
  <c r="K38" i="7"/>
  <c r="D11" i="9"/>
  <c r="D26" i="9"/>
  <c r="D42" i="9" s="1"/>
  <c r="K10" i="13"/>
  <c r="L18" i="9"/>
  <c r="J18" i="9"/>
  <c r="H18" i="9"/>
  <c r="L50" i="9"/>
  <c r="J50" i="9"/>
  <c r="G13" i="10"/>
  <c r="E18" i="12"/>
  <c r="E18" i="8"/>
  <c r="E19" i="12"/>
  <c r="E19" i="8"/>
  <c r="M34" i="13"/>
  <c r="L34" i="13"/>
  <c r="L18" i="13"/>
  <c r="M18" i="13"/>
  <c r="F25" i="9"/>
  <c r="F38" i="9" s="1"/>
  <c r="H9" i="13"/>
  <c r="E10" i="10"/>
  <c r="F8" i="8"/>
  <c r="F18" i="12"/>
  <c r="E11" i="10"/>
  <c r="G28" i="12"/>
  <c r="G10" i="13"/>
  <c r="M52" i="13"/>
  <c r="L52" i="13"/>
  <c r="J77" i="6"/>
  <c r="J80" i="6" s="1"/>
  <c r="K43" i="7"/>
  <c r="G9" i="9"/>
  <c r="L29" i="9"/>
  <c r="L38" i="9" s="1"/>
  <c r="J29" i="9"/>
  <c r="E9" i="12"/>
  <c r="E9" i="8"/>
  <c r="M37" i="13"/>
  <c r="L37" i="13"/>
  <c r="I61" i="16"/>
  <c r="L85" i="7"/>
  <c r="L89" i="7" s="1"/>
  <c r="J85" i="7"/>
  <c r="M11" i="13"/>
  <c r="L11" i="13"/>
  <c r="M16" i="13"/>
  <c r="L16" i="13"/>
  <c r="J21" i="13"/>
  <c r="K21" i="13" s="1"/>
  <c r="G21" i="13"/>
  <c r="L46" i="9"/>
  <c r="J46" i="9"/>
  <c r="F28" i="12"/>
  <c r="E12" i="10"/>
  <c r="F28" i="8"/>
  <c r="E8" i="12"/>
  <c r="E8" i="8"/>
  <c r="E12" i="11"/>
  <c r="F29" i="12"/>
  <c r="G19" i="12"/>
  <c r="F11" i="11"/>
  <c r="G19" i="8"/>
  <c r="G28" i="13"/>
  <c r="M45" i="13"/>
  <c r="L45" i="13"/>
  <c r="K42" i="7"/>
  <c r="I48" i="7"/>
  <c r="H11" i="9"/>
  <c r="H19" i="9"/>
  <c r="L37" i="9"/>
  <c r="J37" i="9"/>
  <c r="H19" i="12"/>
  <c r="G11" i="11"/>
  <c r="M28" i="13"/>
  <c r="L28" i="13"/>
  <c r="H44" i="13"/>
  <c r="H45" i="13" s="1"/>
  <c r="E10" i="11"/>
  <c r="E13" i="11" s="1"/>
  <c r="F9" i="12"/>
  <c r="G15" i="13"/>
  <c r="G20" i="13"/>
  <c r="G32" i="13"/>
  <c r="J54" i="13"/>
  <c r="K42" i="13"/>
  <c r="G50" i="13"/>
  <c r="D25" i="9"/>
  <c r="D41" i="9" s="1"/>
  <c r="G11" i="13"/>
  <c r="M30" i="13"/>
  <c r="L30" i="13"/>
  <c r="M32" i="13"/>
  <c r="L32" i="13"/>
  <c r="H42" i="13"/>
  <c r="M46" i="13"/>
  <c r="L46" i="13"/>
  <c r="L50" i="13"/>
  <c r="M50" i="13"/>
  <c r="F54" i="13"/>
  <c r="L45" i="17"/>
  <c r="P225" i="17"/>
  <c r="P228" i="17"/>
  <c r="H16" i="9"/>
  <c r="K54" i="9"/>
  <c r="G13" i="11"/>
  <c r="G18" i="13"/>
  <c r="G46" i="13"/>
  <c r="H46" i="13" s="1"/>
  <c r="L134" i="17"/>
  <c r="P134" i="17" s="1"/>
  <c r="H15" i="9"/>
  <c r="H27" i="9"/>
  <c r="H38" i="9" s="1"/>
  <c r="H31" i="9"/>
  <c r="H35" i="9"/>
  <c r="H44" i="9"/>
  <c r="H48" i="9"/>
  <c r="H52" i="9"/>
  <c r="G16" i="13"/>
  <c r="M36" i="13"/>
  <c r="L36" i="13"/>
  <c r="H43" i="13"/>
  <c r="L44" i="13"/>
  <c r="L188" i="17"/>
  <c r="J84" i="7"/>
  <c r="J89" i="7" s="1"/>
  <c r="H14" i="9"/>
  <c r="J15" i="9"/>
  <c r="J27" i="9"/>
  <c r="J38" i="9" s="1"/>
  <c r="J31" i="9"/>
  <c r="J35" i="9"/>
  <c r="J44" i="9"/>
  <c r="J54" i="9" s="1"/>
  <c r="J48" i="9"/>
  <c r="J52" i="9"/>
  <c r="L29" i="13"/>
  <c r="L43" i="13"/>
  <c r="H47" i="13"/>
  <c r="H48" i="13" s="1"/>
  <c r="H49" i="13" s="1"/>
  <c r="L48" i="13"/>
  <c r="H40" i="16"/>
  <c r="G12" i="13"/>
  <c r="G14" i="13"/>
  <c r="G19" i="13"/>
  <c r="H26" i="13"/>
  <c r="H27" i="13" s="1"/>
  <c r="G38" i="13"/>
  <c r="M43" i="13"/>
  <c r="Q32" i="14"/>
  <c r="P33" i="14"/>
  <c r="I69" i="16"/>
  <c r="P84" i="17"/>
  <c r="L84" i="17"/>
  <c r="L88" i="17"/>
  <c r="P88" i="17" s="1"/>
  <c r="P92" i="17"/>
  <c r="L92" i="17"/>
  <c r="L128" i="17"/>
  <c r="P128" i="17" s="1"/>
  <c r="P140" i="17" s="1"/>
  <c r="F144" i="17" s="1"/>
  <c r="F108" i="17"/>
  <c r="L107" i="17"/>
  <c r="P138" i="17"/>
  <c r="L138" i="17"/>
  <c r="A115" i="20"/>
  <c r="A116" i="20" s="1"/>
  <c r="A117" i="20" s="1"/>
  <c r="A118" i="20" s="1"/>
  <c r="A119" i="20" s="1"/>
  <c r="A120" i="20" s="1"/>
  <c r="A121" i="20" s="1"/>
  <c r="A122" i="20" s="1"/>
  <c r="A123" i="20" s="1"/>
  <c r="A125" i="20" s="1"/>
  <c r="A126" i="20" s="1"/>
  <c r="A128" i="20" s="1"/>
  <c r="C115" i="20"/>
  <c r="K24" i="21"/>
  <c r="J24" i="21"/>
  <c r="J29" i="21"/>
  <c r="K29" i="21" s="1"/>
  <c r="P132" i="17"/>
  <c r="L132" i="17"/>
  <c r="J32" i="21"/>
  <c r="K32" i="21" s="1"/>
  <c r="K37" i="21"/>
  <c r="J37" i="21"/>
  <c r="L27" i="13"/>
  <c r="L31" i="13"/>
  <c r="L35" i="13"/>
  <c r="F38" i="13"/>
  <c r="F151" i="17"/>
  <c r="L150" i="17"/>
  <c r="A34" i="20"/>
  <c r="A35" i="20" s="1"/>
  <c r="I68" i="16"/>
  <c r="P86" i="17"/>
  <c r="L86" i="17"/>
  <c r="L95" i="17" s="1"/>
  <c r="L90" i="17"/>
  <c r="P90" i="17" s="1"/>
  <c r="P94" i="17"/>
  <c r="L94" i="17"/>
  <c r="L102" i="17"/>
  <c r="L136" i="17"/>
  <c r="P136" i="17" s="1"/>
  <c r="L49" i="13"/>
  <c r="I60" i="16"/>
  <c r="P45" i="17"/>
  <c r="F49" i="17" s="1"/>
  <c r="P130" i="17"/>
  <c r="L130" i="17"/>
  <c r="P188" i="17"/>
  <c r="F192" i="17" s="1"/>
  <c r="P83" i="17"/>
  <c r="F198" i="17"/>
  <c r="P230" i="17"/>
  <c r="D192" i="20"/>
  <c r="F39" i="21"/>
  <c r="K21" i="21"/>
  <c r="J21" i="21"/>
  <c r="K34" i="21"/>
  <c r="J34" i="21"/>
  <c r="P226" i="17"/>
  <c r="L219" i="17"/>
  <c r="P219" i="17" s="1"/>
  <c r="L221" i="17"/>
  <c r="P221" i="17" s="1"/>
  <c r="L223" i="17"/>
  <c r="P223" i="17" s="1"/>
  <c r="P229" i="17"/>
  <c r="G11" i="20"/>
  <c r="E12" i="20"/>
  <c r="H39" i="21"/>
  <c r="K18" i="21"/>
  <c r="K23" i="21"/>
  <c r="J23" i="21"/>
  <c r="J39" i="21" s="1"/>
  <c r="J42" i="21" s="1"/>
  <c r="P227" i="17"/>
  <c r="H148" i="20"/>
  <c r="J148" i="20" s="1"/>
  <c r="K26" i="21"/>
  <c r="J26" i="21"/>
  <c r="K31" i="21"/>
  <c r="J31" i="21"/>
  <c r="J49" i="20"/>
  <c r="J170" i="20" s="1"/>
  <c r="K170" i="20" s="1"/>
  <c r="J10" i="20" s="1"/>
  <c r="E23" i="21"/>
  <c r="E39" i="21" s="1"/>
  <c r="E31" i="21"/>
  <c r="E20" i="21"/>
  <c r="E28" i="21"/>
  <c r="E36" i="21"/>
  <c r="E148" i="20"/>
  <c r="E25" i="21"/>
  <c r="J41" i="20"/>
  <c r="H20" i="12" l="1"/>
  <c r="H20" i="8"/>
  <c r="H21" i="8" s="1"/>
  <c r="L144" i="17"/>
  <c r="P144" i="17" s="1"/>
  <c r="F20" i="12"/>
  <c r="F21" i="12" s="1"/>
  <c r="F25" i="12" s="1"/>
  <c r="F20" i="8"/>
  <c r="F21" i="8" s="1"/>
  <c r="F25" i="8" s="1"/>
  <c r="G20" i="8"/>
  <c r="G20" i="12"/>
  <c r="P231" i="17"/>
  <c r="F235" i="17" s="1"/>
  <c r="H30" i="12"/>
  <c r="H31" i="12" s="1"/>
  <c r="H30" i="8"/>
  <c r="H31" i="8" s="1"/>
  <c r="G30" i="12"/>
  <c r="G31" i="12" s="1"/>
  <c r="G30" i="8"/>
  <c r="G31" i="8" s="1"/>
  <c r="G10" i="12"/>
  <c r="G10" i="8"/>
  <c r="F109" i="17"/>
  <c r="L108" i="17"/>
  <c r="M42" i="13"/>
  <c r="M54" i="13" s="1"/>
  <c r="L42" i="13"/>
  <c r="L54" i="13" s="1"/>
  <c r="K54" i="13"/>
  <c r="H28" i="13"/>
  <c r="H29" i="13" s="1"/>
  <c r="H30" i="13" s="1"/>
  <c r="H31" i="13" s="1"/>
  <c r="L10" i="13"/>
  <c r="K22" i="13"/>
  <c r="M10" i="13"/>
  <c r="M22" i="13" s="1"/>
  <c r="G11" i="12"/>
  <c r="D15" i="1"/>
  <c r="D19" i="1" s="1"/>
  <c r="M13" i="13"/>
  <c r="L13" i="13"/>
  <c r="L151" i="17"/>
  <c r="F152" i="17"/>
  <c r="E13" i="10"/>
  <c r="L49" i="17"/>
  <c r="P49" i="17" s="1"/>
  <c r="F50" i="17" s="1"/>
  <c r="H32" i="13"/>
  <c r="H33" i="13" s="1"/>
  <c r="H34" i="13" s="1"/>
  <c r="H35" i="13" s="1"/>
  <c r="H36" i="13" s="1"/>
  <c r="H37" i="13" s="1"/>
  <c r="D12" i="9"/>
  <c r="D27" i="9"/>
  <c r="D43" i="9" s="1"/>
  <c r="K57" i="7"/>
  <c r="J24" i="7"/>
  <c r="E40" i="20"/>
  <c r="D76" i="1"/>
  <c r="G161" i="20"/>
  <c r="G87" i="6"/>
  <c r="K87" i="6" s="1"/>
  <c r="I210" i="1"/>
  <c r="M38" i="13"/>
  <c r="D35" i="20"/>
  <c r="A68" i="1"/>
  <c r="A70" i="1" s="1"/>
  <c r="A71" i="1" s="1"/>
  <c r="J11" i="20"/>
  <c r="K10" i="20"/>
  <c r="M10" i="20" s="1"/>
  <c r="O10" i="20" s="1"/>
  <c r="L140" i="17"/>
  <c r="K39" i="21"/>
  <c r="L231" i="17"/>
  <c r="F199" i="17"/>
  <c r="L198" i="17"/>
  <c r="G54" i="13"/>
  <c r="G21" i="12"/>
  <c r="E20" i="8"/>
  <c r="E20" i="12"/>
  <c r="F33" i="4"/>
  <c r="H33" i="4" s="1"/>
  <c r="F27" i="4"/>
  <c r="H27" i="4" s="1"/>
  <c r="F23" i="4"/>
  <c r="H23" i="4" s="1"/>
  <c r="F19" i="4"/>
  <c r="H19" i="4" s="1"/>
  <c r="F36" i="4"/>
  <c r="H36" i="4" s="1"/>
  <c r="F31" i="4"/>
  <c r="H31" i="4" s="1"/>
  <c r="F28" i="4"/>
  <c r="H28" i="4" s="1"/>
  <c r="F24" i="4"/>
  <c r="H24" i="4" s="1"/>
  <c r="F20" i="4"/>
  <c r="H20" i="4" s="1"/>
  <c r="F34" i="4"/>
  <c r="H34" i="4" s="1"/>
  <c r="F37" i="4"/>
  <c r="H37" i="4" s="1"/>
  <c r="F29" i="4"/>
  <c r="H29" i="4" s="1"/>
  <c r="F25" i="4"/>
  <c r="H25" i="4" s="1"/>
  <c r="F21" i="4"/>
  <c r="H21" i="4" s="1"/>
  <c r="F32" i="4"/>
  <c r="H32" i="4" s="1"/>
  <c r="F18" i="4"/>
  <c r="F22" i="4"/>
  <c r="H22" i="4" s="1"/>
  <c r="F35" i="4"/>
  <c r="H35" i="4" s="1"/>
  <c r="F30" i="4"/>
  <c r="H30" i="4" s="1"/>
  <c r="F26" i="4"/>
  <c r="H26" i="4" s="1"/>
  <c r="E107" i="20"/>
  <c r="E111" i="20" s="1"/>
  <c r="D152" i="1"/>
  <c r="E208" i="1"/>
  <c r="P34" i="14"/>
  <c r="Q33" i="14"/>
  <c r="N42" i="13"/>
  <c r="N43" i="13" s="1"/>
  <c r="N44" i="13" s="1"/>
  <c r="N45" i="13" s="1"/>
  <c r="N46" i="13" s="1"/>
  <c r="N47" i="13" s="1"/>
  <c r="N48" i="13" s="1"/>
  <c r="N49" i="13" s="1"/>
  <c r="N50" i="13" s="1"/>
  <c r="N51" i="13" s="1"/>
  <c r="N52" i="13" s="1"/>
  <c r="N53" i="13" s="1"/>
  <c r="I20" i="7"/>
  <c r="I22" i="7" s="1"/>
  <c r="F20" i="7"/>
  <c r="J20" i="7"/>
  <c r="J22" i="7" s="1"/>
  <c r="H20" i="7"/>
  <c r="H22" i="7" s="1"/>
  <c r="H10" i="13"/>
  <c r="H11" i="13" s="1"/>
  <c r="H12" i="13" s="1"/>
  <c r="H13" i="13" s="1"/>
  <c r="H14" i="13" s="1"/>
  <c r="H15" i="13" s="1"/>
  <c r="H16" i="13" s="1"/>
  <c r="H17" i="13" s="1"/>
  <c r="H18" i="13" s="1"/>
  <c r="H19" i="13" s="1"/>
  <c r="H20" i="13" s="1"/>
  <c r="H21" i="13" s="1"/>
  <c r="G22" i="13"/>
  <c r="N10" i="13"/>
  <c r="N11" i="13" s="1"/>
  <c r="N12" i="13" s="1"/>
  <c r="N13" i="13" s="1"/>
  <c r="N14" i="13" s="1"/>
  <c r="N15" i="13" s="1"/>
  <c r="N16" i="13" s="1"/>
  <c r="M17" i="13"/>
  <c r="L17" i="13"/>
  <c r="E39" i="4"/>
  <c r="D145" i="20"/>
  <c r="A195" i="1"/>
  <c r="P95" i="17"/>
  <c r="F99" i="17" s="1"/>
  <c r="J16" i="7"/>
  <c r="J18" i="7" s="1"/>
  <c r="F16" i="7"/>
  <c r="I16" i="7"/>
  <c r="I18" i="7" s="1"/>
  <c r="H16" i="7"/>
  <c r="H18" i="7" s="1"/>
  <c r="G16" i="7"/>
  <c r="H21" i="12"/>
  <c r="K48" i="7"/>
  <c r="G53" i="7"/>
  <c r="F21" i="7"/>
  <c r="F17" i="7"/>
  <c r="F13" i="7"/>
  <c r="F14" i="7" s="1"/>
  <c r="L14" i="7" s="1"/>
  <c r="G22" i="9"/>
  <c r="H9" i="9"/>
  <c r="E21" i="8"/>
  <c r="E25" i="8" s="1"/>
  <c r="J152" i="20"/>
  <c r="L152" i="20" s="1"/>
  <c r="H35" i="20" s="1"/>
  <c r="H34" i="20"/>
  <c r="G12" i="20"/>
  <c r="E13" i="20"/>
  <c r="I40" i="16"/>
  <c r="G52" i="16" s="1"/>
  <c r="J52" i="16" s="1"/>
  <c r="M21" i="13"/>
  <c r="L21" i="13"/>
  <c r="G21" i="7"/>
  <c r="G22" i="7" s="1"/>
  <c r="G17" i="7"/>
  <c r="G54" i="7"/>
  <c r="J54" i="7" s="1"/>
  <c r="G13" i="7"/>
  <c r="G14" i="7" s="1"/>
  <c r="E21" i="12"/>
  <c r="E25" i="12" s="1"/>
  <c r="F13" i="11"/>
  <c r="D89" i="20"/>
  <c r="A124" i="1"/>
  <c r="G21" i="8"/>
  <c r="L9" i="9"/>
  <c r="L22" i="9" s="1"/>
  <c r="K22" i="9"/>
  <c r="L38" i="13"/>
  <c r="L192" i="17"/>
  <c r="P192" i="17"/>
  <c r="A36" i="20"/>
  <c r="A38" i="20" s="1"/>
  <c r="A39" i="20" s="1"/>
  <c r="N26" i="13"/>
  <c r="N27" i="13" s="1"/>
  <c r="N28" i="13" s="1"/>
  <c r="N29" i="13" s="1"/>
  <c r="N30" i="13" s="1"/>
  <c r="N31" i="13" s="1"/>
  <c r="N32" i="13" s="1"/>
  <c r="N33" i="13" s="1"/>
  <c r="N34" i="13" s="1"/>
  <c r="N35" i="13" s="1"/>
  <c r="N36" i="13" s="1"/>
  <c r="N37" i="13" s="1"/>
  <c r="H50" i="13"/>
  <c r="H51" i="13" s="1"/>
  <c r="H52" i="13" s="1"/>
  <c r="H53" i="13" s="1"/>
  <c r="J22" i="13"/>
  <c r="G11" i="8"/>
  <c r="H54" i="9"/>
  <c r="K55" i="7"/>
  <c r="H24" i="7"/>
  <c r="E32" i="20"/>
  <c r="I184" i="1"/>
  <c r="D68" i="1"/>
  <c r="D80" i="1"/>
  <c r="I26" i="7" l="1"/>
  <c r="L50" i="17"/>
  <c r="P50" i="17" s="1"/>
  <c r="F51" i="17" s="1"/>
  <c r="K54" i="7"/>
  <c r="G24" i="7"/>
  <c r="J161" i="20"/>
  <c r="E119" i="20" s="1"/>
  <c r="E14" i="20"/>
  <c r="G14" i="20" s="1"/>
  <c r="G13" i="20"/>
  <c r="G53" i="16"/>
  <c r="J53" i="16" s="1"/>
  <c r="D146" i="20"/>
  <c r="A196" i="1"/>
  <c r="K30" i="4"/>
  <c r="J30" i="4"/>
  <c r="K37" i="4"/>
  <c r="J37" i="4"/>
  <c r="J23" i="4"/>
  <c r="K23" i="4" s="1"/>
  <c r="D13" i="9"/>
  <c r="D28" i="9"/>
  <c r="D44" i="9" s="1"/>
  <c r="E48" i="20"/>
  <c r="E52" i="20" s="1"/>
  <c r="J32" i="20"/>
  <c r="E36" i="20"/>
  <c r="D47" i="20"/>
  <c r="A40" i="20"/>
  <c r="A41" i="20" s="1"/>
  <c r="H42" i="20"/>
  <c r="J34" i="20"/>
  <c r="G18" i="7"/>
  <c r="G26" i="7" s="1"/>
  <c r="J22" i="4"/>
  <c r="K22" i="4" s="1"/>
  <c r="J20" i="4"/>
  <c r="K20" i="4" s="1"/>
  <c r="K33" i="4"/>
  <c r="J33" i="4"/>
  <c r="G58" i="16"/>
  <c r="J58" i="16" s="1"/>
  <c r="H10" i="12"/>
  <c r="H11" i="12" s="1"/>
  <c r="H10" i="8"/>
  <c r="H11" i="8" s="1"/>
  <c r="J35" i="4"/>
  <c r="K35" i="4" s="1"/>
  <c r="D90" i="20"/>
  <c r="A126" i="1"/>
  <c r="A128" i="1" s="1"/>
  <c r="H43" i="20"/>
  <c r="J35" i="20"/>
  <c r="H26" i="7"/>
  <c r="F22" i="7"/>
  <c r="L22" i="7" s="1"/>
  <c r="P35" i="14"/>
  <c r="Q34" i="14"/>
  <c r="H18" i="4"/>
  <c r="F39" i="4"/>
  <c r="K24" i="4"/>
  <c r="J24" i="4"/>
  <c r="L22" i="13"/>
  <c r="L109" i="17"/>
  <c r="F110" i="17"/>
  <c r="J53" i="7"/>
  <c r="G59" i="7"/>
  <c r="G159" i="20"/>
  <c r="G85" i="6"/>
  <c r="K85" i="6" s="1"/>
  <c r="K88" i="6" s="1"/>
  <c r="I208" i="1"/>
  <c r="K32" i="4"/>
  <c r="J32" i="4"/>
  <c r="J28" i="4"/>
  <c r="K28" i="4" s="1"/>
  <c r="J12" i="20"/>
  <c r="K11" i="20"/>
  <c r="M11" i="20" s="1"/>
  <c r="O11" i="20" s="1"/>
  <c r="G66" i="16"/>
  <c r="J66" i="16" s="1"/>
  <c r="I187" i="1"/>
  <c r="I189" i="1"/>
  <c r="J34" i="4"/>
  <c r="K34" i="4" s="1"/>
  <c r="F153" i="17"/>
  <c r="L152" i="17"/>
  <c r="F30" i="8"/>
  <c r="F31" i="8" s="1"/>
  <c r="F35" i="8" s="1"/>
  <c r="F30" i="12"/>
  <c r="F31" i="12" s="1"/>
  <c r="F35" i="12" s="1"/>
  <c r="F18" i="7"/>
  <c r="K21" i="4"/>
  <c r="J21" i="4"/>
  <c r="J31" i="4"/>
  <c r="K31" i="4" s="1"/>
  <c r="D39" i="20"/>
  <c r="C79" i="1"/>
  <c r="A72" i="1"/>
  <c r="J40" i="20"/>
  <c r="E44" i="20"/>
  <c r="F9" i="9"/>
  <c r="F22" i="9" s="1"/>
  <c r="H22" i="9"/>
  <c r="J26" i="7"/>
  <c r="N17" i="13"/>
  <c r="N18" i="13" s="1"/>
  <c r="N19" i="13" s="1"/>
  <c r="N20" i="13" s="1"/>
  <c r="N21" i="13" s="1"/>
  <c r="K25" i="4"/>
  <c r="J25" i="4"/>
  <c r="J36" i="4"/>
  <c r="K36" i="4" s="1"/>
  <c r="F200" i="17"/>
  <c r="L199" i="17"/>
  <c r="P235" i="17"/>
  <c r="F239" i="17" s="1"/>
  <c r="L235" i="17"/>
  <c r="J27" i="4"/>
  <c r="K27" i="4" s="1"/>
  <c r="D200" i="1"/>
  <c r="D203" i="1" s="1"/>
  <c r="G201" i="1" s="1"/>
  <c r="D84" i="1"/>
  <c r="G62" i="16"/>
  <c r="J62" i="16" s="1"/>
  <c r="G56" i="16"/>
  <c r="J56" i="16" s="1"/>
  <c r="G57" i="16"/>
  <c r="J57" i="16" s="1"/>
  <c r="G60" i="16"/>
  <c r="J60" i="16" s="1"/>
  <c r="G65" i="16"/>
  <c r="J65" i="16" s="1"/>
  <c r="G55" i="16"/>
  <c r="J55" i="16" s="1"/>
  <c r="G68" i="16"/>
  <c r="J68" i="16" s="1"/>
  <c r="G67" i="16"/>
  <c r="J67" i="16" s="1"/>
  <c r="G71" i="16"/>
  <c r="J71" i="16" s="1"/>
  <c r="G69" i="16"/>
  <c r="J69" i="16" s="1"/>
  <c r="G64" i="16"/>
  <c r="J64" i="16" s="1"/>
  <c r="G70" i="16"/>
  <c r="J70" i="16" s="1"/>
  <c r="G63" i="16"/>
  <c r="J63" i="16" s="1"/>
  <c r="G59" i="16"/>
  <c r="J59" i="16" s="1"/>
  <c r="G54" i="16"/>
  <c r="J54" i="16" s="1"/>
  <c r="P99" i="17"/>
  <c r="F100" i="17" s="1"/>
  <c r="L100" i="17" s="1"/>
  <c r="L99" i="17"/>
  <c r="J26" i="4"/>
  <c r="K26" i="4" s="1"/>
  <c r="K29" i="4"/>
  <c r="J29" i="4"/>
  <c r="K19" i="4"/>
  <c r="J19" i="4"/>
  <c r="G61" i="16"/>
  <c r="J61" i="16" s="1"/>
  <c r="L51" i="17" l="1"/>
  <c r="P51" i="17" s="1"/>
  <c r="F52" i="17" s="1"/>
  <c r="K53" i="7"/>
  <c r="K59" i="7" s="1"/>
  <c r="J59" i="7"/>
  <c r="J61" i="7" s="1"/>
  <c r="F24" i="7"/>
  <c r="L24" i="7" s="1"/>
  <c r="H93" i="20"/>
  <c r="J43" i="20"/>
  <c r="E194" i="1"/>
  <c r="G194" i="1" s="1"/>
  <c r="G197" i="1" s="1"/>
  <c r="I197" i="1" s="1"/>
  <c r="G14" i="1"/>
  <c r="G64" i="1"/>
  <c r="G119" i="1"/>
  <c r="D93" i="20"/>
  <c r="A129" i="1"/>
  <c r="A130" i="1" s="1"/>
  <c r="A131" i="1" s="1"/>
  <c r="A132" i="1" s="1"/>
  <c r="A133" i="1" s="1"/>
  <c r="A134" i="1" s="1"/>
  <c r="A136" i="1" s="1"/>
  <c r="A137" i="1" s="1"/>
  <c r="A138" i="1" s="1"/>
  <c r="E10" i="12"/>
  <c r="E11" i="12" s="1"/>
  <c r="E15" i="12" s="1"/>
  <c r="E10" i="8"/>
  <c r="E11" i="8" s="1"/>
  <c r="E15" i="8" s="1"/>
  <c r="F111" i="17"/>
  <c r="L110" i="17"/>
  <c r="J18" i="4"/>
  <c r="J39" i="4" s="1"/>
  <c r="J42" i="4" s="1"/>
  <c r="H39" i="4"/>
  <c r="J42" i="20"/>
  <c r="H88" i="20"/>
  <c r="J119" i="20"/>
  <c r="L200" i="17"/>
  <c r="F201" i="17"/>
  <c r="F14" i="16"/>
  <c r="D29" i="9"/>
  <c r="D45" i="9" s="1"/>
  <c r="D14" i="9"/>
  <c r="F10" i="12"/>
  <c r="F11" i="12" s="1"/>
  <c r="F15" i="12" s="1"/>
  <c r="F10" i="8"/>
  <c r="F11" i="8" s="1"/>
  <c r="F15" i="8" s="1"/>
  <c r="L153" i="17"/>
  <c r="F154" i="17"/>
  <c r="J159" i="20"/>
  <c r="J162" i="20" s="1"/>
  <c r="I211" i="1"/>
  <c r="Q35" i="14"/>
  <c r="P36" i="14"/>
  <c r="A42" i="20"/>
  <c r="A43" i="20" s="1"/>
  <c r="D49" i="20"/>
  <c r="D147" i="20"/>
  <c r="A197" i="1"/>
  <c r="A199" i="1" s="1"/>
  <c r="A200" i="1" s="1"/>
  <c r="F240" i="17"/>
  <c r="L239" i="17"/>
  <c r="J44" i="20"/>
  <c r="L18" i="7"/>
  <c r="F26" i="7"/>
  <c r="L26" i="7" s="1"/>
  <c r="D155" i="1" s="1"/>
  <c r="K12" i="20"/>
  <c r="M12" i="20" s="1"/>
  <c r="O12" i="20" s="1"/>
  <c r="J13" i="20"/>
  <c r="J50" i="20"/>
  <c r="D40" i="20"/>
  <c r="A73" i="1"/>
  <c r="J51" i="20"/>
  <c r="J48" i="20"/>
  <c r="J36" i="20"/>
  <c r="H36" i="20" s="1"/>
  <c r="L52" i="17" l="1"/>
  <c r="P52" i="17" s="1"/>
  <c r="F53" i="17" s="1"/>
  <c r="K13" i="20"/>
  <c r="M13" i="20" s="1"/>
  <c r="O13" i="20" s="1"/>
  <c r="J14" i="20"/>
  <c r="K14" i="20" s="1"/>
  <c r="M14" i="20" s="1"/>
  <c r="O14" i="20" s="1"/>
  <c r="O15" i="20" s="1"/>
  <c r="L240" i="17"/>
  <c r="F241" i="17"/>
  <c r="L111" i="17"/>
  <c r="F112" i="17"/>
  <c r="I14" i="1"/>
  <c r="G15" i="1"/>
  <c r="H98" i="20"/>
  <c r="H89" i="20"/>
  <c r="J88" i="20"/>
  <c r="H14" i="12"/>
  <c r="H15" i="12" s="1"/>
  <c r="H24" i="12"/>
  <c r="H25" i="12" s="1"/>
  <c r="H34" i="12"/>
  <c r="H35" i="12" s="1"/>
  <c r="H14" i="8"/>
  <c r="H15" i="8" s="1"/>
  <c r="H34" i="8"/>
  <c r="H35" i="8" s="1"/>
  <c r="H24" i="8"/>
  <c r="H25" i="8" s="1"/>
  <c r="I201" i="1"/>
  <c r="G66" i="1"/>
  <c r="J52" i="20"/>
  <c r="H52" i="20" s="1"/>
  <c r="H120" i="20" s="1"/>
  <c r="D98" i="20"/>
  <c r="A139" i="1"/>
  <c r="H71" i="20"/>
  <c r="J71" i="20" s="1"/>
  <c r="H107" i="20"/>
  <c r="F202" i="17"/>
  <c r="L201" i="17"/>
  <c r="D30" i="9"/>
  <c r="D46" i="9" s="1"/>
  <c r="D15" i="9"/>
  <c r="D151" i="20"/>
  <c r="A201" i="1"/>
  <c r="A74" i="1"/>
  <c r="C81" i="1"/>
  <c r="F155" i="17"/>
  <c r="L154" i="17"/>
  <c r="K18" i="4"/>
  <c r="K39" i="4" s="1"/>
  <c r="D23" i="1" s="1"/>
  <c r="I23" i="1" s="1"/>
  <c r="G102" i="1"/>
  <c r="I102" i="1" s="1"/>
  <c r="G126" i="1"/>
  <c r="I126" i="1" s="1"/>
  <c r="G120" i="1"/>
  <c r="I119" i="1"/>
  <c r="G132" i="1"/>
  <c r="I132" i="1" s="1"/>
  <c r="H99" i="20"/>
  <c r="J99" i="20" s="1"/>
  <c r="J93" i="20"/>
  <c r="E114" i="20"/>
  <c r="D157" i="1"/>
  <c r="A44" i="20"/>
  <c r="A46" i="20" s="1"/>
  <c r="A47" i="20" s="1"/>
  <c r="A48" i="20" s="1"/>
  <c r="A49" i="20" s="1"/>
  <c r="A50" i="20" s="1"/>
  <c r="A51" i="20" s="1"/>
  <c r="A52" i="20" s="1"/>
  <c r="A54" i="20" s="1"/>
  <c r="A55" i="20" s="1"/>
  <c r="A56" i="20" s="1"/>
  <c r="A57" i="20" s="1"/>
  <c r="A58" i="20" s="1"/>
  <c r="A59" i="20" s="1"/>
  <c r="A61" i="20" s="1"/>
  <c r="A62" i="20" s="1"/>
  <c r="A63" i="20" s="1"/>
  <c r="A64" i="20" s="1"/>
  <c r="A66" i="20" s="1"/>
  <c r="A68" i="20" s="1"/>
  <c r="A69" i="20" s="1"/>
  <c r="A70" i="20" s="1"/>
  <c r="A71" i="20" s="1"/>
  <c r="A72" i="20" s="1"/>
  <c r="A74" i="20" s="1"/>
  <c r="D51" i="20"/>
  <c r="G72" i="1"/>
  <c r="I64" i="1"/>
  <c r="Q36" i="14"/>
  <c r="P37" i="14"/>
  <c r="L53" i="17" l="1"/>
  <c r="P53" i="17"/>
  <c r="F57" i="17" s="1"/>
  <c r="D31" i="9"/>
  <c r="D47" i="9" s="1"/>
  <c r="D16" i="9"/>
  <c r="F242" i="17"/>
  <c r="L241" i="17"/>
  <c r="H121" i="20"/>
  <c r="I15" i="1"/>
  <c r="G16" i="1"/>
  <c r="I16" i="1" s="1"/>
  <c r="G17" i="1"/>
  <c r="I19" i="19"/>
  <c r="I18" i="2"/>
  <c r="I72" i="1"/>
  <c r="I80" i="1" s="1"/>
  <c r="G98" i="1"/>
  <c r="I133" i="1"/>
  <c r="F156" i="17"/>
  <c r="L155" i="17"/>
  <c r="I66" i="1"/>
  <c r="G74" i="1"/>
  <c r="F203" i="17"/>
  <c r="L202" i="17"/>
  <c r="K201" i="1"/>
  <c r="G67" i="1" s="1"/>
  <c r="H90" i="20"/>
  <c r="J89" i="20"/>
  <c r="F113" i="17"/>
  <c r="L112" i="17"/>
  <c r="P38" i="14"/>
  <c r="Q37" i="14"/>
  <c r="G121" i="1"/>
  <c r="I121" i="1" s="1"/>
  <c r="I120" i="1"/>
  <c r="D42" i="20"/>
  <c r="A75" i="1"/>
  <c r="H110" i="20"/>
  <c r="J110" i="20" s="1"/>
  <c r="H109" i="20"/>
  <c r="J109" i="20" s="1"/>
  <c r="J107" i="20"/>
  <c r="H104" i="20"/>
  <c r="J98" i="20"/>
  <c r="J100" i="20" s="1"/>
  <c r="E115" i="20"/>
  <c r="D163" i="1"/>
  <c r="D164" i="1"/>
  <c r="D162" i="1"/>
  <c r="D152" i="20"/>
  <c r="A202" i="1"/>
  <c r="D99" i="20"/>
  <c r="A140" i="1"/>
  <c r="A141" i="1" s="1"/>
  <c r="A143" i="1" s="1"/>
  <c r="A144" i="1" s="1"/>
  <c r="A145" i="1" s="1"/>
  <c r="I20" i="19" l="1"/>
  <c r="I19" i="2"/>
  <c r="G18" i="1"/>
  <c r="I18" i="1" s="1"/>
  <c r="I17" i="1"/>
  <c r="D32" i="9"/>
  <c r="D48" i="9" s="1"/>
  <c r="D17" i="9"/>
  <c r="L203" i="17"/>
  <c r="F204" i="17"/>
  <c r="D104" i="20"/>
  <c r="A146" i="1"/>
  <c r="E122" i="20"/>
  <c r="D43" i="20"/>
  <c r="A76" i="1"/>
  <c r="A78" i="1" s="1"/>
  <c r="A79" i="1" s="1"/>
  <c r="A80" i="1" s="1"/>
  <c r="A81" i="1" s="1"/>
  <c r="A82" i="1" s="1"/>
  <c r="A83" i="1" s="1"/>
  <c r="A84" i="1" s="1"/>
  <c r="A86" i="1" s="1"/>
  <c r="A87" i="1" s="1"/>
  <c r="C83" i="1"/>
  <c r="F114" i="17"/>
  <c r="L113" i="17"/>
  <c r="L156" i="17"/>
  <c r="F157" i="17"/>
  <c r="E120" i="20"/>
  <c r="E121" i="20"/>
  <c r="J121" i="20" s="1"/>
  <c r="J90" i="20"/>
  <c r="H91" i="20"/>
  <c r="H122" i="20"/>
  <c r="J122" i="20" s="1"/>
  <c r="G75" i="1"/>
  <c r="I67" i="1"/>
  <c r="F58" i="17"/>
  <c r="N71" i="17"/>
  <c r="J104" i="20"/>
  <c r="H105" i="20"/>
  <c r="J105" i="20" s="1"/>
  <c r="G137" i="1"/>
  <c r="I137" i="1" s="1"/>
  <c r="I98" i="1"/>
  <c r="D153" i="20"/>
  <c r="A203" i="1"/>
  <c r="A205" i="1" s="1"/>
  <c r="A206" i="1" s="1"/>
  <c r="A207" i="1" s="1"/>
  <c r="A208" i="1" s="1"/>
  <c r="P39" i="14"/>
  <c r="Q38" i="14"/>
  <c r="G122" i="1"/>
  <c r="I74" i="1"/>
  <c r="L242" i="17"/>
  <c r="F243" i="17"/>
  <c r="L114" i="17" l="1"/>
  <c r="F115" i="17"/>
  <c r="I82" i="1"/>
  <c r="I75" i="1"/>
  <c r="G128" i="1"/>
  <c r="E123" i="20"/>
  <c r="J120" i="20"/>
  <c r="J123" i="20" s="1"/>
  <c r="J111" i="20"/>
  <c r="F158" i="17"/>
  <c r="L157" i="17"/>
  <c r="Q39" i="14"/>
  <c r="P40" i="14"/>
  <c r="N73" i="17"/>
  <c r="N67" i="17"/>
  <c r="N65" i="17"/>
  <c r="N63" i="17"/>
  <c r="N61" i="17"/>
  <c r="N59" i="17"/>
  <c r="N57" i="17"/>
  <c r="P57" i="17" s="1"/>
  <c r="N68" i="17"/>
  <c r="N66" i="17"/>
  <c r="N64" i="17"/>
  <c r="N62" i="17"/>
  <c r="N60" i="17"/>
  <c r="N58" i="17"/>
  <c r="F244" i="17"/>
  <c r="L243" i="17"/>
  <c r="D159" i="20"/>
  <c r="B81" i="16"/>
  <c r="A209" i="1"/>
  <c r="I68" i="1"/>
  <c r="D105" i="20"/>
  <c r="A147" i="1"/>
  <c r="A148" i="1" s="1"/>
  <c r="G123" i="1"/>
  <c r="I122" i="1"/>
  <c r="G138" i="1"/>
  <c r="D33" i="9"/>
  <c r="D49" i="9" s="1"/>
  <c r="D18" i="9"/>
  <c r="F59" i="17"/>
  <c r="P58" i="17"/>
  <c r="I19" i="1"/>
  <c r="D55" i="20"/>
  <c r="A88" i="1"/>
  <c r="I76" i="1"/>
  <c r="H92" i="20"/>
  <c r="J92" i="20" s="1"/>
  <c r="J91" i="20"/>
  <c r="J94" i="20" s="1"/>
  <c r="F205" i="17"/>
  <c r="L204" i="17"/>
  <c r="J69" i="20" l="1"/>
  <c r="J72" i="20" s="1"/>
  <c r="G167" i="20"/>
  <c r="D56" i="20"/>
  <c r="A89" i="1"/>
  <c r="I34" i="19"/>
  <c r="I33" i="2"/>
  <c r="L205" i="17"/>
  <c r="F206" i="17"/>
  <c r="F60" i="17"/>
  <c r="P59" i="17"/>
  <c r="D107" i="20"/>
  <c r="A149" i="1"/>
  <c r="F245" i="17"/>
  <c r="L244" i="17"/>
  <c r="F116" i="17"/>
  <c r="L115" i="17"/>
  <c r="I84" i="1"/>
  <c r="G68" i="1"/>
  <c r="F159" i="17"/>
  <c r="L158" i="17"/>
  <c r="D19" i="9"/>
  <c r="D34" i="9"/>
  <c r="D50" i="9" s="1"/>
  <c r="I138" i="1"/>
  <c r="G145" i="1"/>
  <c r="D160" i="20"/>
  <c r="A210" i="1"/>
  <c r="Q40" i="14"/>
  <c r="P41" i="14"/>
  <c r="I83" i="1"/>
  <c r="I123" i="1"/>
  <c r="G124" i="1"/>
  <c r="I128" i="1"/>
  <c r="G139" i="1"/>
  <c r="I139" i="1" s="1"/>
  <c r="F61" i="17" l="1"/>
  <c r="P60" i="17"/>
  <c r="L159" i="17"/>
  <c r="F160" i="17"/>
  <c r="I145" i="1"/>
  <c r="G146" i="1"/>
  <c r="I146" i="1" s="1"/>
  <c r="D57" i="20"/>
  <c r="A90" i="1"/>
  <c r="F117" i="17"/>
  <c r="L116" i="17"/>
  <c r="G148" i="1"/>
  <c r="G103" i="1"/>
  <c r="I103" i="1" s="1"/>
  <c r="G84" i="1"/>
  <c r="G125" i="1"/>
  <c r="I124" i="1"/>
  <c r="I27" i="19"/>
  <c r="I28" i="19" s="1"/>
  <c r="L28" i="19" s="1"/>
  <c r="I26" i="2"/>
  <c r="I27" i="2" s="1"/>
  <c r="L27" i="2" s="1"/>
  <c r="I141" i="1"/>
  <c r="L245" i="17"/>
  <c r="F246" i="17"/>
  <c r="D108" i="20"/>
  <c r="A150" i="1"/>
  <c r="D161" i="20"/>
  <c r="A211" i="1"/>
  <c r="A213" i="1" s="1"/>
  <c r="A215" i="1" s="1"/>
  <c r="A216" i="1" s="1"/>
  <c r="A217" i="1" s="1"/>
  <c r="A218" i="1" s="1"/>
  <c r="A220" i="1" s="1"/>
  <c r="F207" i="17"/>
  <c r="L206" i="17"/>
  <c r="D20" i="9"/>
  <c r="D35" i="9"/>
  <c r="D51" i="9" s="1"/>
  <c r="P42" i="14"/>
  <c r="Q41" i="14"/>
  <c r="G150" i="1" l="1"/>
  <c r="I150" i="1" s="1"/>
  <c r="G151" i="1"/>
  <c r="I151" i="1" s="1"/>
  <c r="I148" i="1"/>
  <c r="F161" i="17"/>
  <c r="L160" i="17"/>
  <c r="A222" i="1"/>
  <c r="A223" i="1" s="1"/>
  <c r="A224" i="1" s="1"/>
  <c r="A225" i="1" s="1"/>
  <c r="C15" i="1" s="1"/>
  <c r="C14" i="1"/>
  <c r="I152" i="1"/>
  <c r="G13" i="12"/>
  <c r="G15" i="12" s="1"/>
  <c r="I15" i="12" s="1"/>
  <c r="G23" i="12"/>
  <c r="G25" i="12" s="1"/>
  <c r="I25" i="12" s="1"/>
  <c r="G23" i="8"/>
  <c r="G25" i="8" s="1"/>
  <c r="I25" i="8" s="1"/>
  <c r="G44" i="5" s="1"/>
  <c r="D89" i="1" s="1"/>
  <c r="G13" i="8"/>
  <c r="G15" i="8" s="1"/>
  <c r="I15" i="8" s="1"/>
  <c r="F44" i="5" s="1"/>
  <c r="D88" i="1" s="1"/>
  <c r="G33" i="8"/>
  <c r="G35" i="8" s="1"/>
  <c r="I35" i="8" s="1"/>
  <c r="H44" i="5" s="1"/>
  <c r="D90" i="1" s="1"/>
  <c r="G33" i="12"/>
  <c r="G35" i="12" s="1"/>
  <c r="I35" i="12" s="1"/>
  <c r="H26" i="3"/>
  <c r="G162" i="1"/>
  <c r="G91" i="1"/>
  <c r="I91" i="1" s="1"/>
  <c r="P43" i="14"/>
  <c r="Q42" i="14"/>
  <c r="L246" i="17"/>
  <c r="F247" i="17"/>
  <c r="I125" i="1"/>
  <c r="G127" i="1"/>
  <c r="I127" i="1" s="1"/>
  <c r="L117" i="17"/>
  <c r="L118" i="17" s="1"/>
  <c r="N120" i="17" s="1"/>
  <c r="F208" i="17"/>
  <c r="L207" i="17"/>
  <c r="D109" i="20"/>
  <c r="A151" i="1"/>
  <c r="D21" i="9"/>
  <c r="D36" i="9"/>
  <c r="D52" i="9" s="1"/>
  <c r="D58" i="20"/>
  <c r="A91" i="1"/>
  <c r="F62" i="17"/>
  <c r="P61" i="17"/>
  <c r="D110" i="20" l="1"/>
  <c r="A152" i="1"/>
  <c r="A154" i="1" s="1"/>
  <c r="A155" i="1" s="1"/>
  <c r="D37" i="9"/>
  <c r="D53" i="9" s="1"/>
  <c r="D9" i="8"/>
  <c r="I162" i="1"/>
  <c r="G163" i="1"/>
  <c r="I31" i="19"/>
  <c r="I32" i="19" s="1"/>
  <c r="L32" i="19" s="1"/>
  <c r="I30" i="2"/>
  <c r="I31" i="2" s="1"/>
  <c r="L31" i="2" s="1"/>
  <c r="I134" i="1"/>
  <c r="F248" i="17"/>
  <c r="L247" i="17"/>
  <c r="E58" i="20"/>
  <c r="J58" i="20" s="1"/>
  <c r="I90" i="1"/>
  <c r="F63" i="17"/>
  <c r="P62" i="17"/>
  <c r="E56" i="20"/>
  <c r="I88" i="1"/>
  <c r="D96" i="1"/>
  <c r="D106" i="1" s="1"/>
  <c r="D168" i="1" s="1"/>
  <c r="L161" i="17"/>
  <c r="L162" i="17" s="1"/>
  <c r="N164" i="17" s="1"/>
  <c r="E57" i="20"/>
  <c r="J57" i="20" s="1"/>
  <c r="I89" i="1"/>
  <c r="H27" i="3"/>
  <c r="J26" i="3"/>
  <c r="N114" i="17"/>
  <c r="P114" i="17" s="1"/>
  <c r="N106" i="17"/>
  <c r="P106" i="17" s="1"/>
  <c r="N117" i="17"/>
  <c r="N109" i="17"/>
  <c r="P109" i="17" s="1"/>
  <c r="N112" i="17"/>
  <c r="P112" i="17" s="1"/>
  <c r="N115" i="17"/>
  <c r="P115" i="17" s="1"/>
  <c r="N107" i="17"/>
  <c r="P107" i="17" s="1"/>
  <c r="N110" i="17"/>
  <c r="P110" i="17" s="1"/>
  <c r="N111" i="17"/>
  <c r="P111" i="17" s="1"/>
  <c r="N116" i="17"/>
  <c r="P116" i="17" s="1"/>
  <c r="N108" i="17"/>
  <c r="P108" i="17" s="1"/>
  <c r="N113" i="17"/>
  <c r="P113" i="17" s="1"/>
  <c r="Q43" i="14"/>
  <c r="P44" i="14"/>
  <c r="D59" i="20"/>
  <c r="A93" i="1"/>
  <c r="L208" i="17"/>
  <c r="L209" i="17" s="1"/>
  <c r="N211" i="17" s="1"/>
  <c r="P117" i="17"/>
  <c r="N156" i="17" l="1"/>
  <c r="P156" i="17" s="1"/>
  <c r="N159" i="17"/>
  <c r="P159" i="17" s="1"/>
  <c r="N151" i="17"/>
  <c r="P151" i="17" s="1"/>
  <c r="N154" i="17"/>
  <c r="P154" i="17" s="1"/>
  <c r="N157" i="17"/>
  <c r="P157" i="17" s="1"/>
  <c r="N160" i="17"/>
  <c r="P160" i="17" s="1"/>
  <c r="N152" i="17"/>
  <c r="P152" i="17" s="1"/>
  <c r="N161" i="17"/>
  <c r="P161" i="17" s="1"/>
  <c r="N153" i="17"/>
  <c r="P153" i="17" s="1"/>
  <c r="N158" i="17"/>
  <c r="P158" i="17" s="1"/>
  <c r="N150" i="17"/>
  <c r="P150" i="17" s="1"/>
  <c r="N155" i="17"/>
  <c r="P155" i="17" s="1"/>
  <c r="N208" i="17"/>
  <c r="P208" i="17" s="1"/>
  <c r="N200" i="17"/>
  <c r="P200" i="17" s="1"/>
  <c r="N203" i="17"/>
  <c r="P203" i="17" s="1"/>
  <c r="N206" i="17"/>
  <c r="P206" i="17" s="1"/>
  <c r="N198" i="17"/>
  <c r="P198" i="17" s="1"/>
  <c r="N201" i="17"/>
  <c r="P201" i="17" s="1"/>
  <c r="N204" i="17"/>
  <c r="P204" i="17" s="1"/>
  <c r="N205" i="17"/>
  <c r="P205" i="17" s="1"/>
  <c r="N197" i="17"/>
  <c r="P197" i="17" s="1"/>
  <c r="N207" i="17"/>
  <c r="P207" i="17" s="1"/>
  <c r="N199" i="17"/>
  <c r="P199" i="17" s="1"/>
  <c r="N202" i="17"/>
  <c r="P202" i="17" s="1"/>
  <c r="J56" i="20"/>
  <c r="J64" i="20" s="1"/>
  <c r="J74" i="20" s="1"/>
  <c r="J126" i="20" s="1"/>
  <c r="E64" i="20"/>
  <c r="E74" i="20" s="1"/>
  <c r="E126" i="20" s="1"/>
  <c r="E128" i="20" s="1"/>
  <c r="I23" i="19"/>
  <c r="I24" i="19" s="1"/>
  <c r="L24" i="19" s="1"/>
  <c r="L37" i="19" s="1"/>
  <c r="I101" i="1"/>
  <c r="I22" i="2"/>
  <c r="I23" i="2" s="1"/>
  <c r="L23" i="2" s="1"/>
  <c r="L36" i="2" s="1"/>
  <c r="I96" i="1"/>
  <c r="L248" i="17"/>
  <c r="F249" i="17"/>
  <c r="G164" i="1"/>
  <c r="I164" i="1" s="1"/>
  <c r="I163" i="1"/>
  <c r="D61" i="20"/>
  <c r="A94" i="1"/>
  <c r="H28" i="3"/>
  <c r="J28" i="3" s="1"/>
  <c r="J27" i="3"/>
  <c r="D10" i="8"/>
  <c r="D19" i="8"/>
  <c r="D29" i="8" s="1"/>
  <c r="Q44" i="14"/>
  <c r="P45" i="14"/>
  <c r="F64" i="17"/>
  <c r="P63" i="17"/>
  <c r="D114" i="20"/>
  <c r="A156" i="1"/>
  <c r="A157" i="1" s="1"/>
  <c r="A158" i="1" s="1"/>
  <c r="B157" i="1"/>
  <c r="P46" i="14" l="1"/>
  <c r="Q45" i="14"/>
  <c r="F77" i="2"/>
  <c r="G77" i="2" s="1"/>
  <c r="F69" i="2"/>
  <c r="G69" i="2" s="1"/>
  <c r="F82" i="2"/>
  <c r="G82" i="2" s="1"/>
  <c r="F79" i="2"/>
  <c r="G79" i="2" s="1"/>
  <c r="F74" i="2"/>
  <c r="G74" i="2" s="1"/>
  <c r="F66" i="2"/>
  <c r="G66" i="2" s="1"/>
  <c r="F76" i="2"/>
  <c r="G76" i="2" s="1"/>
  <c r="F71" i="2"/>
  <c r="G71" i="2" s="1"/>
  <c r="F84" i="2"/>
  <c r="G84" i="2" s="1"/>
  <c r="F73" i="2"/>
  <c r="G73" i="2" s="1"/>
  <c r="F68" i="2"/>
  <c r="G68" i="2" s="1"/>
  <c r="F81" i="2"/>
  <c r="G81" i="2" s="1"/>
  <c r="F70" i="2"/>
  <c r="G70" i="2" s="1"/>
  <c r="F78" i="2"/>
  <c r="G78" i="2" s="1"/>
  <c r="F67" i="2"/>
  <c r="G67" i="2" s="1"/>
  <c r="F72" i="2"/>
  <c r="G72" i="2" s="1"/>
  <c r="F80" i="2"/>
  <c r="G80" i="2" s="1"/>
  <c r="F83" i="2"/>
  <c r="G83" i="2" s="1"/>
  <c r="F75" i="2"/>
  <c r="G75" i="2" s="1"/>
  <c r="F250" i="17"/>
  <c r="L249" i="17"/>
  <c r="D116" i="20"/>
  <c r="A159" i="1"/>
  <c r="D11" i="8"/>
  <c r="D21" i="8" s="1"/>
  <c r="D31" i="8" s="1"/>
  <c r="D20" i="8"/>
  <c r="D30" i="8" s="1"/>
  <c r="I104" i="1"/>
  <c r="E84" i="19"/>
  <c r="F84" i="19" s="1"/>
  <c r="E80" i="19"/>
  <c r="F80" i="19" s="1"/>
  <c r="E76" i="19"/>
  <c r="F76" i="19" s="1"/>
  <c r="E72" i="19"/>
  <c r="F72" i="19" s="1"/>
  <c r="E68" i="19"/>
  <c r="F68" i="19" s="1"/>
  <c r="E85" i="19"/>
  <c r="F85" i="19" s="1"/>
  <c r="E81" i="19"/>
  <c r="F81" i="19" s="1"/>
  <c r="E77" i="19"/>
  <c r="F77" i="19" s="1"/>
  <c r="E73" i="19"/>
  <c r="F73" i="19" s="1"/>
  <c r="E69" i="19"/>
  <c r="F69" i="19" s="1"/>
  <c r="E83" i="19"/>
  <c r="F83" i="19" s="1"/>
  <c r="E79" i="19"/>
  <c r="F79" i="19" s="1"/>
  <c r="E75" i="19"/>
  <c r="F75" i="19" s="1"/>
  <c r="E71" i="19"/>
  <c r="F71" i="19" s="1"/>
  <c r="E67" i="19"/>
  <c r="F67" i="19" s="1"/>
  <c r="E82" i="19"/>
  <c r="F82" i="19" s="1"/>
  <c r="E70" i="19"/>
  <c r="F70" i="19" s="1"/>
  <c r="E74" i="19"/>
  <c r="F74" i="19" s="1"/>
  <c r="E78" i="19"/>
  <c r="F78" i="19" s="1"/>
  <c r="F65" i="17"/>
  <c r="P64" i="17"/>
  <c r="D62" i="20"/>
  <c r="A95" i="1"/>
  <c r="J128" i="20"/>
  <c r="G170" i="20"/>
  <c r="I106" i="1" l="1"/>
  <c r="D63" i="20"/>
  <c r="A96" i="1"/>
  <c r="A98" i="1" s="1"/>
  <c r="A100" i="1" s="1"/>
  <c r="A101" i="1" s="1"/>
  <c r="A102" i="1" s="1"/>
  <c r="A103" i="1" s="1"/>
  <c r="F66" i="17"/>
  <c r="P65" i="17"/>
  <c r="L250" i="17"/>
  <c r="L251" i="17" s="1"/>
  <c r="N253" i="17" s="1"/>
  <c r="D117" i="20"/>
  <c r="A160" i="1"/>
  <c r="P47" i="14"/>
  <c r="Q46" i="14"/>
  <c r="F67" i="17" l="1"/>
  <c r="P66" i="17"/>
  <c r="D118" i="20"/>
  <c r="A161" i="1"/>
  <c r="A162" i="1" s="1"/>
  <c r="A163" i="1" s="1"/>
  <c r="A164" i="1" s="1"/>
  <c r="A165" i="1" s="1"/>
  <c r="A167" i="1" s="1"/>
  <c r="A168" i="1" s="1"/>
  <c r="A170" i="1" s="1"/>
  <c r="D71" i="20"/>
  <c r="A104" i="1"/>
  <c r="A106" i="1" s="1"/>
  <c r="N245" i="17"/>
  <c r="P245" i="17" s="1"/>
  <c r="N243" i="17"/>
  <c r="P243" i="17" s="1"/>
  <c r="N246" i="17"/>
  <c r="P246" i="17" s="1"/>
  <c r="N249" i="17"/>
  <c r="P249" i="17" s="1"/>
  <c r="N241" i="17"/>
  <c r="P241" i="17" s="1"/>
  <c r="N250" i="17"/>
  <c r="P250" i="17" s="1"/>
  <c r="N242" i="17"/>
  <c r="P242" i="17" s="1"/>
  <c r="N248" i="17"/>
  <c r="P248" i="17" s="1"/>
  <c r="N244" i="17"/>
  <c r="P244" i="17" s="1"/>
  <c r="N247" i="17"/>
  <c r="P247" i="17" s="1"/>
  <c r="N240" i="17"/>
  <c r="P240" i="17" s="1"/>
  <c r="N239" i="17"/>
  <c r="P239" i="17" s="1"/>
  <c r="Q47" i="14"/>
  <c r="P48" i="14"/>
  <c r="K7" i="3"/>
  <c r="I168" i="1"/>
  <c r="D161" i="1"/>
  <c r="I161" i="1" l="1"/>
  <c r="D165" i="1"/>
  <c r="D170" i="1" s="1"/>
  <c r="F68" i="17"/>
  <c r="P68" i="17" s="1"/>
  <c r="P67" i="17"/>
  <c r="K37" i="3"/>
  <c r="K16" i="3"/>
  <c r="Q48" i="14"/>
  <c r="P49" i="14"/>
  <c r="Q49" i="14" s="1"/>
  <c r="I44" i="19"/>
  <c r="I45" i="19" s="1"/>
  <c r="I43" i="2"/>
  <c r="I44" i="2" s="1"/>
  <c r="K33" i="3"/>
  <c r="L44" i="2" l="1"/>
  <c r="L45" i="19"/>
  <c r="E25" i="3"/>
  <c r="I165" i="1"/>
  <c r="J25" i="3" l="1"/>
  <c r="J29" i="3" s="1"/>
  <c r="K29" i="3" s="1"/>
  <c r="K31" i="3" s="1"/>
  <c r="K36" i="3" s="1"/>
  <c r="K38" i="3" s="1"/>
  <c r="E29" i="3"/>
  <c r="I40" i="19"/>
  <c r="I41" i="19" s="1"/>
  <c r="K34" i="3"/>
  <c r="K35" i="3" s="1"/>
  <c r="I39" i="2"/>
  <c r="I40" i="2" s="1"/>
  <c r="I170" i="1"/>
  <c r="I11" i="1" l="1"/>
  <c r="N78" i="2"/>
  <c r="N83" i="2"/>
  <c r="N75" i="2"/>
  <c r="N80" i="2"/>
  <c r="N79" i="2"/>
  <c r="N72" i="2"/>
  <c r="N77" i="2"/>
  <c r="N76" i="2"/>
  <c r="N69" i="2"/>
  <c r="N82" i="2"/>
  <c r="N74" i="2"/>
  <c r="N73" i="2"/>
  <c r="N66" i="2"/>
  <c r="N71" i="2"/>
  <c r="N70" i="2"/>
  <c r="N81" i="2"/>
  <c r="N67" i="2"/>
  <c r="N84" i="2"/>
  <c r="N68" i="2"/>
  <c r="L40" i="2"/>
  <c r="L46" i="2" s="1"/>
  <c r="I46" i="2"/>
  <c r="L41" i="19"/>
  <c r="L47" i="19" s="1"/>
  <c r="I47" i="19"/>
  <c r="I21" i="1" l="1"/>
  <c r="H85" i="19"/>
  <c r="I85" i="19" s="1"/>
  <c r="K85" i="19" s="1"/>
  <c r="M85" i="19" s="1"/>
  <c r="H81" i="19"/>
  <c r="I81" i="19" s="1"/>
  <c r="K81" i="19" s="1"/>
  <c r="M81" i="19" s="1"/>
  <c r="H77" i="19"/>
  <c r="I77" i="19" s="1"/>
  <c r="K77" i="19" s="1"/>
  <c r="M77" i="19" s="1"/>
  <c r="H73" i="19"/>
  <c r="I73" i="19" s="1"/>
  <c r="K73" i="19" s="1"/>
  <c r="M73" i="19" s="1"/>
  <c r="H69" i="19"/>
  <c r="I69" i="19" s="1"/>
  <c r="K69" i="19" s="1"/>
  <c r="M69" i="19" s="1"/>
  <c r="H82" i="19"/>
  <c r="I82" i="19" s="1"/>
  <c r="K82" i="19" s="1"/>
  <c r="M82" i="19" s="1"/>
  <c r="H78" i="19"/>
  <c r="I78" i="19" s="1"/>
  <c r="K78" i="19" s="1"/>
  <c r="M78" i="19" s="1"/>
  <c r="H74" i="19"/>
  <c r="I74" i="19" s="1"/>
  <c r="K74" i="19" s="1"/>
  <c r="M74" i="19" s="1"/>
  <c r="H70" i="19"/>
  <c r="I70" i="19" s="1"/>
  <c r="K70" i="19" s="1"/>
  <c r="M70" i="19" s="1"/>
  <c r="H84" i="19"/>
  <c r="I84" i="19" s="1"/>
  <c r="K84" i="19" s="1"/>
  <c r="M84" i="19" s="1"/>
  <c r="H80" i="19"/>
  <c r="I80" i="19" s="1"/>
  <c r="K80" i="19" s="1"/>
  <c r="M80" i="19" s="1"/>
  <c r="H76" i="19"/>
  <c r="I76" i="19" s="1"/>
  <c r="K76" i="19" s="1"/>
  <c r="M76" i="19" s="1"/>
  <c r="H72" i="19"/>
  <c r="I72" i="19" s="1"/>
  <c r="K72" i="19" s="1"/>
  <c r="M72" i="19" s="1"/>
  <c r="H68" i="19"/>
  <c r="I68" i="19" s="1"/>
  <c r="K68" i="19" s="1"/>
  <c r="M68" i="19" s="1"/>
  <c r="H71" i="19"/>
  <c r="I71" i="19" s="1"/>
  <c r="K71" i="19" s="1"/>
  <c r="M71" i="19" s="1"/>
  <c r="H75" i="19"/>
  <c r="I75" i="19" s="1"/>
  <c r="K75" i="19" s="1"/>
  <c r="M75" i="19" s="1"/>
  <c r="H79" i="19"/>
  <c r="I79" i="19" s="1"/>
  <c r="K79" i="19" s="1"/>
  <c r="M79" i="19" s="1"/>
  <c r="H67" i="19"/>
  <c r="I67" i="19" s="1"/>
  <c r="K67" i="19" s="1"/>
  <c r="M67" i="19" s="1"/>
  <c r="H83" i="19"/>
  <c r="I83" i="19" s="1"/>
  <c r="K83" i="19" s="1"/>
  <c r="M83" i="19" s="1"/>
  <c r="I73" i="2"/>
  <c r="J73" i="2" s="1"/>
  <c r="L73" i="2" s="1"/>
  <c r="I71" i="2"/>
  <c r="J71" i="2" s="1"/>
  <c r="L71" i="2" s="1"/>
  <c r="I84" i="2"/>
  <c r="J84" i="2" s="1"/>
  <c r="L84" i="2" s="1"/>
  <c r="I70" i="2"/>
  <c r="J70" i="2" s="1"/>
  <c r="L70" i="2" s="1"/>
  <c r="I68" i="2"/>
  <c r="J68" i="2" s="1"/>
  <c r="L68" i="2" s="1"/>
  <c r="I81" i="2"/>
  <c r="J81" i="2" s="1"/>
  <c r="L81" i="2" s="1"/>
  <c r="I67" i="2"/>
  <c r="J67" i="2" s="1"/>
  <c r="L67" i="2" s="1"/>
  <c r="I78" i="2"/>
  <c r="J78" i="2" s="1"/>
  <c r="L78" i="2" s="1"/>
  <c r="I83" i="2"/>
  <c r="J83" i="2" s="1"/>
  <c r="L83" i="2" s="1"/>
  <c r="I75" i="2"/>
  <c r="J75" i="2" s="1"/>
  <c r="L75" i="2" s="1"/>
  <c r="I80" i="2"/>
  <c r="J80" i="2" s="1"/>
  <c r="L80" i="2" s="1"/>
  <c r="I72" i="2"/>
  <c r="J72" i="2" s="1"/>
  <c r="L72" i="2" s="1"/>
  <c r="I79" i="2"/>
  <c r="J79" i="2" s="1"/>
  <c r="L79" i="2" s="1"/>
  <c r="I66" i="2"/>
  <c r="J66" i="2" s="1"/>
  <c r="L66" i="2" s="1"/>
  <c r="I69" i="2"/>
  <c r="J69" i="2" s="1"/>
  <c r="L69" i="2" s="1"/>
  <c r="I82" i="2"/>
  <c r="J82" i="2" s="1"/>
  <c r="L82" i="2" s="1"/>
  <c r="I76" i="2"/>
  <c r="J76" i="2" s="1"/>
  <c r="L76" i="2" s="1"/>
  <c r="I74" i="2"/>
  <c r="J74" i="2" s="1"/>
  <c r="L74" i="2" s="1"/>
  <c r="I77" i="2"/>
  <c r="J77" i="2" s="1"/>
  <c r="L77" i="2" s="1"/>
  <c r="M87" i="19" l="1"/>
  <c r="S74" i="2"/>
  <c r="Q74" i="2"/>
  <c r="O74" i="2"/>
  <c r="O83" i="2"/>
  <c r="S83" i="2"/>
  <c r="Q83" i="2"/>
  <c r="S82" i="2"/>
  <c r="Q82" i="2"/>
  <c r="O82" i="2"/>
  <c r="S78" i="2"/>
  <c r="O78" i="2"/>
  <c r="Q78" i="2"/>
  <c r="S81" i="2"/>
  <c r="Q81" i="2"/>
  <c r="O81" i="2"/>
  <c r="Q68" i="2"/>
  <c r="S68" i="2" s="1"/>
  <c r="O68" i="2"/>
  <c r="Q66" i="2"/>
  <c r="S66" i="2" s="1"/>
  <c r="O66" i="2"/>
  <c r="Q79" i="2"/>
  <c r="O79" i="2"/>
  <c r="S79" i="2"/>
  <c r="Q72" i="2"/>
  <c r="O72" i="2"/>
  <c r="S72" i="2"/>
  <c r="Q70" i="2"/>
  <c r="O70" i="2"/>
  <c r="S77" i="2"/>
  <c r="Q77" i="2"/>
  <c r="O77" i="2"/>
  <c r="Q80" i="2"/>
  <c r="O80" i="2"/>
  <c r="S80" i="2"/>
  <c r="S84" i="2"/>
  <c r="Q84" i="2"/>
  <c r="O84" i="2"/>
  <c r="Q67" i="2"/>
  <c r="O67" i="2"/>
  <c r="O75" i="2"/>
  <c r="S75" i="2"/>
  <c r="Q75" i="2"/>
  <c r="S71" i="2"/>
  <c r="Q71" i="2"/>
  <c r="O71" i="2"/>
  <c r="I25" i="1"/>
  <c r="Q69" i="2"/>
  <c r="S69" i="2" s="1"/>
  <c r="O69" i="2"/>
  <c r="Q76" i="2"/>
  <c r="O76" i="2"/>
  <c r="S76" i="2"/>
  <c r="S73" i="2"/>
  <c r="Q73" i="2"/>
  <c r="O73" i="2"/>
  <c r="S70" i="2" l="1"/>
  <c r="S67" i="2"/>
  <c r="S86" i="2" l="1"/>
</calcChain>
</file>

<file path=xl/sharedStrings.xml><?xml version="1.0" encoding="utf-8"?>
<sst xmlns="http://schemas.openxmlformats.org/spreadsheetml/2006/main" count="2987" uniqueCount="1210">
  <si>
    <t>page 1 of 5</t>
  </si>
  <si>
    <t>Attachment H</t>
  </si>
  <si>
    <t xml:space="preserve">Formula Rate - Non-Levelized </t>
  </si>
  <si>
    <t>Rate Formula Template</t>
  </si>
  <si>
    <t>Utilizing FERC Form 1 Data</t>
  </si>
  <si>
    <t>GridLiance High Plains LLC</t>
  </si>
  <si>
    <t>(1)</t>
  </si>
  <si>
    <t>(2)</t>
  </si>
  <si>
    <t>(3)</t>
  </si>
  <si>
    <t xml:space="preserve"> </t>
  </si>
  <si>
    <t>(4)</t>
  </si>
  <si>
    <t>(5)</t>
  </si>
  <si>
    <t>Line</t>
  </si>
  <si>
    <t>Allocated</t>
  </si>
  <si>
    <t>No.</t>
  </si>
  <si>
    <t>Amount</t>
  </si>
  <si>
    <t>GROSS REVENUE REQUIREMENT</t>
  </si>
  <si>
    <t>(page 3, line 47)</t>
  </si>
  <si>
    <t xml:space="preserve">REVENUE CREDITS </t>
  </si>
  <si>
    <t>(Note O)</t>
  </si>
  <si>
    <t>Total</t>
  </si>
  <si>
    <t>Allocator</t>
  </si>
  <si>
    <t xml:space="preserve">  Account No. 454</t>
  </si>
  <si>
    <t>TP</t>
  </si>
  <si>
    <t xml:space="preserve">  Account No. 456.1</t>
  </si>
  <si>
    <t xml:space="preserve">  Account No. 457.1 Scheduling</t>
  </si>
  <si>
    <t>Attachment 5, line 36, col e</t>
  </si>
  <si>
    <t xml:space="preserve">  Revenues from Grandfathered Interzonal Transactions </t>
  </si>
  <si>
    <t>(Note N)</t>
  </si>
  <si>
    <t xml:space="preserve">  Revenues from service provided by the ISO at a discount</t>
  </si>
  <si>
    <t xml:space="preserve">TOTAL REVENUE CREDITS </t>
  </si>
  <si>
    <t>(Sum of Lines 2 through 6)</t>
  </si>
  <si>
    <t>NET REVENUE REQUIREMENT</t>
  </si>
  <si>
    <t>(line 1 minus line 7)</t>
  </si>
  <si>
    <t>True-up Adjustment with Interest</t>
  </si>
  <si>
    <t>Attachment 3, Col. J</t>
  </si>
  <si>
    <t>DA</t>
  </si>
  <si>
    <t>(line 8 plus line 9)</t>
  </si>
  <si>
    <t>page 2 of 5</t>
  </si>
  <si>
    <t>Transmission</t>
  </si>
  <si>
    <t>Source</t>
  </si>
  <si>
    <t>Company Total</t>
  </si>
  <si>
    <t xml:space="preserve">                  Allocator</t>
  </si>
  <si>
    <t>(Col 3 times Col 4)</t>
  </si>
  <si>
    <t xml:space="preserve">RATE BASE: </t>
  </si>
  <si>
    <t>GROSS PLANT IN SERVICE   (Notes U and R)</t>
  </si>
  <si>
    <t xml:space="preserve">  Production </t>
  </si>
  <si>
    <t>205.46.g for end of year, records for other months</t>
  </si>
  <si>
    <t>NA</t>
  </si>
  <si>
    <t xml:space="preserve">  Transmission</t>
  </si>
  <si>
    <t>Attachment 4, Line 14, Col. (b)</t>
  </si>
  <si>
    <t xml:space="preserve">  Distribution </t>
  </si>
  <si>
    <t>207.75.g for end of year, records for other months</t>
  </si>
  <si>
    <t xml:space="preserve">  General &amp; Intangible</t>
  </si>
  <si>
    <t>Attachment 4, Line 14, Col. (c)</t>
  </si>
  <si>
    <t>W/S</t>
  </si>
  <si>
    <t xml:space="preserve">  Common </t>
  </si>
  <si>
    <t>356.1 for end of year, records for other months</t>
  </si>
  <si>
    <t>CE</t>
  </si>
  <si>
    <t>TOTAL GROSS PLANT</t>
  </si>
  <si>
    <t>(Sum of Lines 1 through 5)</t>
  </si>
  <si>
    <t>GP=</t>
  </si>
  <si>
    <t>ACCUMULATED DEPRECIATION  (Notes U and R)</t>
  </si>
  <si>
    <t>219.20-24.c for end of year, records for other months</t>
  </si>
  <si>
    <t>Attachment 4, Line 14, Col. (h)</t>
  </si>
  <si>
    <t>219.26.c for end of year, records for other months</t>
  </si>
  <si>
    <t>Attachment 4, Line 14, Col. (i)</t>
  </si>
  <si>
    <t xml:space="preserve">TOTAL ACCUM. DEPRECIATION </t>
  </si>
  <si>
    <t>(Sum of Lines 8 through 12)</t>
  </si>
  <si>
    <t>NET PLANT IN SERVICE</t>
  </si>
  <si>
    <t>(Line 2 minus Line 9)</t>
  </si>
  <si>
    <t>(Line 4 minus Line 11)</t>
  </si>
  <si>
    <t>TOTAL NET PLANT</t>
  </si>
  <si>
    <t>(Sum of Lines 15 through 19)</t>
  </si>
  <si>
    <t>NP=</t>
  </si>
  <si>
    <t>ADJUSTMENTS TO RATE BASE  (Note R)</t>
  </si>
  <si>
    <t xml:space="preserve">  Account No. 281 (enter negative)</t>
  </si>
  <si>
    <t>Attachment 4, Line 28, Col. (d) (Notes B and X)</t>
  </si>
  <si>
    <t>zero</t>
  </si>
  <si>
    <t xml:space="preserve">  Account No. 282 (enter negative)</t>
  </si>
  <si>
    <t>Attachment 4, Line 28, Col. (e) (Notes B and X)</t>
  </si>
  <si>
    <t xml:space="preserve">  Account No. 283 (enter negative)</t>
  </si>
  <si>
    <t>Attachment 4, Line 28, Col. (f) (Notes B and X)</t>
  </si>
  <si>
    <t xml:space="preserve">  Account No. 190 </t>
  </si>
  <si>
    <t>Attachment 4, Line 28, Col. (g) (Notes B and X)</t>
  </si>
  <si>
    <t xml:space="preserve">  Account No. 255 (enter negative)</t>
  </si>
  <si>
    <t>Attachment 4, Line 28, Col. (h) (Notes B and X)</t>
  </si>
  <si>
    <t>NP</t>
  </si>
  <si>
    <t>26a</t>
  </si>
  <si>
    <t xml:space="preserve">  Unfunded Reserves (enter negative)</t>
  </si>
  <si>
    <t>Attachment 4, Line 31, Col. (h)</t>
  </si>
  <si>
    <t xml:space="preserve">  CWIP</t>
  </si>
  <si>
    <t>Attachment 4, Line 14, Col. (d)</t>
  </si>
  <si>
    <t xml:space="preserve">  Unamortized Regulatory Asset </t>
  </si>
  <si>
    <t>Attachment 4, Line 28, Col. (b) (Note T)</t>
  </si>
  <si>
    <t xml:space="preserve">  Unamortized Abandoned Plant  </t>
  </si>
  <si>
    <t>Attachment 4, Line 28, Col. (c) (Note S)</t>
  </si>
  <si>
    <t xml:space="preserve">TOTAL ADJUSTMENTS </t>
  </si>
  <si>
    <t>(Sum of Lines 22 through 29)</t>
  </si>
  <si>
    <t xml:space="preserve">LAND HELD FOR FUTURE USE  </t>
  </si>
  <si>
    <t>Attachment 4, Line 14, Col. (e) (Note C)</t>
  </si>
  <si>
    <t xml:space="preserve">WORKING CAPITAL </t>
  </si>
  <si>
    <t>(Note D)</t>
  </si>
  <si>
    <t xml:space="preserve">  CWC </t>
  </si>
  <si>
    <t>1/8*(Page 3, Col 3, Line 14 minus Page 3, Col 3, Line 11)</t>
  </si>
  <si>
    <t xml:space="preserve">  Materials &amp; Supplies</t>
  </si>
  <si>
    <t>Attachment 4, Line 14, Col. (f) (Note C)</t>
  </si>
  <si>
    <t xml:space="preserve">  Prepayments (Account 165)</t>
  </si>
  <si>
    <t>Attachment 4, Line 14, Col. (g)</t>
  </si>
  <si>
    <t>GP</t>
  </si>
  <si>
    <t xml:space="preserve">TOTAL WORKING CAPITAL  </t>
  </si>
  <si>
    <t>(Sum of Lines 33 through 35)</t>
  </si>
  <si>
    <t xml:space="preserve">RATE BASE </t>
  </si>
  <si>
    <t>(Sum of Lines 20, 30, 31 &amp; 36)</t>
  </si>
  <si>
    <t>page 3 of 5</t>
  </si>
  <si>
    <t>O&amp;M</t>
  </si>
  <si>
    <t xml:space="preserve">  Transmission </t>
  </si>
  <si>
    <t>321.112.b Attach. 5, Line 13, Col. (a)</t>
  </si>
  <si>
    <t xml:space="preserve">     Less Account 566 (Misc Trans Expense)</t>
  </si>
  <si>
    <t xml:space="preserve">321.97.b Attach. 5, Line 13, Col. (b) </t>
  </si>
  <si>
    <t xml:space="preserve">     Less Account 565</t>
  </si>
  <si>
    <t>321.96.b Attach. 5, Line 13, Col. (c)</t>
  </si>
  <si>
    <t xml:space="preserve">  A&amp;G</t>
  </si>
  <si>
    <t>323.197.b Attach. 5, Line 13, Col. (d)</t>
  </si>
  <si>
    <t xml:space="preserve">     Less FERC Annual Fees</t>
  </si>
  <si>
    <t>Attach. 5, Line 13, Col. (e)</t>
  </si>
  <si>
    <t xml:space="preserve">     Less EPRI &amp; Reg. Comm. Exp. &amp; Non-safety Ad.  </t>
  </si>
  <si>
    <t>(Note E) Attach. 5, Line 13, Col. (f)</t>
  </si>
  <si>
    <t>6a</t>
  </si>
  <si>
    <t xml:space="preserve">     Less PBOP Expense in Year</t>
  </si>
  <si>
    <t>Attachment 7, Line 8, Col. (g)</t>
  </si>
  <si>
    <t xml:space="preserve">     Plus Transmission Related Reg. Comm. Exp.  </t>
  </si>
  <si>
    <t>(Note E) Attach. 5, Line 13, Col. (g)</t>
  </si>
  <si>
    <t>7a</t>
  </si>
  <si>
    <t xml:space="preserve">     Plus PBOP Expense Allowed Amount</t>
  </si>
  <si>
    <t>Attachment 7, Line 6, Col. (g)</t>
  </si>
  <si>
    <t>356.1</t>
  </si>
  <si>
    <t xml:space="preserve">  Transmission Lease Payments</t>
  </si>
  <si>
    <t>Attach. 5, Line 13, Col (h)</t>
  </si>
  <si>
    <t>Account 566</t>
  </si>
  <si>
    <t xml:space="preserve">   Amortization of Regulatory Asset</t>
  </si>
  <si>
    <t>(Note T) Attach. 5, Line 13, Col. (i)</t>
  </si>
  <si>
    <t xml:space="preserve">   Miscellaneous Transmission Expense (less amortization of regulatory asset)</t>
  </si>
  <si>
    <t>Attach. 5, Line 13, Col .(j)</t>
  </si>
  <si>
    <t>Total Account 566</t>
  </si>
  <si>
    <t>(Line 11 plus Line 12) Ties to 321.97.b</t>
  </si>
  <si>
    <t>TOTAL O&amp;M</t>
  </si>
  <si>
    <t>(Sum of Lines 1, 4, 7, 7a, 8, 9, 13 less Lines 2, 3, 5, 6, 6a)</t>
  </si>
  <si>
    <t>DEPRECIATION EXPENSE  (Note U)</t>
  </si>
  <si>
    <t>336.7.b, d &amp;e Attach. 5, Line 13, Col. (k)</t>
  </si>
  <si>
    <t>336.10.b, d &amp;e, 336.1.b, d &amp;e Attach. 5, Line 26, Col. (a)</t>
  </si>
  <si>
    <t>336.11.b, d &amp;e</t>
  </si>
  <si>
    <t xml:space="preserve">  Amortization of Abandoned Plant</t>
  </si>
  <si>
    <t>(Note S) Attach. 5, Line 26, Col. (b)</t>
  </si>
  <si>
    <t xml:space="preserve">TOTAL DEPRECIATION </t>
  </si>
  <si>
    <t>(Sum of Lines 16 through 19)</t>
  </si>
  <si>
    <t xml:space="preserve">TAXES OTHER THAN INCOME TAXES </t>
  </si>
  <si>
    <t>(Note F)</t>
  </si>
  <si>
    <t xml:space="preserve">  LABOR RELATED</t>
  </si>
  <si>
    <t xml:space="preserve">          Payroll</t>
  </si>
  <si>
    <t>263.i Attach. 5, Line 26, Col. (c)</t>
  </si>
  <si>
    <t xml:space="preserve">          Highway and vehicle</t>
  </si>
  <si>
    <t>263.i Attach. 5, Line 26, Col. (d)</t>
  </si>
  <si>
    <t xml:space="preserve">  PLANT RELATED</t>
  </si>
  <si>
    <t xml:space="preserve">         Property</t>
  </si>
  <si>
    <t>263.i Attach. 5, Line 26, Co.l (e)</t>
  </si>
  <si>
    <t xml:space="preserve">         Gross Receipts</t>
  </si>
  <si>
    <t>263.i Attach. 5, Line 26, Col. (f)</t>
  </si>
  <si>
    <t xml:space="preserve">         Other</t>
  </si>
  <si>
    <t>263.i Attach. 5, Line 26, Col. (g)</t>
  </si>
  <si>
    <t xml:space="preserve">         Payments in lieu of taxes</t>
  </si>
  <si>
    <t>263.i Attach. 5, Line 26, Col. (h)</t>
  </si>
  <si>
    <t>TOTAL OTHER TAXES</t>
  </si>
  <si>
    <t>(Sum of Lines 23 through 29)</t>
  </si>
  <si>
    <t xml:space="preserve">INCOME TAXES          </t>
  </si>
  <si>
    <t xml:space="preserve">     T=SIT * (1-FIT) + FIT - (p*FIT)</t>
  </si>
  <si>
    <t>(Note G)</t>
  </si>
  <si>
    <t>Amortized Investment Tax Credit</t>
  </si>
  <si>
    <t>266.8f (enter negative) Attach. 5, Line 26, Col. (i)</t>
  </si>
  <si>
    <t xml:space="preserve">(Excess)/Deficient Deferred Income Taxes </t>
  </si>
  <si>
    <t>Attach. 5, Line 26, Col. (j)</t>
  </si>
  <si>
    <t>Tax Effect of Permanent Differences</t>
  </si>
  <si>
    <t>Attach. 5, Line 26, Col. (k) (Note W)</t>
  </si>
  <si>
    <t xml:space="preserve">Income Tax Calculation </t>
  </si>
  <si>
    <t>(Line 32/(1-Line32) times (Page 4 Lines 32 + 33)) times Page 2 Line 37)</t>
  </si>
  <si>
    <t xml:space="preserve">ITC adjustment </t>
  </si>
  <si>
    <t>(Line 36 times Line 37)</t>
  </si>
  <si>
    <t xml:space="preserve">(Excess)/Deficient Deferred Income Tax Adjustment </t>
  </si>
  <si>
    <t>(Line 36 times Line 38)</t>
  </si>
  <si>
    <t>Permanent Differences Tax Adjustment</t>
  </si>
  <si>
    <t>(Line 36 times Line 39)</t>
  </si>
  <si>
    <t xml:space="preserve">Total Income Taxes </t>
  </si>
  <si>
    <t>(Sum of Lines 40 through 43)</t>
  </si>
  <si>
    <t xml:space="preserve">RETURN </t>
  </si>
  <si>
    <t>Rate Base times Return</t>
  </si>
  <si>
    <t>(Page 2, Line 37 times Page 4, Line 23)</t>
  </si>
  <si>
    <t>REV. REQUIREMENT</t>
  </si>
  <si>
    <t>(Sum of Lines 14, 20, 30, 42 &amp; 44)</t>
  </si>
  <si>
    <t>page 4 of 5</t>
  </si>
  <si>
    <t xml:space="preserve">                SUPPORTING CALCULATIONS AND NOTES</t>
  </si>
  <si>
    <t>TRANSMISSION PLANT INCLUDED IN ISO RATES</t>
  </si>
  <si>
    <t xml:space="preserve">Total Transmission plant  </t>
  </si>
  <si>
    <t>(Page 2, Line 2, Column 3)</t>
  </si>
  <si>
    <t xml:space="preserve">Less Transmission plant excluded from ISO rates  </t>
  </si>
  <si>
    <t>(Note H)</t>
  </si>
  <si>
    <t xml:space="preserve">Less Transmission plant included in OATT Ancillary Services  </t>
  </si>
  <si>
    <t>(Note I)</t>
  </si>
  <si>
    <t>Transmission plant included in ISO rates</t>
  </si>
  <si>
    <t>(Line 1 minus Lines 2 &amp; 3)</t>
  </si>
  <si>
    <t xml:space="preserve">Percentage of Transmission plant included in ISO Rates  </t>
  </si>
  <si>
    <t>(Line 4 divided by Line 1)</t>
  </si>
  <si>
    <t>TP=</t>
  </si>
  <si>
    <t>WAGES &amp; SALARY ALLOCATOR  (W&amp;S)</t>
  </si>
  <si>
    <t>Form 1 Reference</t>
  </si>
  <si>
    <t>$</t>
  </si>
  <si>
    <t>Allocation</t>
  </si>
  <si>
    <t>354.20.b</t>
  </si>
  <si>
    <t>354.21.b</t>
  </si>
  <si>
    <t>354.23.b</t>
  </si>
  <si>
    <t>W&amp;S Allocator</t>
  </si>
  <si>
    <t xml:space="preserve">  Other</t>
  </si>
  <si>
    <t>354.24,25,26.b</t>
  </si>
  <si>
    <t>($ / Allocation)</t>
  </si>
  <si>
    <t xml:space="preserve"> Total  (W&amp; S Allocator is 1 if lines 7-10 are zero)</t>
  </si>
  <si>
    <t>(Sum of Lines 7 through 10)</t>
  </si>
  <si>
    <t>=</t>
  </si>
  <si>
    <t>WS</t>
  </si>
  <si>
    <t xml:space="preserve">COMMON PLANT ALLOCATOR  (CE)  (Note J and X) </t>
  </si>
  <si>
    <t>% Electric</t>
  </si>
  <si>
    <t xml:space="preserve">  Electric </t>
  </si>
  <si>
    <t>200.3.c</t>
  </si>
  <si>
    <t>(line 13 / line 16)</t>
  </si>
  <si>
    <t>(line 11)</t>
  </si>
  <si>
    <t xml:space="preserve">  Gas</t>
  </si>
  <si>
    <t>201.3.d</t>
  </si>
  <si>
    <t>*</t>
  </si>
  <si>
    <t>201.3.e, f, and g</t>
  </si>
  <si>
    <t xml:space="preserve">  Total</t>
  </si>
  <si>
    <t>(Sum of Lines 13 through 15)</t>
  </si>
  <si>
    <t>RETURN (R)</t>
  </si>
  <si>
    <t>(Note V)</t>
  </si>
  <si>
    <t>Cost</t>
  </si>
  <si>
    <t>%</t>
  </si>
  <si>
    <t>Weighted</t>
  </si>
  <si>
    <t xml:space="preserve">  Long Term Debt </t>
  </si>
  <si>
    <t>(Notes Q &amp; R)</t>
  </si>
  <si>
    <t>=WCLTD</t>
  </si>
  <si>
    <t xml:space="preserve">  Preferred Stock  (112.3.c)</t>
  </si>
  <si>
    <t xml:space="preserve">  Common Stock</t>
  </si>
  <si>
    <t>(Notes K, Q &amp; R)</t>
  </si>
  <si>
    <t xml:space="preserve">Total </t>
  </si>
  <si>
    <t>(Sum of Lines 20 through 22)</t>
  </si>
  <si>
    <t>=R</t>
  </si>
  <si>
    <t>REVENUE CREDITS</t>
  </si>
  <si>
    <t>ACCOUNT 447 (SALES FOR RESALE) (Note L)</t>
  </si>
  <si>
    <r>
      <t>310 -</t>
    </r>
    <r>
      <rPr>
        <sz val="10"/>
        <rFont val="Times New Roman"/>
        <family val="1"/>
      </rPr>
      <t>311</t>
    </r>
  </si>
  <si>
    <t xml:space="preserve">a. Bundled Non-RQ Sales for Resale </t>
  </si>
  <si>
    <t>311.x.h</t>
  </si>
  <si>
    <t xml:space="preserve">b. Bundled Sales for Resale </t>
  </si>
  <si>
    <t xml:space="preserve">Attach 5, line 36, col (a) </t>
  </si>
  <si>
    <t xml:space="preserve">  Total of (a)-(b)</t>
  </si>
  <si>
    <t xml:space="preserve">ACCOUNT 454 (RENT FROM ELECTRIC PROPERTY) </t>
  </si>
  <si>
    <t xml:space="preserve">(Note M) Attach 5, line 36, col (b) </t>
  </si>
  <si>
    <t>ACCOUNT 456.1 (OTHER ELECTRIC REVENUES)</t>
  </si>
  <si>
    <t xml:space="preserve">330.x.n </t>
  </si>
  <si>
    <t xml:space="preserve">a. Transmission charges for all transmission transactions </t>
  </si>
  <si>
    <t xml:space="preserve">Attach 5, line 36, col (c) </t>
  </si>
  <si>
    <t>b. Transmission charges associated with Project detailed on the Project Rev Req Schedule Col. 10.</t>
  </si>
  <si>
    <t xml:space="preserve">Attach 5, line 36, col (d) </t>
  </si>
  <si>
    <t>page 5 of 5</t>
  </si>
  <si>
    <t>General Note:  References to pages in this formulary rate are indicated as:  (page#, line#, col.#)</t>
  </si>
  <si>
    <t>References to data from FERC Form 1 are indicated as:  #.y.x  (page, line, column)</t>
  </si>
  <si>
    <t>Note</t>
  </si>
  <si>
    <t>Letter</t>
  </si>
  <si>
    <t xml:space="preserve">A </t>
  </si>
  <si>
    <t>Reserved</t>
  </si>
  <si>
    <t xml:space="preserve">B </t>
  </si>
  <si>
    <t>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Account 281 is not allocated.  The calculations of ADIT in the annual true-up calculation will use the 13 month average balances for non-plant related items and the prorated end-of-year balances for plant related items. The calculation of ADIT in the annual projection and Annual True-Up calculations will be performed in accordance with IRS regulation Section 1.167(l)-1(h)(6). Work papers supporting the ADIT calculations will be posted with each Annual True-Up and/or projected net revenue requirement and included in the annual Informational Filing submitted to the Commission. Beginning with the 2019 rate year, the Annual True-Up for a given year will use the same methodology that was used to project that year’s rates. The proration of the Annual True-Up shall apply beginning with the 2019 Annual True-Up.</t>
  </si>
  <si>
    <t>C</t>
  </si>
  <si>
    <t>Identified in Form 1 as being only transmission related.</t>
  </si>
  <si>
    <t>D</t>
  </si>
  <si>
    <t>Cash Working Capital assigned to transmission is one-eighth of O&amp;M allocated to transmission at page 3, line 14, column 5 minus amortization of Regulatory Asset at page 3, line 11, column 5.  Prepayments are the electric related prepayments booked to Account No. 165 and reported on pages 111, line 57 in the Form 1.</t>
  </si>
  <si>
    <t>E</t>
  </si>
  <si>
    <t xml:space="preserve">Page 3, Line 6 - EPRI Annual Membership Dues listed in Form 1 at 353.f, all Regulatory Commission Expenses itemized at 351.h, and non-safety related advertising included in Account 930.1 found at 323.191.b.  Page 3, Line 7-Regulatory Commission Expenses directly related to transmission service, ISO filings, or transmission siting itemized at 351.h. </t>
  </si>
  <si>
    <t>F</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</si>
  <si>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</si>
  <si>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G</t>
  </si>
  <si>
    <t>The currently effective income tax rate, where FIT is the weighted average Federal income tax rate; SIT is the weighted average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(T/1-T).</t>
  </si>
  <si>
    <t xml:space="preserve">         Inputs Required:</t>
  </si>
  <si>
    <t>FIT =</t>
  </si>
  <si>
    <t>See Attachment 13</t>
  </si>
  <si>
    <t>(Weighted Average Federal Income Tax Rate)</t>
  </si>
  <si>
    <t>SIT=</t>
  </si>
  <si>
    <t>(Weighted Average State Income Tax Rate or Composite SIT)</t>
  </si>
  <si>
    <t>p =</t>
  </si>
  <si>
    <t>(Weighted Average Reduction in State Income Tax Rate from Deductibility of Federal Income Taxes)</t>
  </si>
  <si>
    <t>H</t>
  </si>
  <si>
    <t>Removes transmission plant determined by Commission order to be state-jurisdictional according to the seven-factor test (until Form 1 balances are adjusted to reflect application of seven-factor test).</t>
  </si>
  <si>
    <t>I</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</si>
  <si>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</si>
  <si>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J</t>
  </si>
  <si>
    <t>Enter dollar amounts</t>
  </si>
  <si>
    <t>K</t>
  </si>
  <si>
    <t>ROE will be supported in the original filing and no change in ROE may be made absent a filing with FERC.</t>
  </si>
  <si>
    <t xml:space="preserve">L </t>
  </si>
  <si>
    <t>Page 4, Line 28 must equal zero since all short-term power sales must be unbundled and the transmission component reflected in Account No. 456.1.</t>
  </si>
  <si>
    <t>M</t>
  </si>
  <si>
    <t>Includes income related only to transmission facilities, such as pole attachments, rentals and special use.</t>
  </si>
  <si>
    <t xml:space="preserve">N </t>
  </si>
  <si>
    <t xml:space="preserve">Company will not have any grandfathered agreements.  Therefore, this line shall remain zero. </t>
  </si>
  <si>
    <t>O</t>
  </si>
  <si>
    <r>
      <t>The revenues credited on page 1 lines 2-6 shall include only the amounts received directly (in the case of grandfathered agreements) or from the ISO (for service under this tariff) reflecting the Transmission Owner's integrated transmission facilities.  Revenue Credits do not include revenues associated with FERC annual charges, gross receipts taxes,</t>
    </r>
    <r>
      <rPr>
        <strike/>
        <sz val="10"/>
        <rFont val="Times New Roman"/>
        <family val="1"/>
      </rPr>
      <t xml:space="preserve"> </t>
    </r>
    <r>
      <rPr>
        <sz val="10"/>
        <rFont val="Times New Roman"/>
        <family val="1"/>
      </rPr>
      <t>facilities not included in this template (e.g., direct assignment facilities and GSUs) the costs of which are not recovered under this Rate Formula Template.</t>
    </r>
  </si>
  <si>
    <t>P</t>
  </si>
  <si>
    <t>Q</t>
  </si>
  <si>
    <t>Prior to obtaining long term debt, the cost of debt, will be 1.99%.  If GridLiance High Plains obtains project financing, the long term debt rate will be determined using the methodology in Attachment 8 and Attachment 8 contains a hypothetical example of the internal rate of return methodology; the methodology will be applied to actual amounts for use in Attachment H.  Once there is $100 million in rate base, GridLiance High Plains will use the its actual cost of long term debt determined in Attachment 5.    The capital structure will be 60% equity and 40% debt during the construction period, after any asset is placed in service, it will be based on the actual capital structure, but capped at 60% equity.</t>
  </si>
  <si>
    <t>R</t>
  </si>
  <si>
    <t>Calculate using 13 month average balance, except ADIT which is calculated based on the prorated end of year balances as required by Section 1.167(l)-1(h)(6) of the IRS regulations for purposes of rate projections. An annual true-up is calculated based on an average of the actual beginning of the year and end of the year balances for non-plant related ADIT and prorated end of year balances for plant related ADIT.</t>
  </si>
  <si>
    <t>S</t>
  </si>
  <si>
    <t>Unamortized Abandoned Plant and Amortization of Abandoned Plant will be zero until the Commission accepts or approves recovery of the cost of abandoned plant.  Utility must receive FERC authorization before recovering the cost of abandoned plant.</t>
  </si>
  <si>
    <t>T</t>
  </si>
  <si>
    <t xml:space="preserve">Recovery of Regulatory Assets is permitted only for pre-commercial and formation expenses as authorized by the Commission.  Recovery of any other regulatory assets requires authorization from the Commission. A carrying charge equal to the AFUDC rate will be applied to the Regulatory Asset prior to the rate year when costs are first recovered. </t>
  </si>
  <si>
    <t>U</t>
  </si>
  <si>
    <t>Excludes Asset Retirement Obligation balances</t>
  </si>
  <si>
    <t>V</t>
  </si>
  <si>
    <t>Company shall be allowed recovery of costs related to interest rate locks.  Absent a Section 205 filing, Company shall not include in the Formula Rate, the gains, losses, or costs related to other hedges.</t>
  </si>
  <si>
    <t>W</t>
  </si>
  <si>
    <t>The Tax Effect of Permanent Differences captures the differences in the income taxes due under the Federal and State calculations and the income taxes calculated in Attachment H that are not the result of a timing difference</t>
  </si>
  <si>
    <t>X</t>
  </si>
  <si>
    <t>Calculate using a simple average of beginning of year and end of year balances reconciling to FERC Form No. 1 by Page, Line and Column as shown in Column 2.</t>
  </si>
  <si>
    <t>Attachment 1</t>
  </si>
  <si>
    <t>Page 1 of 2</t>
  </si>
  <si>
    <t>Project Revenue Requirement Worksheet</t>
  </si>
  <si>
    <t>To be completed in conjunction with Attachment H.</t>
  </si>
  <si>
    <t>Page, Line, Col.</t>
  </si>
  <si>
    <t>Gross Transmission Plant - Total</t>
  </si>
  <si>
    <t>Attach H, p 2, line 2 col 5 plus line 27 col 5 (Note A)</t>
  </si>
  <si>
    <t>Net Transmission Plant - Total</t>
  </si>
  <si>
    <t>Attach H, p 2, line 16 col 5 plus line 27 &amp; 29 col 5 (Note B)</t>
  </si>
  <si>
    <t>O&amp;M EXPENSE</t>
  </si>
  <si>
    <t>Total O&amp;M Allocated to Transmission</t>
  </si>
  <si>
    <t>Attach H, p 3, line 14 col 5</t>
  </si>
  <si>
    <t>Annual Allocation Factor for O&amp;M</t>
  </si>
  <si>
    <t>(line 3 divided by line 1 col 3)</t>
  </si>
  <si>
    <t>GENERAL, INTANGIBLE AND COMMON (G&amp;C) DEPRECIATION EXPENSE</t>
  </si>
  <si>
    <t>5</t>
  </si>
  <si>
    <t>Total G, I &amp; C Depreciation Expense</t>
  </si>
  <si>
    <t>Attach H, p 3, lines 17 &amp; 18, col 5 (Note H)</t>
  </si>
  <si>
    <t>6</t>
  </si>
  <si>
    <t>Annual Allocation Factor for G, I &amp; C Depreciation Expense</t>
  </si>
  <si>
    <t>(line 5 divided by line 1 col 3)</t>
  </si>
  <si>
    <t>TAXES OTHER THAN INCOME TAXES</t>
  </si>
  <si>
    <t>7</t>
  </si>
  <si>
    <t>Total Other Taxes</t>
  </si>
  <si>
    <t>Attach H, p 3, line 30 col 5</t>
  </si>
  <si>
    <t>8</t>
  </si>
  <si>
    <t>Annual Allocation Factor for Other Taxes</t>
  </si>
  <si>
    <t>(line 7 divided by line 1 col 3)</t>
  </si>
  <si>
    <t>9</t>
  </si>
  <si>
    <t>Less Revenue Credits</t>
  </si>
  <si>
    <t>Attach H, p 1, line 7 col 5</t>
  </si>
  <si>
    <t>10</t>
  </si>
  <si>
    <t>Annual Allocation Factor Revenue Credits</t>
  </si>
  <si>
    <t>(line 9 divided by line 1 col 3)</t>
  </si>
  <si>
    <t>11</t>
  </si>
  <si>
    <t>Annual Allocation Factor for Expense</t>
  </si>
  <si>
    <t>Sum of line 4, 6, 8, and 10</t>
  </si>
  <si>
    <t>INCOME TAXES</t>
  </si>
  <si>
    <t>12</t>
  </si>
  <si>
    <t>Total Income Taxes</t>
  </si>
  <si>
    <t>Attach H, p 3, line 44 col 5</t>
  </si>
  <si>
    <t>13</t>
  </si>
  <si>
    <t>Annual Allocation Factor for Income Taxes</t>
  </si>
  <si>
    <t>(line 12 divided by line 2 col 3)</t>
  </si>
  <si>
    <t>14</t>
  </si>
  <si>
    <t>Return on Rate Base</t>
  </si>
  <si>
    <t>Attach H, p 3, line 46 col 5</t>
  </si>
  <si>
    <t>15</t>
  </si>
  <si>
    <t>Annual Allocation Factor for Return on Rate Base</t>
  </si>
  <si>
    <t>(line 14 divided by line 2 col 3)</t>
  </si>
  <si>
    <t>16</t>
  </si>
  <si>
    <t>Annual Allocation Factor for Return</t>
  </si>
  <si>
    <t>Sum of line 13 and 15</t>
  </si>
  <si>
    <t>Page 2 of 2</t>
  </si>
  <si>
    <t xml:space="preserve"> (12a)</t>
  </si>
  <si>
    <t>(14)</t>
  </si>
  <si>
    <t>(15)</t>
  </si>
  <si>
    <t>(16)</t>
  </si>
  <si>
    <t>Line No.</t>
  </si>
  <si>
    <t>Project Name (Notes M &amp; N)</t>
  </si>
  <si>
    <t>ITEP Project Number</t>
  </si>
  <si>
    <t xml:space="preserve">Project Gross Plant </t>
  </si>
  <si>
    <t>Annual Expense Charge</t>
  </si>
  <si>
    <t xml:space="preserve">Project Net Plant </t>
  </si>
  <si>
    <t>Annual Return Charge</t>
  </si>
  <si>
    <t>Project Depreciation/Amortization Expense</t>
  </si>
  <si>
    <t>Annual Revenue Requirement</t>
  </si>
  <si>
    <t>Incentive Return in basis Points</t>
  </si>
  <si>
    <t>Incentive Return</t>
  </si>
  <si>
    <t>Ceiling Rate</t>
  </si>
  <si>
    <t>Discount</t>
  </si>
  <si>
    <t>Total Annual Revenue Requirement</t>
  </si>
  <si>
    <t>True-Up Adjustment</t>
  </si>
  <si>
    <t>Net Rev Req</t>
  </si>
  <si>
    <t>(Note C)</t>
  </si>
  <si>
    <t>(Page 1 line 11)</t>
  </si>
  <si>
    <t>(Col. 3 * Col. 4)</t>
  </si>
  <si>
    <t>(Notes B, D &amp; I)</t>
  </si>
  <si>
    <t>(Page 1 line 16)</t>
  </si>
  <si>
    <t>(Col. 6 * Col. 7)</t>
  </si>
  <si>
    <t>(Notes E &amp; I)</t>
  </si>
  <si>
    <t>(Sum Col. 5, 8 &amp; 9)</t>
  </si>
  <si>
    <t>(Note K)</t>
  </si>
  <si>
    <t>(Attachment 2, Line 28 /100 * Col. 11)</t>
  </si>
  <si>
    <t>(Sum Col. 10 &amp; 12)</t>
  </si>
  <si>
    <t>(Note J)</t>
  </si>
  <si>
    <t>(Sum Col. 10 &amp; 12 Less Col. 13)</t>
  </si>
  <si>
    <t>Sum Col. 14 &amp; 15 
(Note G)</t>
  </si>
  <si>
    <t>Zone 10</t>
  </si>
  <si>
    <t>15a</t>
  </si>
  <si>
    <t>Southeast Missouri Assets (excludes Nixa NTC Project)</t>
  </si>
  <si>
    <t>Zone 11</t>
  </si>
  <si>
    <t>15b</t>
  </si>
  <si>
    <t>Networked Oklahoma Panhandle Assets</t>
  </si>
  <si>
    <t>Zone 10 Schedule 11</t>
  </si>
  <si>
    <t>15c</t>
  </si>
  <si>
    <t>Nixa NTC Project</t>
  </si>
  <si>
    <t>15d</t>
  </si>
  <si>
    <t>Zone 14</t>
  </si>
  <si>
    <t>15e</t>
  </si>
  <si>
    <t>Kansas Assets</t>
  </si>
  <si>
    <t>Annual Totals</t>
  </si>
  <si>
    <t>A</t>
  </si>
  <si>
    <t>Gross Transmission Plant is that identified on page 2 line 2 of Attachment H</t>
  </si>
  <si>
    <t>B</t>
  </si>
  <si>
    <t>Inclusive of any CWIP or unamortized abandoned plant included in rate base when authorized by FERC order less any prefunded AFUDC, if applicable.</t>
  </si>
  <si>
    <t xml:space="preserve">Project Gross Plant is the total capital investment for the project calculated in the same method as the gross plant value in line 1.  This value includes subsequent capital investments required to maintain the facilities to their original capabilities.  </t>
  </si>
  <si>
    <t xml:space="preserve"> Gross plant does not include Unamortized Abandoned Plant.</t>
  </si>
  <si>
    <t>Project Net Plant is the Project Gross Plant Identified in Column 3 less the associated Accumulated Depreciation.  Net Plant includes CWIP and Unamortized Abandoned Plant and excludes any regulatory asset, which are to entered as a separate line item.</t>
  </si>
  <si>
    <t>Project Depreciation Expense is the actual value booked for the project and included in the Depreciation Expense in Attachment H, page 3, line 16.  Project Depreciation Expense includes the amortization of Abandoned Plant</t>
  </si>
  <si>
    <t>True-Up Adjustment is calculated on the Project True-up Schedule for the Rate Year</t>
  </si>
  <si>
    <t>The Net Rev Req is the value to be used in the SPP's rate calculation under the applicable Schedule under the SPP OATT for each project.</t>
  </si>
  <si>
    <t>The Total General, Intangible and Common Depreciation Expense excludes any depreciation expense directly associated with a project and thereby included in page 2 column 9.</t>
  </si>
  <si>
    <t>The Unamortized Abandoned Plant balance is included in Net Plant, and Amortization of Abandoned Plant is included in Depreciation/Amortization Expense.</t>
  </si>
  <si>
    <t>The discount is the reduction in revenue, if any, that the company agreed to, for instance, to be selected to build facilities as the result of a competitive process and equals the amount by which the annual revenue requirement is reduced from the ceiling rate</t>
  </si>
  <si>
    <t>Requires approval by FERC of incentive return applicable to the specified project(s)</t>
  </si>
  <si>
    <t>All facilities other than those being recovered under Schedules 7, 8, 9 are to be included in Attachment 1.</t>
  </si>
  <si>
    <t>N</t>
  </si>
  <si>
    <t xml:space="preserve">Facilities that provide Wholesale Distribution Service are not to be listed as projects on lines 15, the revenue requirements associated with these facilities are calculated on Attachment 11 </t>
  </si>
  <si>
    <t>When an updated projected net revenue requirement is posted due to an asset acquisition as provided for in the Protocols, the difference between the updated net revenue requirement in Col (16) and the revenues collected to date will be recovered</t>
  </si>
  <si>
    <t>over the remaining months of the Rate Year.</t>
  </si>
  <si>
    <t>Attachment 2</t>
  </si>
  <si>
    <t>Page 1 of 1</t>
  </si>
  <si>
    <t>Incentive ROE</t>
  </si>
  <si>
    <t>Rate Base</t>
  </si>
  <si>
    <t xml:space="preserve">Attachment H, Page 2 line 37, Col.5 </t>
  </si>
  <si>
    <t>100 Basis Point Incentive Return</t>
  </si>
  <si>
    <t>(Attachment H, Notes Q and R)</t>
  </si>
  <si>
    <t xml:space="preserve">  Preferred Stock  </t>
  </si>
  <si>
    <t>(Attachment H, Notes K, Q and R)</t>
  </si>
  <si>
    <t>Cost = Attachment H, Page 4 Line 22, Cost plus .01</t>
  </si>
  <si>
    <t>Total  (sum lines 3-5)</t>
  </si>
  <si>
    <t>100 Basis Point Incentive Return multiplied by Rate Base (line 1 * line 6)</t>
  </si>
  <si>
    <t xml:space="preserve">     T=SIT * (1-FIT) + FIT - (P*FIT)</t>
  </si>
  <si>
    <t>Amortized Investment Tax Credit (266.8f) (enter negative)</t>
  </si>
  <si>
    <t>Attachment H, Page 3, Line 35</t>
  </si>
  <si>
    <t>(Excess)/Deficient Deferred Income Taxes (enter negative)</t>
  </si>
  <si>
    <t>Attachment H, Page 3, Line 36</t>
  </si>
  <si>
    <t>Tax Effect of Permanent Differences  (Note B)</t>
  </si>
  <si>
    <t>Attachment H, Page 3, Line 37</t>
  </si>
  <si>
    <t>Income Tax Calculation</t>
  </si>
  <si>
    <t>Attachment H, Page 3, Line 38</t>
  </si>
  <si>
    <t>ITC adjustment (line 11 * line 12)</t>
  </si>
  <si>
    <t>(Excess)/Deficient Deferred Income Tax Adjustment (line 11 * line 13)</t>
  </si>
  <si>
    <t>Permanent Differences Tax Adjustment (line 11 * 14)</t>
  </si>
  <si>
    <t>Total Income Taxes (sum lines 15 - 18)</t>
  </si>
  <si>
    <t>Return and Income Taxes with 100 basis point increase in ROE</t>
  </si>
  <si>
    <t>Return    (Attach. H, page 3 line 46 col 5)</t>
  </si>
  <si>
    <t>Income Tax    (Attach. H, page 3 line 44 col 5)</t>
  </si>
  <si>
    <t>Return and Income Taxes without 100 basis point increase in ROE</t>
  </si>
  <si>
    <t>Incremental Return and Income Taxes for 100 basis point increase in ROE</t>
  </si>
  <si>
    <t>Rate Base (line 1)</t>
  </si>
  <si>
    <t>Incremental Return and Income Taxes for 100 basis point increase in ROE divided by Rate Base</t>
  </si>
  <si>
    <t xml:space="preserve">Notes: </t>
  </si>
  <si>
    <t>Line 5 includes a 100 basis point increase in ROE that is used only to determine the increase in return and income taxes associated with</t>
  </si>
  <si>
    <t>a 100 basis point increase in ROE.  Any actual ROE incentive must be approved by the Commission.</t>
  </si>
  <si>
    <t>For example, if the Commission were to grant a 137 basis point ROE incentive, the increase in return and taxes for a 100 basis point</t>
  </si>
  <si>
    <t>increase in ROE would be multiplied by 1.37 on Attachment 1 column 12.</t>
  </si>
  <si>
    <t>The Tax Effect of Permanent Differences captures the differences in the income taxes due under the Federal and State calculations and the income taxes calculated</t>
  </si>
  <si>
    <t xml:space="preserve"> in Attachment H that are not the result of a timing difference</t>
  </si>
  <si>
    <t>Attachment 3</t>
  </si>
  <si>
    <t>Project True-Up</t>
  </si>
  <si>
    <t>Revenue Requirement Projected</t>
  </si>
  <si>
    <t>Actual Revenue</t>
  </si>
  <si>
    <t>Rate Year being Trued-Up</t>
  </si>
  <si>
    <t>For Rate Year</t>
  </si>
  <si>
    <r>
      <t>Revenue Received</t>
    </r>
    <r>
      <rPr>
        <vertAlign val="superscript"/>
        <sz val="10"/>
        <color theme="1"/>
        <rFont val="Times New Roman"/>
        <family val="1"/>
      </rPr>
      <t>3</t>
    </r>
  </si>
  <si>
    <t>Requirement</t>
  </si>
  <si>
    <t>Annual True-Up Calculation</t>
  </si>
  <si>
    <t>% of</t>
  </si>
  <si>
    <t>Projected</t>
  </si>
  <si>
    <t xml:space="preserve">Revenue </t>
  </si>
  <si>
    <t>Actual</t>
  </si>
  <si>
    <t xml:space="preserve">Net </t>
  </si>
  <si>
    <t>Interest</t>
  </si>
  <si>
    <t xml:space="preserve"> Project #</t>
  </si>
  <si>
    <t>Net Revenue</t>
  </si>
  <si>
    <t>Revenue</t>
  </si>
  <si>
    <t>Received</t>
  </si>
  <si>
    <t>Under/(Over)</t>
  </si>
  <si>
    <t>Prior Period</t>
  </si>
  <si>
    <t>Income</t>
  </si>
  <si>
    <t>Total True-Up</t>
  </si>
  <si>
    <t>Or Other Identifier</t>
  </si>
  <si>
    <t>Project Name</t>
  </si>
  <si>
    <r>
      <t>Requirement</t>
    </r>
    <r>
      <rPr>
        <vertAlign val="superscript"/>
        <sz val="10"/>
        <color theme="1"/>
        <rFont val="Times New Roman"/>
        <family val="1"/>
      </rPr>
      <t>1</t>
    </r>
  </si>
  <si>
    <t>(E, Line 2 ) x (D)</t>
  </si>
  <si>
    <r>
      <t>Requirement</t>
    </r>
    <r>
      <rPr>
        <vertAlign val="superscript"/>
        <sz val="10"/>
        <color theme="1"/>
        <rFont val="Times New Roman"/>
        <family val="1"/>
      </rPr>
      <t>2</t>
    </r>
  </si>
  <si>
    <t>Collection  (F)-(E)</t>
  </si>
  <si>
    <r>
      <t xml:space="preserve">Adjustment </t>
    </r>
    <r>
      <rPr>
        <vertAlign val="superscript"/>
        <sz val="10"/>
        <rFont val="Times New Roman"/>
        <family val="1"/>
      </rPr>
      <t>5</t>
    </r>
  </si>
  <si>
    <r>
      <t>(Expense)</t>
    </r>
    <r>
      <rPr>
        <vertAlign val="superscript"/>
        <sz val="10"/>
        <color theme="1"/>
        <rFont val="Times New Roman"/>
        <family val="1"/>
      </rPr>
      <t>4</t>
    </r>
  </si>
  <si>
    <t>(G) + (H) + (I)</t>
  </si>
  <si>
    <t>3a</t>
  </si>
  <si>
    <t>Southeast Missouri Assets</t>
  </si>
  <si>
    <t>3b</t>
  </si>
  <si>
    <t>3c</t>
  </si>
  <si>
    <t>3d</t>
  </si>
  <si>
    <t>3e</t>
  </si>
  <si>
    <t>Total Annual Revenue Requirements (Note A)</t>
  </si>
  <si>
    <t>Monthly Interest Rate</t>
  </si>
  <si>
    <t>Interest Income (Expense)</t>
  </si>
  <si>
    <t>Notes:</t>
  </si>
  <si>
    <t>1) From Attachment 1, line 15, col. 14 for the projection for the Rate Year.</t>
  </si>
  <si>
    <t>2) From Attachment 1, line 15, col. 14 for that project based on the actual costs for the Rate Year.</t>
  </si>
  <si>
    <t>3) The "Revenue Received" on line 2, Col. (E), is the total amount of revenue distributed to company in the  year as shown on  pages 328-330 of the Form No 1. The Revenue Received is input on line 2, Col. E excludes any True-Up revenues.</t>
  </si>
  <si>
    <t xml:space="preserve">      Column E, lines 3 are the dollar amounts of Revenue Received reflecting the % in Column D.  This assigns to each project a percentage of the revenue received based on the percentage of the Projected Net Revenue Requirement in Column C.</t>
  </si>
  <si>
    <t xml:space="preserve">4) Interest from Attachment 6. </t>
  </si>
  <si>
    <t>5)  Prior Period Adjustment from line 5 is pro rata  to each project, unless the error was project specific.</t>
  </si>
  <si>
    <t>Prior Period Adjustment</t>
  </si>
  <si>
    <t>(a)</t>
  </si>
  <si>
    <t>(b)</t>
  </si>
  <si>
    <t>(c)</t>
  </si>
  <si>
    <t>(d)</t>
  </si>
  <si>
    <t>(Note B)</t>
  </si>
  <si>
    <t>In Dollars</t>
  </si>
  <si>
    <t>Note B</t>
  </si>
  <si>
    <t>Col. (b) + Col. (c)</t>
  </si>
  <si>
    <t>Construction Load True-up (Note C)</t>
  </si>
  <si>
    <t>For each project or Attachment H, the utility will populate the formula rate with the inputs for the True-Up Year.  The revenue requirements, based on actual operating results for the True-Up Year, associated with the projects and Attachment H will then be entered in Col. (F) above.  Column (E) above contains the actual revenues received associated with Attachment H and any Projects paid by SPP to the utility during the True-Up Year.   Then in Col. (G), Col. (E) is subtracted from Col. (F) to calculate the True-up Adjustment.  The Prior Period Adjustment from Line 5 below is input in Col. (H).  Column (I) is the applicable interest rate from Attachment 6.  Column (I) adds the interest on the sum of Col.(G) and  (H).  Col. (J) is the sum of Col. (G), (H), and (I).</t>
  </si>
  <si>
    <t>Prior Period Adjustment is the amount of an adjustment to correct an error in a prior period.  The FERC Refund interest rate specified in CFR 35.19(a) for the period up to the date the projected rates that are subject to True Up here went into effect.</t>
  </si>
  <si>
    <t>At the applicable time.  Amount includes interest and is calculated consistent with Attachment 9</t>
  </si>
  <si>
    <t>Attachment 4</t>
  </si>
  <si>
    <t xml:space="preserve">Rate Base Worksheet </t>
  </si>
  <si>
    <t>Gross Plant In Service</t>
  </si>
  <si>
    <t>CWIP</t>
  </si>
  <si>
    <t>LHFFU</t>
  </si>
  <si>
    <t>Working Capital</t>
  </si>
  <si>
    <t>Accumulated Depreciation</t>
  </si>
  <si>
    <t>Line No</t>
  </si>
  <si>
    <t>Month</t>
  </si>
  <si>
    <t>General &amp; Intangible</t>
  </si>
  <si>
    <t xml:space="preserve">CWIP in Rate Base </t>
  </si>
  <si>
    <t>Held for Future Use</t>
  </si>
  <si>
    <t xml:space="preserve">  Prepayments</t>
  </si>
  <si>
    <t>(e)</t>
  </si>
  <si>
    <t>(f)</t>
  </si>
  <si>
    <t>(g)</t>
  </si>
  <si>
    <t>(h)</t>
  </si>
  <si>
    <t>(i)</t>
  </si>
  <si>
    <t>Attachment H, Page 2, Line No:</t>
  </si>
  <si>
    <t>207.58.g for end of year, records for other months</t>
  </si>
  <si>
    <t>205.5.g &amp; 207.99.g for end of year, records for other months</t>
  </si>
  <si>
    <t>214.x.d for end of year, records for other months</t>
  </si>
  <si>
    <t>227.8.c &amp; 227.16.c for end of year, records for other months</t>
  </si>
  <si>
    <t>111.57.c for end of year, records for other months</t>
  </si>
  <si>
    <t>219.25.c for end of year, records for other months</t>
  </si>
  <si>
    <t>219.28.c &amp; 200.21.c for end of year, records for other months</t>
  </si>
  <si>
    <t>December Prior Year</t>
  </si>
  <si>
    <t>January</t>
  </si>
  <si>
    <t>February</t>
  </si>
  <si>
    <t xml:space="preserve">March </t>
  </si>
  <si>
    <t>April</t>
  </si>
  <si>
    <t>May</t>
  </si>
  <si>
    <t>June</t>
  </si>
  <si>
    <t>July</t>
  </si>
  <si>
    <t xml:space="preserve">August </t>
  </si>
  <si>
    <t>September</t>
  </si>
  <si>
    <t>October</t>
  </si>
  <si>
    <t>November</t>
  </si>
  <si>
    <t xml:space="preserve">December </t>
  </si>
  <si>
    <t xml:space="preserve">Average of the 13 Monthly Balances </t>
  </si>
  <si>
    <t>Adjustments to Rate Base</t>
  </si>
  <si>
    <t xml:space="preserve">Unamortized Regulatory Asset </t>
  </si>
  <si>
    <t xml:space="preserve">Unamortized Abandoned Plant  </t>
  </si>
  <si>
    <t>Account No. 281
Accumulated Deferred Income Taxes (Note D)</t>
  </si>
  <si>
    <t>Account No. 282
Accumulated Deferred Income Taxes (Note D)</t>
  </si>
  <si>
    <t>Account No. 283
Accumulated Deferred Income Taxes (Note D)</t>
  </si>
  <si>
    <t>Account No. 190
Accumulated Deferred Income Taxes (Note D)</t>
  </si>
  <si>
    <t>Account No. 255
Accumulated Deferred Investment Credit</t>
  </si>
  <si>
    <t>Notes A &amp; E</t>
  </si>
  <si>
    <t>Notes B &amp; F</t>
  </si>
  <si>
    <t>272.8.b &amp; 273.8.k</t>
  </si>
  <si>
    <t>Attachment 4a or 4e</t>
  </si>
  <si>
    <t>Consistent with 266.8.b &amp; 267.8.h</t>
  </si>
  <si>
    <t>Average of the 13 Monthly Balances</t>
  </si>
  <si>
    <t>(No 281 ADIT)</t>
  </si>
  <si>
    <t>(Attachment 4a, Line 8 Total)</t>
  </si>
  <si>
    <t>(Attachment 4a, Line 16 Total)</t>
  </si>
  <si>
    <t>(Attachment 4a, Line 24 Total)</t>
  </si>
  <si>
    <t>Unfunded Reserves    (Notes G &amp; H)</t>
  </si>
  <si>
    <t>List of all reserves:</t>
  </si>
  <si>
    <r>
      <t>Enter 1 if NOT in a trust or</t>
    </r>
    <r>
      <rPr>
        <sz val="10"/>
        <rFont val="Times New Roman"/>
        <family val="1"/>
      </rPr>
      <t xml:space="preserve"> reserved account, enter zero (0) if included in a trust or reserved account </t>
    </r>
  </si>
  <si>
    <t>Enter 1 if the accrual account is included in the formula rate, enter (0) if  O if the accrual account is NOT included in the formula rate</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</si>
  <si>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</si>
  <si>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</si>
  <si>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</si>
  <si>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30a</t>
  </si>
  <si>
    <t>Reserve 1</t>
  </si>
  <si>
    <t>30b</t>
  </si>
  <si>
    <t>Reserve 2</t>
  </si>
  <si>
    <t>30c</t>
  </si>
  <si>
    <t>Reserve 3</t>
  </si>
  <si>
    <t>30d</t>
  </si>
  <si>
    <t>Reserve 4</t>
  </si>
  <si>
    <t>30e</t>
  </si>
  <si>
    <t>…</t>
  </si>
  <si>
    <t>30f</t>
  </si>
  <si>
    <t>Recovery of regulatory asset is limited to any regulatory assets authorized by FERC.</t>
  </si>
  <si>
    <t>Recovery of abandoned plant is limited to any abandoned plant recovery authorized by FERC.</t>
  </si>
  <si>
    <t>Includes only CWIP authorized by the Commission for inclusion in rate base.  The annual report filed pursuant to Section 7 of the Protocols will include for each project under construction (i) the CWIP balance eligible for inclusion in rate base; (ii) the CWIP balance ineligible for inclusion in rate base; and</t>
  </si>
  <si>
    <t xml:space="preserve"> (iii) a demonstration that AFUDC is only applied to the CWIP balance that is not included in rate base.  The annual report will reconcile the project-specific CWIP balances to the total Account 107 CWIP balance reported on p. 216.b of the FERC Form 1.</t>
  </si>
  <si>
    <t>For rate projections and the annual true-up, ADIT is computed using the prorated end of the year balances as required by Section 1.167(l)-1(h)(6) of the IRS regulations. Attachment 4a calculates the projected ADIT balances on line 28 above based on the prorated ending ADIT balances as calculated on Attachment 4b. For the annual true-up, Attachment 4e calculates the projected ADIT balances on line 28 above based on the prorated ending ADIT balances as calculated on Attachment 4f.</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</si>
  <si>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A carrying charge equal to the AFUDC rate will be applied to the Regulatory Asset prior to the rate year when costs are first recovered. </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</si>
  <si>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</si>
  <si>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30 above.  The allocator in Col. (g) will be the same allocator used in the formula for the cost accruals to the account that is recovered under the Formula Rate.  Since reserves can be created by an offsetting balance sheet account, rather than through cost accruals, the amount to be deducted from rate base should exclude the portion offset by another balance sheet account.</t>
  </si>
  <si>
    <t>Calculate using 13 month average balance, except ADIT which is calculated as described in Note D.</t>
  </si>
  <si>
    <t>Attachment 5</t>
  </si>
  <si>
    <t>Attachment H, Pages 3 and 4, Worksheet</t>
  </si>
  <si>
    <t>Transmission O&amp;M Expenses</t>
  </si>
  <si>
    <t>Account No. 566 (Misc. Trans. Expense)</t>
  </si>
  <si>
    <t>Account No. 565</t>
  </si>
  <si>
    <t>A&amp;G Expenses</t>
  </si>
  <si>
    <t>FERC Annual Fees</t>
  </si>
  <si>
    <t>EPRI &amp; Reg. Comm. Exp. &amp; Non-safety  Ad.</t>
  </si>
  <si>
    <t>Transmission Related Reg. Comm. Exp.</t>
  </si>
  <si>
    <t>Transmission Lease Payments</t>
  </si>
  <si>
    <t>Amortization of Regulatory Asset</t>
  </si>
  <si>
    <t>Depreciation Expense - Transmission</t>
  </si>
  <si>
    <t>(j)</t>
  </si>
  <si>
    <t>(k)</t>
  </si>
  <si>
    <t>Attachment H, Page 3, Line No.:</t>
  </si>
  <si>
    <t>Form No. 1</t>
  </si>
  <si>
    <t>321.112.b</t>
  </si>
  <si>
    <t>321.97.b</t>
  </si>
  <si>
    <t>321.96.b</t>
  </si>
  <si>
    <t>323.197.b</t>
  </si>
  <si>
    <t>(Note E)</t>
  </si>
  <si>
    <t>Portion of Transmission O&amp;M</t>
  </si>
  <si>
    <t>Portion of Account 566</t>
  </si>
  <si>
    <t>Balance of Account 566</t>
  </si>
  <si>
    <t>336.7.b, d &amp; e</t>
  </si>
  <si>
    <t>1</t>
  </si>
  <si>
    <t>2</t>
  </si>
  <si>
    <t>3</t>
  </si>
  <si>
    <t>March</t>
  </si>
  <si>
    <t>4</t>
  </si>
  <si>
    <t>August</t>
  </si>
  <si>
    <t>December</t>
  </si>
  <si>
    <t>Depreciation Expense - General &amp; Intangible</t>
  </si>
  <si>
    <t>Amortization of Abandoned Plant</t>
  </si>
  <si>
    <t>Payroll Taxes</t>
  </si>
  <si>
    <t>Highway &amp; Vehicle Taxes</t>
  </si>
  <si>
    <t>Property Taxes</t>
  </si>
  <si>
    <t>Gross Receipts Taxes</t>
  </si>
  <si>
    <t>Other Taxes</t>
  </si>
  <si>
    <t>Payments in lieu of Taxes</t>
  </si>
  <si>
    <t>Amortized Investment Tax Credit (266.8f)</t>
  </si>
  <si>
    <t>(Excess)/Deficient Deferred Income Taxes</t>
  </si>
  <si>
    <t>Attachment H, Page 3, Line Number</t>
  </si>
  <si>
    <t>336.10.b, d &amp; e, 336.1.b, d &amp; e</t>
  </si>
  <si>
    <t>(Note S)</t>
  </si>
  <si>
    <t>263.i</t>
  </si>
  <si>
    <t>266.8.f</t>
  </si>
  <si>
    <t>(Note W)</t>
  </si>
  <si>
    <t>17</t>
  </si>
  <si>
    <t>18</t>
  </si>
  <si>
    <t>19</t>
  </si>
  <si>
    <t>20</t>
  </si>
  <si>
    <t>21</t>
  </si>
  <si>
    <t>22</t>
  </si>
  <si>
    <t>23</t>
  </si>
  <si>
    <t>24</t>
  </si>
  <si>
    <t>25</t>
  </si>
  <si>
    <t>26</t>
  </si>
  <si>
    <t>Bundled Sales for Resale  included on page 4 of Attachment H</t>
  </si>
  <si>
    <t xml:space="preserve">Transmission charges for all transmission transactions </t>
  </si>
  <si>
    <t>Transmission charges associated with Project detailed on the Project Rev Req Schedule Col. 10.</t>
  </si>
  <si>
    <t>Attachment H, Page 4, Line No:</t>
  </si>
  <si>
    <t>29</t>
  </si>
  <si>
    <t>Attach H, p 1 line 4</t>
  </si>
  <si>
    <t>(Note L)</t>
  </si>
  <si>
    <t>(Note M)</t>
  </si>
  <si>
    <t>Portion of Account 456.1</t>
  </si>
  <si>
    <t>Notes K, Q &amp; R from Attachment H</t>
  </si>
  <si>
    <t>Long Term Interest (117, sum of 62.c through 67.c)</t>
  </si>
  <si>
    <t>Preferred Dividends (118.29c) (positive number)</t>
  </si>
  <si>
    <t>Proprietary Capital (112.16.c)</t>
  </si>
  <si>
    <t xml:space="preserve">Less Preferred Stock (112.3.c) </t>
  </si>
  <si>
    <t>Less Account 216.1 (112.12.c)  (enter negative)</t>
  </si>
  <si>
    <t>Common Stock</t>
  </si>
  <si>
    <t>(sum lines 41-43)</t>
  </si>
  <si>
    <t>Note A</t>
  </si>
  <si>
    <t xml:space="preserve">Note C  </t>
  </si>
  <si>
    <t>(Sum of Lines 45-47)</t>
  </si>
  <si>
    <t>Note:</t>
  </si>
  <si>
    <t>Long Term Debt balance will reflect the 13 month average of the balances, of which the 1st and 13th are found on page 112 lines 18.c &amp; d to 21.c &amp; d in the Form No. 1, the cost is calculated by dividing line 39 by the Long Term Debt balance in line 45.</t>
  </si>
  <si>
    <t>Preferred Stock balance will reflect the 13 month average of the balances, of which the 1st and 13th are found on page 112 line 3.c &amp; d in the Form No. 1</t>
  </si>
  <si>
    <t>Common Stock balance will reflect the 13 month average of the balances, of which the 1st and 13th are found on page 112 lines 3.c &amp; d,  12.c &amp; d, and 16.c &amp; d in the Form No. 1 as shown on lines 41-44 above</t>
  </si>
  <si>
    <t>Common equity ratio capped at 60%</t>
  </si>
  <si>
    <t>Page 1 of  2</t>
  </si>
  <si>
    <t>Attachment 13</t>
  </si>
  <si>
    <t>Income Tax Allowance Support</t>
  </si>
  <si>
    <t>Description</t>
  </si>
  <si>
    <t>Corporations - Including C Corps, S Corps and other PTEs</t>
  </si>
  <si>
    <t>Individuals (including foreign), estates &amp; trusts</t>
  </si>
  <si>
    <t>Mutual funds</t>
  </si>
  <si>
    <t>Trusts</t>
  </si>
  <si>
    <t>UBTI entities - pension funds, IRA, Keogh Plans</t>
  </si>
  <si>
    <t>Tax Exempt Entities</t>
  </si>
  <si>
    <t>Weighted Average Income Tax Rate</t>
  </si>
  <si>
    <t>FIT = Weighted Marginal Federal Income Tax Rate</t>
  </si>
  <si>
    <t>Partners with Actual or Potential Income Tax Liability</t>
  </si>
  <si>
    <t>Note C</t>
  </si>
  <si>
    <t>Weighted Average Federal Income Tax Rate</t>
  </si>
  <si>
    <t>(1*2)</t>
  </si>
  <si>
    <t>SIT = Weighted Marginal State Income Tax Rate</t>
  </si>
  <si>
    <t>Weighted Average State Income Tax Rate</t>
  </si>
  <si>
    <t>(4*5)</t>
  </si>
  <si>
    <t>p = Weighted Average State Income Tax Rate Value of Federal Tax Deductibility</t>
  </si>
  <si>
    <t>Weighted Average X</t>
  </si>
  <si>
    <t>(7*8)</t>
  </si>
  <si>
    <t>Projected Distributive Share of Income from Transmission Investment</t>
  </si>
  <si>
    <t>Composite Income Tax Rate [T=SIT * (1-FIT) + FIT - (p * FIT)]</t>
  </si>
  <si>
    <t>Private Equity (PE) Investment Ownership of GridLiance High Plains LLC (GHP)</t>
  </si>
  <si>
    <t>Ownership of Funds by FERC Categories of Investors</t>
  </si>
  <si>
    <t>BCP VI</t>
  </si>
  <si>
    <t>BEP II/II.F</t>
  </si>
  <si>
    <t>BCP VI SBS</t>
  </si>
  <si>
    <t>BEP II SBS</t>
  </si>
  <si>
    <t>BTAS</t>
  </si>
  <si>
    <t>Weighted Average PE Ownership of GHP by FERC Categories of Investors</t>
  </si>
  <si>
    <t>Private Equity Ownership</t>
  </si>
  <si>
    <t>Total Ownership</t>
  </si>
  <si>
    <t>Total Ownership Adjusted</t>
  </si>
  <si>
    <t>Corporations (feeder LP)</t>
  </si>
  <si>
    <t>Individuals</t>
  </si>
  <si>
    <t>Mutual Funds</t>
  </si>
  <si>
    <t>UBTI Entities</t>
  </si>
  <si>
    <t>Non-Taxpaying Entities</t>
  </si>
  <si>
    <t>Separate Individual Ownership</t>
  </si>
  <si>
    <t xml:space="preserve">Represents the weighted average federal or state tax rate for each category of partners.  Support to be provided for the use of any marginal federal income tax rate that differs from any </t>
  </si>
  <si>
    <t>applicable presumptive marginal federal ncome tax rates that have been adopted by the Commission.</t>
  </si>
  <si>
    <t>From Weighted Average State Rate Tab</t>
  </si>
  <si>
    <t>Calculation of ownership by category of investor</t>
  </si>
  <si>
    <t>Upon request, GridLiance High Plains will provide any relevant ownership agreements to support the ownership categories and associated inputs used to calculate GridLiance High Plains' income tax liability</t>
  </si>
  <si>
    <t xml:space="preserve">Upon request, GridLiance High Plains will provide supporting documents, including tax returns or, where the federal income tax rate is concerned, notice that GridLiance High Plains </t>
  </si>
  <si>
    <t xml:space="preserve">elected to take the 20 percent deduction available to pass-through entities.  </t>
  </si>
  <si>
    <t>South Central MCN LLC</t>
  </si>
  <si>
    <t xml:space="preserve">STATE </t>
  </si>
  <si>
    <t>APPORTIONMENT %</t>
  </si>
  <si>
    <t>RATE</t>
  </si>
  <si>
    <t>% Federal Taxes Deductible</t>
  </si>
  <si>
    <t>Weighted Rate</t>
  </si>
  <si>
    <t>Weighted Rate for Impact of Federal Tax Deductibility</t>
  </si>
  <si>
    <t>Oklahoma</t>
  </si>
  <si>
    <t>Missouri</t>
  </si>
  <si>
    <t>Kansas</t>
  </si>
  <si>
    <t>State 4</t>
  </si>
  <si>
    <t>State 5</t>
  </si>
  <si>
    <t>Total Weighted Average</t>
  </si>
  <si>
    <t>Attachment 4a - Accumulated Deferred Income Taxes (ADIT) Average Worksheet (Projection)</t>
  </si>
  <si>
    <t>Ln</t>
  </si>
  <si>
    <t>Beginning Balance &amp; Monthly Changes</t>
  </si>
  <si>
    <t>Year</t>
  </si>
  <si>
    <t xml:space="preserve">Balance </t>
  </si>
  <si>
    <t>Transmission Related</t>
  </si>
  <si>
    <t>Plant Related</t>
  </si>
  <si>
    <t>Labor Related</t>
  </si>
  <si>
    <t>Total
(Sum Col. (e), (f) &amp; (g))</t>
  </si>
  <si>
    <t>ADIT-282</t>
  </si>
  <si>
    <t>Balance-BOY (Attach 4c, Line 30)</t>
  </si>
  <si>
    <t>Balance-EOY (Attach 4d, Line 30 less Line 26)</t>
  </si>
  <si>
    <t>Balance-EOY-Prorated (Attach 4b, Line 14)</t>
  </si>
  <si>
    <t>Balance-EOY-Total (Lines 2+3)</t>
  </si>
  <si>
    <t>Total Plant Allocator</t>
  </si>
  <si>
    <t>Net Plant Allocator</t>
  </si>
  <si>
    <t>Attachment H, Page 2, Line 20</t>
  </si>
  <si>
    <t>Wages &amp; Salary Allocator</t>
  </si>
  <si>
    <t>Attachment H, Page 4, Line 11</t>
  </si>
  <si>
    <t>Projected ADIT Total</t>
  </si>
  <si>
    <t>Enter as negative Attachment 4, Page 1, Line 28 for Projection</t>
  </si>
  <si>
    <t>ADIT-283</t>
  </si>
  <si>
    <t>Balance-BOY (Attach 4c, Line 44)</t>
  </si>
  <si>
    <t>Balance-EOY (Attach 4d, Line 44 less Line 40)</t>
  </si>
  <si>
    <t>Balance-EOY-Prorated (Attach 4b, Line 28)</t>
  </si>
  <si>
    <t>Balance-EOY-Total (Lines 9+10)</t>
  </si>
  <si>
    <t>ADIT-190</t>
  </si>
  <si>
    <t>Balance-BOY (Attach 4c, Line 18)</t>
  </si>
  <si>
    <t>Balance-EOY (Attach 4d, Line 18 less Line 14)</t>
  </si>
  <si>
    <t>Balance-EOY-Prorated (Attach 4b, Line 42)</t>
  </si>
  <si>
    <t>Balance-EOY-Total (Lines 17+18)</t>
  </si>
  <si>
    <t>Enter Attachment 4, Page 1, Line 28 for Projection</t>
  </si>
  <si>
    <t>Attachment 4b - Accumulated Deferred Income Taxes (ADIT) Proration Worksheet (Projection)</t>
  </si>
  <si>
    <t>Weighting for Projection</t>
  </si>
  <si>
    <t>Beginning Balance/
Monthly Increment</t>
  </si>
  <si>
    <t>Transmission Proration
(d) x (f)</t>
  </si>
  <si>
    <t>Plant Proration
(d) x (h)</t>
  </si>
  <si>
    <t>Labor Proration
(d) x (j)</t>
  </si>
  <si>
    <r>
      <t>ADIT-282-Proration-</t>
    </r>
    <r>
      <rPr>
        <b/>
        <sz val="10"/>
        <color rgb="FFFF0000"/>
        <rFont val="Arial Narrow"/>
        <family val="2"/>
      </rPr>
      <t>Note A</t>
    </r>
  </si>
  <si>
    <t>Balance (Attach 4c, Line 30)</t>
  </si>
  <si>
    <t>Increment</t>
  </si>
  <si>
    <t>ADIT 282-Prorated EOY Balance</t>
  </si>
  <si>
    <r>
      <t>ADIT-283-Proration-</t>
    </r>
    <r>
      <rPr>
        <b/>
        <sz val="10"/>
        <color rgb="FFFF0000"/>
        <rFont val="Arial Narrow"/>
        <family val="2"/>
      </rPr>
      <t>Note B</t>
    </r>
  </si>
  <si>
    <t>Balance (Attach 4c, Line 44)</t>
  </si>
  <si>
    <t>ADIT 283-Prorated EOY Balance</t>
  </si>
  <si>
    <r>
      <t>ADIT-190-Proration-</t>
    </r>
    <r>
      <rPr>
        <b/>
        <sz val="10"/>
        <color rgb="FFFF0000"/>
        <rFont val="Arial Narrow"/>
        <family val="2"/>
      </rPr>
      <t>Note C</t>
    </r>
  </si>
  <si>
    <t>Balance (Attach 4c, Line 18)</t>
  </si>
  <si>
    <t>ADIT 190-Prorated EOY Balance</t>
  </si>
  <si>
    <t>Note 1</t>
  </si>
  <si>
    <t>Uses a 365 day calendar year.</t>
  </si>
  <si>
    <t>Note 2</t>
  </si>
  <si>
    <t>Projected end of year ADIT must be based on solely on enacted tax law.  No assumptions for future estimated changes in tax law may be forecasted.</t>
  </si>
  <si>
    <t>Substantial portion, if not all, of the ADIT-282 balance is subject to proration.  Explanation must be provided for any portion of balance not subject to proration.</t>
  </si>
  <si>
    <t>Only amounts in ADIT-283 relating to Depreciation, if applicable, are subject to proration.  See Line 44 in Attach 4c and 4d.</t>
  </si>
  <si>
    <t>Only amounts in ADIT-190 related to NOL carryforwards, if applicable, are subject to proration.  See Line 18 in Attach 4c and 4d.</t>
  </si>
  <si>
    <t>Attachment 4c - Accumulated Deferred Income Taxes (ADIT) Worksheet (Beginning of Year)</t>
  </si>
  <si>
    <t>GridLiance High Plains</t>
  </si>
  <si>
    <t>Item</t>
  </si>
  <si>
    <t>Line 30</t>
  </si>
  <si>
    <t>Line 44</t>
  </si>
  <si>
    <t>Line 18</t>
  </si>
  <si>
    <t>Subtotal</t>
  </si>
  <si>
    <t>Sum of Lines 1-4</t>
  </si>
  <si>
    <t xml:space="preserve">In filling out this attachment, a full and complete description of each item and justification for the allocation to Columns B-F and each separate ADIT item will be listed.  Dissimilar items with amounts exceeding $100,000 will be listed separately. </t>
  </si>
  <si>
    <t>Gas, Prod or Other Related</t>
  </si>
  <si>
    <t>Justification</t>
  </si>
  <si>
    <t>Amount subject to Proration</t>
  </si>
  <si>
    <t>Subtotal - p234.b</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</si>
  <si>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</si>
  <si>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</si>
  <si>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</si>
  <si>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</si>
  <si>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</si>
  <si>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and not in Columns C &amp; D are included in Column E</t>
  </si>
  <si>
    <t>4.  ADIT items related to labor and not in Columns C &amp; D are included in Column F</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</si>
  <si>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</si>
  <si>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ADIT- 282</t>
  </si>
  <si>
    <t xml:space="preserve">Subtotal - p274.b </t>
  </si>
  <si>
    <t>Instructions for Account 282:</t>
  </si>
  <si>
    <t>ADIT- 283</t>
  </si>
  <si>
    <t xml:space="preserve">Subtotal - p276.b  </t>
  </si>
  <si>
    <t>Instructions for Account 283:</t>
  </si>
  <si>
    <t>Attachment 4d - Accumulated Deferred Income Taxes (ADIT) Worksheet (End of Year)</t>
  </si>
  <si>
    <t xml:space="preserve">In filling out this attachment, a full and complete description of each item and justification for the allocation to Columns B-F and each separate ADIT item will be listed.  Dissimilar items with amounts exceeding $100,000 will be listed separately.  </t>
  </si>
  <si>
    <t>Subtotal - p234.c</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</si>
  <si>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</si>
  <si>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 xml:space="preserve">Subtotal - p275.k </t>
  </si>
  <si>
    <t xml:space="preserve">Subtotal - p277.k  </t>
  </si>
  <si>
    <t>Attachment 4e - Accumulated Deferred Income Taxes (ADIT) Average Worksheet (True-Up)</t>
  </si>
  <si>
    <t>-</t>
  </si>
  <si>
    <t>Balance-EOY-Prorated (Attach 4f, Line 14)</t>
  </si>
  <si>
    <t>Enter as negative Attachment 4, Page 1, Line 28 for True-up</t>
  </si>
  <si>
    <t>Balance-EOY-Prorated (Attach 4f, Line 28)</t>
  </si>
  <si>
    <t>Balance-EOY-Prorated (Attach 4f, Line 42)</t>
  </si>
  <si>
    <t>Attachment 4f - Accumulated Deferred Income Taxes (ADIT) Proration Worksheet (True-up)</t>
  </si>
  <si>
    <t xml:space="preserve">Monthly Increment </t>
  </si>
  <si>
    <t>Proration
(d) x (e)</t>
  </si>
  <si>
    <t>Prorated Projected Balance (Cumulative Sum of f)</t>
  </si>
  <si>
    <t>Actual Monthly Activity</t>
  </si>
  <si>
    <t>Difference between projected and actual activity</t>
  </si>
  <si>
    <t>Partially prorate actual activity above Monthly projection</t>
  </si>
  <si>
    <t>Partially prorate actual activity below Monthly projection but increases ADIT</t>
  </si>
  <si>
    <t>Partially prorate actual activity below Monthly projection and is a reduction to ADIT</t>
  </si>
  <si>
    <t>Partially prorated actual balance</t>
  </si>
  <si>
    <r>
      <t>ADIT-282-Proration-</t>
    </r>
    <r>
      <rPr>
        <b/>
        <sz val="10"/>
        <color rgb="FFFF0000"/>
        <rFont val="Times New Roman"/>
        <family val="1"/>
      </rPr>
      <t>Note A</t>
    </r>
  </si>
  <si>
    <r>
      <t>ADIT-283-Proration-</t>
    </r>
    <r>
      <rPr>
        <b/>
        <sz val="10"/>
        <color rgb="FFFF0000"/>
        <rFont val="Times New Roman"/>
        <family val="1"/>
      </rPr>
      <t>Note B</t>
    </r>
  </si>
  <si>
    <r>
      <t>ADIT-190-Proration-</t>
    </r>
    <r>
      <rPr>
        <b/>
        <sz val="10"/>
        <color rgb="FFFF0000"/>
        <rFont val="Times New Roman"/>
        <family val="1"/>
      </rPr>
      <t>Note C</t>
    </r>
  </si>
  <si>
    <t>Attachment 6</t>
  </si>
  <si>
    <t>True-Up Interest Rate</t>
  </si>
  <si>
    <t>Quarter (Note A)</t>
  </si>
  <si>
    <t>Interest rate for the Quarter pursuant to Section 35.19(a)</t>
  </si>
  <si>
    <t>1st Qtr</t>
  </si>
  <si>
    <t xml:space="preserve">2nd Qtr </t>
  </si>
  <si>
    <t xml:space="preserve">3rd Qtr </t>
  </si>
  <si>
    <t>4th Qtr</t>
  </si>
  <si>
    <t xml:space="preserve">1st Qtr </t>
  </si>
  <si>
    <t>Avg. Monthly FERC Rate</t>
  </si>
  <si>
    <t>Note A:</t>
  </si>
  <si>
    <t>Lines 1-7 are the FERC interest rate under section 35.19(a) of the regulations for the period shown.</t>
  </si>
  <si>
    <t>Line 8 is the average of lines 1-7.</t>
  </si>
  <si>
    <t>L</t>
  </si>
  <si>
    <t>Date Payments Received</t>
  </si>
  <si>
    <t>Rate (line 8)</t>
  </si>
  <si>
    <t>11a</t>
  </si>
  <si>
    <t>11b</t>
  </si>
  <si>
    <t>11c</t>
  </si>
  <si>
    <t xml:space="preserve">Interest is calculated by taking the interest rate in line 8 and applying it monthly to the balances in Column C-N (i.e., for January 12/12* Column O, February 11/12* Column O, etc.) </t>
  </si>
  <si>
    <t xml:space="preserve">   plus the interest rate in line 8 times 1.5 times the sum of the balances for January through December.   Multiplying the monthly balances times the interest rate provides the interest in the year of the over or under collection and</t>
  </si>
  <si>
    <t xml:space="preserve">  adding the interest rate in line 8 times 1.5 times the sum of the the balances for January through December provides the interest for the balance of the 24 month period  </t>
  </si>
  <si>
    <t>Attachment 7</t>
  </si>
  <si>
    <t>PBOPs</t>
  </si>
  <si>
    <t>Calculation of PBOP Expenses</t>
  </si>
  <si>
    <t>SCMCN</t>
  </si>
  <si>
    <t>Affiliate</t>
  </si>
  <si>
    <t>Total PBOP expenses (Note A)</t>
  </si>
  <si>
    <t>Labor dollars (total labor from budget)</t>
  </si>
  <si>
    <t>Cost per labor dollar (line2 / line3)</t>
  </si>
  <si>
    <t>labor expensed (labor not capitalized) by SCMCN in current year, 354.28.b.</t>
  </si>
  <si>
    <t>PBOP Expense for current year</t>
  </si>
  <si>
    <t xml:space="preserve">Lines 2-3 cannot change absent approval or acceptance by FERC in a separate proceeding. </t>
  </si>
  <si>
    <t>PBOP amount included in Company's O&amp;M and A&amp;G expenses included in FERC Account Nos. 500-935</t>
  </si>
  <si>
    <t xml:space="preserve">There will be zero PBOP expenses in the GridLiance High Plains rates until GridLiance High Plains files for recovery of its PBOP expenses.  Line 8 removes all GridLiance High Plains or affiliate BPOP expenses in FERC Accounts 500-935. </t>
  </si>
  <si>
    <t>Attachment 8</t>
  </si>
  <si>
    <t xml:space="preserve"> Financing Costs  for Long Term Debt using the Internal Rate of Return Methodology </t>
  </si>
  <si>
    <t>To be utilized until a project is placed in service</t>
  </si>
  <si>
    <t>Consistent with GAAP, the Origination Fees and Commitments Fees will be amortized using the standard Internal Rate of Return formula below.</t>
  </si>
  <si>
    <t>Each year, the amounts withdrawn, the interest paid in the year, Origination Fees, Commitments Fees, and total loan amount will be updated on this attachment.</t>
  </si>
  <si>
    <t>Table 1</t>
  </si>
  <si>
    <t xml:space="preserve">Total Loan Amount </t>
  </si>
  <si>
    <t>Table 2</t>
  </si>
  <si>
    <t>Internal Rate of Return (Note 1)</t>
  </si>
  <si>
    <r>
      <t>Based on following Financial Formula (Note 2)</t>
    </r>
    <r>
      <rPr>
        <b/>
        <sz val="10"/>
        <rFont val="Times New Roman"/>
        <family val="1"/>
      </rPr>
      <t>:</t>
    </r>
  </si>
  <si>
    <t xml:space="preserve">NPV = 0 = </t>
  </si>
  <si>
    <t>Table 3</t>
  </si>
  <si>
    <t>Origination Fees</t>
  </si>
  <si>
    <t>Rates/Fees</t>
  </si>
  <si>
    <t>Underwriting Discount</t>
  </si>
  <si>
    <t>Arrangement Fee</t>
  </si>
  <si>
    <t>Upfront Fee</t>
  </si>
  <si>
    <t>Rating Agency Fee</t>
  </si>
  <si>
    <t>Legal Fees</t>
  </si>
  <si>
    <t xml:space="preserve">   Total Issuance Expense</t>
  </si>
  <si>
    <t>Annual Rating Agency Fee</t>
  </si>
  <si>
    <t>Annual Bank Agency Fee</t>
  </si>
  <si>
    <t>Revolving Credit Commitment Fee</t>
  </si>
  <si>
    <t>21a</t>
  </si>
  <si>
    <t>Table 4</t>
  </si>
  <si>
    <t>LIBOR Rate</t>
  </si>
  <si>
    <t>Spread</t>
  </si>
  <si>
    <t>Interest Rate</t>
  </si>
  <si>
    <t>Table 5</t>
  </si>
  <si>
    <t>(A)</t>
  </si>
  <si>
    <t>(B)</t>
  </si>
  <si>
    <t>( C)</t>
  </si>
  <si>
    <t>(D)</t>
  </si>
  <si>
    <t>(E)</t>
  </si>
  <si>
    <t>(F)</t>
  </si>
  <si>
    <t>(G)</t>
  </si>
  <si>
    <t>(H)</t>
  </si>
  <si>
    <t>(I)</t>
  </si>
  <si>
    <t>Quarterly Construction Expenditures       ( $000's)</t>
  </si>
  <si>
    <t>Principle Drawn In Quarter ($000's)</t>
  </si>
  <si>
    <t>Principle Drawn To Date ($000's)</t>
  </si>
  <si>
    <t>Interest &amp; Principal Payments ($000's)</t>
  </si>
  <si>
    <t>Origination Fees ($000's)</t>
  </si>
  <si>
    <t>Commitment, Utilization &amp; Ratings Fees ($000's)</t>
  </si>
  <si>
    <t>Net Cash Flows ($000's)</t>
  </si>
  <si>
    <t>Estimated</t>
  </si>
  <si>
    <t>Cumulative Col. D</t>
  </si>
  <si>
    <t>Interest Rate from Line 25 (Note 3)</t>
  </si>
  <si>
    <t>Input in first Qtr of Loan</t>
  </si>
  <si>
    <t>Lines 17 - 21x</t>
  </si>
  <si>
    <t>(D-F-G-H)</t>
  </si>
  <si>
    <t>Notes</t>
  </si>
  <si>
    <t>2.  The IRR is a discount rate that makes the net present value of a series of cash flows equal to zero.  The IRR equation is shown on line 6.</t>
  </si>
  <si>
    <t xml:space="preserve">   N is the last quarter the loan would be outstanding</t>
  </si>
  <si>
    <t xml:space="preserve">   t is each quarter</t>
  </si>
  <si>
    <t xml:space="preserve">   Ct is the cash flow (Table 5, Col. I in each quarter)</t>
  </si>
  <si>
    <t xml:space="preserve">   Alternatively the equation can be written as 0 = C0 + C1/(1+IRR) + C2/(1+IRR)2 + C3/(1+IRR)3 + . . . +Cn/(1+IRR)n and solved for IRR</t>
  </si>
  <si>
    <t xml:space="preserve">   The Excel ™ formula on line 2 is :  (round(XIRR(first quarter of loan Col A of Table 5:last quarter of loan Col A of Table 5, first quarter of loan Col I of Table 5: last quarter of loan Col I of Table 5, 8%),4)</t>
  </si>
  <si>
    <t xml:space="preserve">   The 8% in the above formula is a seed number to ensure the formula produces a positive number.</t>
  </si>
  <si>
    <t>3.  Line 1 reflects the loan amount, the maximum amount that can be drawn on</t>
  </si>
  <si>
    <t xml:space="preserve">4.  Lines 11-21a include the fees associated with the loan.  They are estimated based on current bank condition and are updated with the actual fees </t>
  </si>
  <si>
    <t xml:space="preserve">   once the actual fees are known.</t>
  </si>
  <si>
    <t xml:space="preserve">5.  The estimate of the average 3 month Libor forward rate for the year on line 23 is that published by Bloomberg Finance L.P. during August of the prior year and is trued-up to actual </t>
  </si>
  <si>
    <t xml:space="preserve">     average 3 month Libor rate for the year under the loan.  </t>
  </si>
  <si>
    <t xml:space="preserve">6.  Table 5, Col. C reflect the capital expenditures in each quarter </t>
  </si>
  <si>
    <t xml:space="preserve">7.  Table 5, Col. D reflect the amount of the loan that is drawn down in the quarter </t>
  </si>
  <si>
    <t>8.  Table 5, Col. E is the amount of principle drawn down</t>
  </si>
  <si>
    <t>9. Table 5, Col F calculates the interest on the principle drawn down to date based on the applicable interest on line 25</t>
  </si>
  <si>
    <t xml:space="preserve">10.  Table 5, Col. G is the total origination fees in line 16 and is input in the first quarter that a portion of the loan in drawn </t>
  </si>
  <si>
    <t>11.  Table 5, Col. H is calculated as follows:</t>
  </si>
  <si>
    <t>A x (line 21, Col. (b)/4) + sum of line 17, Col. (c) through line 21x, Col. (c)</t>
  </si>
  <si>
    <t>Where A =</t>
  </si>
  <si>
    <t>Loan amount in line 1 less the amount drawn down (Table 5, Col. (E)) in the prior quarter</t>
  </si>
  <si>
    <t xml:space="preserve">12.  The inputs shall be estimated based on the current market conditions and is subject to true up for all inputs , e.g., fees, interest rates, spread, and Table 3 once the </t>
  </si>
  <si>
    <t xml:space="preserve">  amounts are known</t>
  </si>
  <si>
    <t>13.  Prior to obtaining long term debt, the cost of debt, will be 1.99%.  If GridLiance High Plains obtains project financing, the long term debt rate will be determined using the methodology in Attachment 8 and Attachment 8 contains a hypothetical example of the internal rate of return methodology; the methodology will be applied to actual amounts for use in Attachment H.  Once there is $100 million in rate base, GridLiance High Plains will use the its actual cost of long term debt determined in Attachment 5.    The capital structure will be 60% equity and 40% debt during the construction period, after any asset is placed in service, it will be based on the actual capital structure.</t>
  </si>
  <si>
    <t>Attachment 9</t>
  </si>
  <si>
    <t>Page 1 of 3</t>
  </si>
  <si>
    <t>Hypothetical Example of Final True-Up of Interest Rates and Interest Calculations for the Construction Loan</t>
  </si>
  <si>
    <t>SUMMARY</t>
  </si>
  <si>
    <t>YEAR</t>
  </si>
  <si>
    <t>Cost of Debt Used in Determining the Actual Net Revenue Requirement in Attachment H, page 4, line 20</t>
  </si>
  <si>
    <t>Cost of Debt for the Construction Loan Calculated on Attachment 8 Once the Loan is Paid Off:</t>
  </si>
  <si>
    <t>Actual Net Revenue Requirement in Attachment 3, col. (G) for the year</t>
  </si>
  <si>
    <t>Actual Net Revenue Requirement if the Cost of Debt in Col. (c) had been Used</t>
  </si>
  <si>
    <t>Over (Under) Recovery             Col. (d) less Col. (e)</t>
  </si>
  <si>
    <t>Refund/Surcharge Interest Rate Calculated on Attachment 6 for the Rate Year</t>
  </si>
  <si>
    <t>Total Amount of Construction Loan Related True-Up with Interest (Refund)/Owed (Total Amount of True-Up Adjustment below for the Rate Year)</t>
  </si>
  <si>
    <t>The Hypothetical Example:</t>
  </si>
  <si>
    <t>*  Assumes that the construction loan is retired on Sept 1, 2020</t>
  </si>
  <si>
    <t>**  Assumes permanent debt structure is put in place on Sept 1, 2020 with effective rate of 6.5%</t>
  </si>
  <si>
    <t xml:space="preserve"> Calculation of Applicable Interest Expense for each ATRR period </t>
  </si>
  <si>
    <t>Interest Rate on Amount of Refunds or Surcharges from 35.19a</t>
  </si>
  <si>
    <t>Over (Under) Recovery</t>
  </si>
  <si>
    <t>Hypothetical Monthly Interest Rate</t>
  </si>
  <si>
    <t>Months</t>
  </si>
  <si>
    <t xml:space="preserve"> Calculated Interest </t>
  </si>
  <si>
    <t>Amortization</t>
  </si>
  <si>
    <t>Surcharge (Refund) Owed</t>
  </si>
  <si>
    <t>From Column (g)</t>
  </si>
  <si>
    <t xml:space="preserve"> Column (f) above Divided by the</t>
  </si>
  <si>
    <t xml:space="preserve">Above for the </t>
  </si>
  <si>
    <t>Col (c) x Col (d) x</t>
  </si>
  <si>
    <t xml:space="preserve">   </t>
  </si>
  <si>
    <t>Number of Months the Rate was in Effect</t>
  </si>
  <si>
    <t>Rate Year</t>
  </si>
  <si>
    <t>Weighting</t>
  </si>
  <si>
    <t>Col (e) x -1</t>
  </si>
  <si>
    <t>Calculation of Interest for 2015 True-Up Period</t>
  </si>
  <si>
    <t>Monthly</t>
  </si>
  <si>
    <t>Year 2015</t>
  </si>
  <si>
    <t xml:space="preserve"> -   </t>
  </si>
  <si>
    <t xml:space="preserve"> Annual </t>
  </si>
  <si>
    <t>January  through December</t>
  </si>
  <si>
    <t>Year 2016</t>
  </si>
  <si>
    <t>Year 2017</t>
  </si>
  <si>
    <t>Year 2018</t>
  </si>
  <si>
    <t>Year 2019</t>
  </si>
  <si>
    <t>Year 2020</t>
  </si>
  <si>
    <t>Over (Under) Recovery Plus Interest Amortized and Recovered Over 12 Months</t>
  </si>
  <si>
    <t xml:space="preserve"> Monthly </t>
  </si>
  <si>
    <t>Year 2021</t>
  </si>
  <si>
    <t>Total Amount of True-Up Adjustment for 2015 ATRR</t>
  </si>
  <si>
    <t>(Sum lines 48-59, column f plus line 60, column l)</t>
  </si>
  <si>
    <t>Less Over (Under) Recovery</t>
  </si>
  <si>
    <t>(Line 1, Column f)</t>
  </si>
  <si>
    <t>Total Interest</t>
  </si>
  <si>
    <t>(Line 62 + line 63)</t>
  </si>
  <si>
    <t>Page 2 of 3</t>
  </si>
  <si>
    <t>Attachment 9 - Hypothetical Example of Final True-Up of Interest Rates and Interest Calculations for the Construction Loan</t>
  </si>
  <si>
    <t>Calculation of Interest for 2016 True-Up Period</t>
  </si>
  <si>
    <t>Total Amount of True-Up Adjustment for 2016 ATRR</t>
  </si>
  <si>
    <t>(Sum lines 97-108, column f plus line 109, column l)</t>
  </si>
  <si>
    <t>(Line 2, Column f)</t>
  </si>
  <si>
    <t>(Line 111 + line 112)</t>
  </si>
  <si>
    <t>Calculation of Interest for 2017 True-Up Period</t>
  </si>
  <si>
    <t>Total Amount of True-Up Adjustment for 2017 ATRR</t>
  </si>
  <si>
    <t>(Sum lines 141 - 152, column f plus line 153, column l)</t>
  </si>
  <si>
    <t>(Line 3, Column f)</t>
  </si>
  <si>
    <t>(Line 155 + line 156)</t>
  </si>
  <si>
    <t>Page 3 of 3</t>
  </si>
  <si>
    <t>Calculation of Interest for 2018 True-Up Period</t>
  </si>
  <si>
    <t>Total Amount of True-Up Adjustment for 2018 ATRR</t>
  </si>
  <si>
    <t>(Sum lines 188 -199 column f plus line 200, column l)</t>
  </si>
  <si>
    <t>(Line 4, Column f)</t>
  </si>
  <si>
    <t>(Line 202 + line 203)</t>
  </si>
  <si>
    <t>Calculation of Interest for 2019 True-Up Period</t>
  </si>
  <si>
    <t>Total Amount of True-Up Adjustment for 2019 ATRR</t>
  </si>
  <si>
    <t>(Sum lines 230 - 241, column f plus line 242, column l)</t>
  </si>
  <si>
    <t>(Line 5, Column f)</t>
  </si>
  <si>
    <t>(Line 244 + line 245)</t>
  </si>
  <si>
    <t>Attachment 10</t>
  </si>
  <si>
    <t>Depreciation Rates</t>
  </si>
  <si>
    <t>FERC ACCOUNT</t>
  </si>
  <si>
    <t>DESCRIPTION</t>
  </si>
  <si>
    <t>RATE PERCENT</t>
  </si>
  <si>
    <t>TRANSMISSION</t>
  </si>
  <si>
    <t>Land Rights</t>
  </si>
  <si>
    <t>N/A</t>
  </si>
  <si>
    <t>Structures and Improvements</t>
  </si>
  <si>
    <t>Station Equipment</t>
  </si>
  <si>
    <t>Towers and Fixtures</t>
  </si>
  <si>
    <t>Poles and Fixtures</t>
  </si>
  <si>
    <t>Overhead Conductors &amp; Devices</t>
  </si>
  <si>
    <t>Underground Conduit</t>
  </si>
  <si>
    <t>Underground Conductors &amp; Devices</t>
  </si>
  <si>
    <t>Roads and Trails</t>
  </si>
  <si>
    <t>GENERAL AND INTANGIBLE</t>
  </si>
  <si>
    <t>Franchises and Consents (Note 1)</t>
  </si>
  <si>
    <t>Intangible Plant - 5 Year</t>
  </si>
  <si>
    <t>Office Furniture and Equipment</t>
  </si>
  <si>
    <t>Network Equipment</t>
  </si>
  <si>
    <t>Transportation Equipment - Auto</t>
  </si>
  <si>
    <t>Transportation Equipment - Light Truck</t>
  </si>
  <si>
    <t>Transportation Equipment - Trailers</t>
  </si>
  <si>
    <t>Transportation Equipment - Heavy Trucks</t>
  </si>
  <si>
    <t>Stores Equipment</t>
  </si>
  <si>
    <t>Tools, Shop and Garage Equipment</t>
  </si>
  <si>
    <t>Laboratory Equipment</t>
  </si>
  <si>
    <t>Power Operated Equipment</t>
  </si>
  <si>
    <t>Communication Equipment</t>
  </si>
  <si>
    <t>Miscellaneous Equipment</t>
  </si>
  <si>
    <t>Note 1:</t>
  </si>
  <si>
    <t xml:space="preserve">Electric Intangible Franchises and Transmission Land Rights are amortized </t>
  </si>
  <si>
    <t xml:space="preserve">   over the life of the franchise agreement or land right.</t>
  </si>
  <si>
    <t xml:space="preserve">Note 2: </t>
  </si>
  <si>
    <t xml:space="preserve">GridLiance High Plains depreciation and amortization rates may not be changed absent a section </t>
  </si>
  <si>
    <t>205 or 206 filing</t>
  </si>
  <si>
    <t>Page 1 of 6</t>
  </si>
  <si>
    <t>Attachment 11</t>
  </si>
  <si>
    <t>Wholesale Distribution Service</t>
  </si>
  <si>
    <t>Pages 1-2 are to be filed out if the facilities providing Wholesale Distribution Service are booked to transmission.  If the facilities are booked to Distribution, see pages 3-6</t>
  </si>
  <si>
    <t xml:space="preserve">The Wholesale Distribution Revenue Requirement is projected using either pages 1-2 or 3-6. The same pages are populated with actual data and the difference with interest is calculated on Attachment 12 </t>
  </si>
  <si>
    <t>Notes A-H refer to the notes at the bottom of page 2 of 6 of this Attachment</t>
  </si>
  <si>
    <t>Notes are on Page 2</t>
  </si>
  <si>
    <t>Page 2 of 6</t>
  </si>
  <si>
    <t>Annual Allocation Factor for Expense, Page 1 line 11</t>
  </si>
  <si>
    <t>Project Net Plant     (Note G)</t>
  </si>
  <si>
    <t>Project Depreciation/Amortization Expense   (Notes F &amp; G)</t>
  </si>
  <si>
    <t xml:space="preserve">Annual Revenue Requirement </t>
  </si>
  <si>
    <t>Use %   (Note H)</t>
  </si>
  <si>
    <t>Total Annual Revenue Requirement  (Col. 9 *10)</t>
  </si>
  <si>
    <t>(Note B and C)</t>
  </si>
  <si>
    <t>(Col. 2 * Col. 3)</t>
  </si>
  <si>
    <t>(Col. 5 * Col. 6)</t>
  </si>
  <si>
    <t>(Sum Col. 4, 7 &amp; 8)</t>
  </si>
  <si>
    <t>(Sum Col. 9 &amp; 10)</t>
  </si>
  <si>
    <t>Inclusive of any CWIP included in rate base when authorized by FERC order less any prefunded AFUDC, if applicable.</t>
  </si>
  <si>
    <t>Project Net Plant is the Project Gross Plant Identified in Column 2 less the associated Accumulated Depreciation.  Net Plant includes CWIP and Unamortized Abandoned Plant and excludes any regulatory asset, which are to entered as a separate line item.</t>
  </si>
  <si>
    <t>The Use % is the customers NCP load divided by all of the NCP loads on the facilities</t>
  </si>
  <si>
    <t>If a portion of the projects revenue requirement is assessed to more than one customer, the project will be entered in a row for each customer seperately, such that the total of the revenue requirements for each customer equals the revenue requirement for that project.</t>
  </si>
  <si>
    <t>Page 3 of 6</t>
  </si>
  <si>
    <t>Annual Allocation Factor for Expense, Page 6 line 18</t>
  </si>
  <si>
    <t>Annual Allocation Factor for Return, Page 6 line 19</t>
  </si>
  <si>
    <t>Annual Revenue Requirement (Col.  4, 7 &amp; 8)</t>
  </si>
  <si>
    <t>Use % (Note A)</t>
  </si>
  <si>
    <t>a</t>
  </si>
  <si>
    <t>Example 1</t>
  </si>
  <si>
    <t>b</t>
  </si>
  <si>
    <t>c</t>
  </si>
  <si>
    <t>d</t>
  </si>
  <si>
    <t>z</t>
  </si>
  <si>
    <t>Annual True-up Adjustment (Attachment 12, Line 4 Total)</t>
  </si>
  <si>
    <t>Total Revenue Requirement</t>
  </si>
  <si>
    <t>Note A    The Use % is the customers NCP load divided by all of the NCP loads on the facilities</t>
  </si>
  <si>
    <t>Page 4 of 6</t>
  </si>
  <si>
    <t>Distribution</t>
  </si>
  <si>
    <t>The allocators are shown on</t>
  </si>
  <si>
    <t xml:space="preserve"> Pages 4 and 6     (DA equals 1)</t>
  </si>
  <si>
    <t xml:space="preserve">GROSS PLANT IN SERVICE  </t>
  </si>
  <si>
    <t>(Page 6, Line 33, Col. (b)</t>
  </si>
  <si>
    <t xml:space="preserve">ACCUMULATED DEPRECIATION </t>
  </si>
  <si>
    <t>(Page 6, Line 33, Col. (c)</t>
  </si>
  <si>
    <t xml:space="preserve">ADJUSTMENTS TO RATE BASE  </t>
  </si>
  <si>
    <t>(Page 6, Line 36, Col. (h)</t>
  </si>
  <si>
    <t xml:space="preserve">DISTRIBUTION LAND HELD FOR FUTURE USE  </t>
  </si>
  <si>
    <t>(Page 6, Line 33, Col. (d)</t>
  </si>
  <si>
    <t>1/8*(Page 5, Line 8)</t>
  </si>
  <si>
    <t xml:space="preserve">  Distribution Materials &amp; Supplies</t>
  </si>
  <si>
    <t>(Page 6, Line 33, Col. (e)</t>
  </si>
  <si>
    <t>Page 5 of 6</t>
  </si>
  <si>
    <t xml:space="preserve">  Distribution</t>
  </si>
  <si>
    <t>322.156.b</t>
  </si>
  <si>
    <t>(Sum of Lines 1, 2, 6, 7, less Lines 3, 4, 5)</t>
  </si>
  <si>
    <t xml:space="preserve">DEPRECIATION EXPENSE  </t>
  </si>
  <si>
    <t xml:space="preserve">336.8.b, d &amp;e </t>
  </si>
  <si>
    <t>DP</t>
  </si>
  <si>
    <t>(Sum of Lines 10 through 12)</t>
  </si>
  <si>
    <t>(Sum of Lines 16 through 22)</t>
  </si>
  <si>
    <t>Attachment H, Page 3, Line 34</t>
  </si>
  <si>
    <t xml:space="preserve">(Line 25/(1-Line 25) times (Page 6 Lines 15 + 16)* Page 2 Line 37) </t>
  </si>
  <si>
    <t>(Line 29 times Line 30)</t>
  </si>
  <si>
    <t>(Line 29 times Line 31)</t>
  </si>
  <si>
    <t>(Line 29 times Line 32)</t>
  </si>
  <si>
    <t>(Sum of Lines 33 through 36)</t>
  </si>
  <si>
    <t>(Page 4, Line 37 times Page 6, Line 17, Col. 5)</t>
  </si>
  <si>
    <t>(Sum of Lines 8, 13, 23, 34 &amp; 36)</t>
  </si>
  <si>
    <t>Page 6 of 6</t>
  </si>
  <si>
    <t>Alloc</t>
  </si>
  <si>
    <t>(Sum of Lines 2 through 5)</t>
  </si>
  <si>
    <t xml:space="preserve">COMMON PLANT ALLOCATOR  (CE)  </t>
  </si>
  <si>
    <t>(line 7 / line 10)</t>
  </si>
  <si>
    <t>(line 6)</t>
  </si>
  <si>
    <t xml:space="preserve">  Water </t>
  </si>
  <si>
    <t>(Sum of Lines 7 through 9)</t>
  </si>
  <si>
    <t>(Sum of Lines 14 through 16)</t>
  </si>
  <si>
    <t>Gross Plant</t>
  </si>
  <si>
    <t>Allocation Factor</t>
  </si>
  <si>
    <t>Page 5 lines 8 and 23, col 5</t>
  </si>
  <si>
    <t>Amount / Gross Plant</t>
  </si>
  <si>
    <t>Net Plant</t>
  </si>
  <si>
    <t>Page 5 lines 37 and 39, col 5</t>
  </si>
  <si>
    <t>Accumulated</t>
  </si>
  <si>
    <t>Depreciation</t>
  </si>
  <si>
    <t>219.26.b for end of year, records for other months</t>
  </si>
  <si>
    <t>227.9.c for end of year, records for other months</t>
  </si>
  <si>
    <t>Unfunded Reserves    (Notes A &amp; B)</t>
  </si>
  <si>
    <t>35a</t>
  </si>
  <si>
    <t>35b</t>
  </si>
  <si>
    <t>35c</t>
  </si>
  <si>
    <t>Calculate using 13 month average balance, except ADIT which is calculated based on the average of the beginning of the year and the end of the year balances</t>
  </si>
  <si>
    <t>Attachment 12</t>
  </si>
  <si>
    <t>Wholesale Distribution Project True-Up</t>
  </si>
  <si>
    <t>1) From Attachment 11, page 2, line 15, col. 11 and Attachment 11a, page 3, col. 11 for the projection for the Rate Year.</t>
  </si>
  <si>
    <t>2) From Attachment 11, page 2, line 15, col. 11 and Attachment 11a, page 3, col. 11 for that project based on the actual costs for the Rate Year.</t>
  </si>
  <si>
    <t>3) The "Revenue Received" on line 2, Col. (E), is the total amount of revenue distributed to company for Wholesale Distribution service. The Revenue Received is input on line 2, Col. E excludes any True-Up revenues.</t>
  </si>
  <si>
    <t>Construction Loan True-up (Note C)</t>
  </si>
  <si>
    <t>For each project or Attachment 11 or 11a, the utility will populate the formula rate with the inputs for the True-Up Year.  The revenue requirements, based on actual operating results for the True-Up Year, associated with the projects and Attachment H will then be entered in Col. (F) above.  Column (E) above contains the actual revenues received associated with Attachment 11 and 11a and any Wholesale Distribution service paid by SPP to the utility during the True-Up Year.   Then in Col. (G), Col. (E) is subtracted from Col. (F) to calculate the True-up Adjustment.  The Prior Period Adjustment from Line 5 below is input in Col. (H).  Column (I) is the applicable interest rate from Attachment 6.  Column (I) adds the interest on the sum of Col.(G) and  (H).  Col. (J) is the sum of Col. (G), (H), and (I).</t>
  </si>
  <si>
    <t>For the 12 months ended 12/31/2020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</si>
</sst>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_(* #,##0_);_(* \(#,##0\);_(* &quot;-&quot;??_);_(@_)"/>
    <numFmt numFmtId="166" formatCode="0.00000"/>
    <numFmt numFmtId="167" formatCode="0.0%"/>
    <numFmt numFmtId="168" formatCode="#,##0.000"/>
    <numFmt numFmtId="169" formatCode="&quot;$&quot;#,##0.000"/>
    <numFmt numFmtId="170" formatCode="0.0000"/>
    <numFmt numFmtId="171" formatCode="#,##0.00000"/>
    <numFmt numFmtId="172" formatCode="0.000%"/>
    <numFmt numFmtId="173" formatCode="_(* #,##0.00000_);_(* \(#,##0.00000\);_(* &quot;-&quot;??_);_(@_)"/>
    <numFmt numFmtId="174" formatCode="#,##0.0"/>
    <numFmt numFmtId="175" formatCode="_(* #,##0.0000_);_(* \(#,##0.0000\);_(* &quot;-&quot;??_);_(@_)"/>
    <numFmt numFmtId="176" formatCode="#,##0.0000"/>
    <numFmt numFmtId="177" formatCode="_(* #,##0.0_);_(* \(#,##0.0\);_(* &quot;-&quot;??_);_(@_)"/>
    <numFmt numFmtId="178" formatCode="&quot;$&quot;#,##0"/>
    <numFmt numFmtId="179" formatCode="_(* #,##0.0000000_);_(* \(#,##0.0000000\);_(* &quot;-&quot;??_);_(@_)"/>
    <numFmt numFmtId="180" formatCode="_(* #,##0.000000_);_(* \(#,##0.000000\);_(* &quot;-&quot;??_);_(@_)"/>
    <numFmt numFmtId="181" formatCode="0_);\(0\)"/>
    <numFmt numFmtId="182" formatCode="_(&quot;$&quot;* #,##0_);_(&quot;$&quot;* \(#,##0\);_(&quot;$&quot;* &quot;-&quot;??_);_(@_)"/>
    <numFmt numFmtId="183" formatCode="_(* #,##0.000_);_(* \(#,##0.000\);_(* &quot;-&quot;??_);_(@_)"/>
    <numFmt numFmtId="184" formatCode="0.0000%"/>
    <numFmt numFmtId="185" formatCode="0.000000000000000%"/>
    <numFmt numFmtId="186" formatCode="0.00000%"/>
    <numFmt numFmtId="187" formatCode="0.00000000000000%"/>
    <numFmt numFmtId="188" formatCode="_(* #,##0.00000_);_(* \(#,##0.00000\);_(* &quot;-&quot;?????_);_(@_)"/>
    <numFmt numFmtId="189" formatCode="&quot;$&quot;#,##0.0000"/>
    <numFmt numFmtId="190" formatCode="_(&quot;$&quot;* #,##0.0000_);_(&quot;$&quot;* \(#,##0.0000\);_(&quot;$&quot;* &quot;-&quot;??_);_(@_)"/>
  </numFmts>
  <fonts count="44">
    <font>
      <sz val="12"/>
      <name val="Arial MT"/>
    </font>
    <font>
      <sz val="11"/>
      <color theme="1"/>
      <name val="Calibri"/>
      <family val="2"/>
      <scheme val="minor"/>
    </font>
    <font>
      <sz val="10"/>
      <name val="Arial"/>
      <family val="2"/>
    </font>
    <font>
      <sz val="10"/>
      <name val="Times New Roman"/>
      <family val="1"/>
    </font>
    <font>
      <sz val="12"/>
      <name val="Arial MT"/>
    </font>
    <font>
      <b/>
      <i/>
      <strike/>
      <sz val="10"/>
      <name val="Times New Roman"/>
      <family val="1"/>
    </font>
    <font>
      <b/>
      <u/>
      <sz val="10"/>
      <name val="Times New Roman"/>
      <family val="1"/>
    </font>
    <font>
      <strike/>
      <sz val="10"/>
      <name val="Times New Roman"/>
      <family val="1"/>
    </font>
    <font>
      <b/>
      <sz val="10"/>
      <name val="Times New Roman"/>
      <family val="1"/>
    </font>
    <font>
      <sz val="10"/>
      <color indexed="40"/>
      <name val="Times New Roman"/>
      <family val="1"/>
    </font>
    <font>
      <sz val="12"/>
      <name val="Arial"/>
      <family val="2"/>
    </font>
    <font>
      <sz val="10"/>
      <color indexed="10"/>
      <name val="Times New Roman"/>
      <family val="1"/>
    </font>
    <font>
      <strike/>
      <sz val="10"/>
      <color indexed="10"/>
      <name val="Times New Roman"/>
      <family val="1"/>
    </font>
    <font>
      <sz val="11"/>
      <name val="Calibri"/>
      <family val="2"/>
    </font>
    <font>
      <sz val="10"/>
      <color indexed="17"/>
      <name val="Times New Roman"/>
      <family val="1"/>
    </font>
    <font>
      <sz val="10"/>
      <color indexed="8"/>
      <name val="Times New Roman"/>
      <family val="1"/>
    </font>
    <font>
      <sz val="10"/>
      <color rgb="FFFF0000"/>
      <name val="Times New Roman"/>
      <family val="1"/>
    </font>
    <font>
      <sz val="12"/>
      <name val="Times New Roman"/>
      <family val="1"/>
    </font>
    <font>
      <sz val="10"/>
      <name val="Arial Narrow"/>
      <family val="2"/>
    </font>
    <font>
      <vertAlign val="superscript"/>
      <sz val="10"/>
      <color theme="1"/>
      <name val="Times New Roman"/>
      <family val="1"/>
    </font>
    <font>
      <vertAlign val="superscript"/>
      <sz val="10"/>
      <name val="Times New Roman"/>
      <family val="1"/>
    </font>
    <font>
      <strike/>
      <sz val="10"/>
      <color indexed="12"/>
      <name val="Times New Roman"/>
      <family val="1"/>
    </font>
    <font>
      <b/>
      <sz val="10"/>
      <color rgb="FF000000"/>
      <name val="Times New Roman"/>
      <family val="1"/>
    </font>
    <font>
      <sz val="10"/>
      <color rgb="FF000000"/>
      <name val="Times New Roman"/>
      <family val="1"/>
    </font>
    <font>
      <sz val="12"/>
      <name val="Arial Narrow"/>
      <family val="2"/>
    </font>
    <font>
      <b/>
      <sz val="10"/>
      <color rgb="FFFF0000"/>
      <name val="Arial Narrow"/>
      <family val="2"/>
    </font>
    <font>
      <b/>
      <sz val="10"/>
      <name val="Arial Narrow"/>
      <family val="2"/>
    </font>
    <font>
      <b/>
      <sz val="10"/>
      <color rgb="FFFF0000"/>
      <name val="Times New Roman"/>
      <family val="1"/>
    </font>
    <font>
      <u/>
      <sz val="12"/>
      <name val="Arial"/>
      <family val="2"/>
    </font>
    <font>
      <b/>
      <sz val="12"/>
      <name val="Arial"/>
      <family val="2"/>
    </font>
    <font>
      <sz val="12"/>
      <color indexed="10"/>
      <name val="Arial MT"/>
    </font>
    <font>
      <b/>
      <u/>
      <sz val="10"/>
      <name val="Arial"/>
      <family val="2"/>
    </font>
    <font>
      <b/>
      <sz val="11"/>
      <name val="Arial"/>
      <family val="2"/>
    </font>
    <font>
      <sz val="11"/>
      <name val="Times New Roman"/>
      <family val="1"/>
    </font>
    <font>
      <b/>
      <sz val="10"/>
      <name val="Arial"/>
      <family val="2"/>
    </font>
    <font>
      <b/>
      <sz val="10"/>
      <color indexed="12"/>
      <name val="Times New Roman"/>
      <family val="1"/>
    </font>
    <font>
      <sz val="10"/>
      <color indexed="56"/>
      <name val="Times New Roman"/>
      <family val="1"/>
    </font>
    <font>
      <b/>
      <i/>
      <sz val="10"/>
      <name val="Times New Roman"/>
      <family val="1"/>
    </font>
    <font>
      <b/>
      <i/>
      <sz val="10"/>
      <color indexed="10"/>
      <name val="Times New Roman"/>
      <family val="1"/>
    </font>
    <font>
      <u val="singleAccounting"/>
      <sz val="10"/>
      <name val="Times New Roman"/>
      <family val="1"/>
    </font>
    <font>
      <sz val="9"/>
      <name val="Helv"/>
    </font>
    <font>
      <u/>
      <sz val="11"/>
      <name val="Garamond"/>
      <family val="1"/>
    </font>
    <font>
      <sz val="11"/>
      <name val="Garamond"/>
      <family val="1"/>
    </font>
    <font>
      <b/>
      <sz val="11"/>
      <name val="Garamond"/>
      <family val="1"/>
    </font>
  </fonts>
  <fills count="13">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C000"/>
        <bgColor indexed="64"/>
      </patternFill>
    </fill>
    <fill>
      <patternFill patternType="solid">
        <fgColor rgb="FFFF00FF"/>
        <bgColor indexed="64"/>
      </patternFill>
    </fill>
    <fill>
      <patternFill patternType="solid">
        <fgColor theme="0"/>
        <bgColor indexed="64"/>
      </patternFill>
    </fill>
    <fill>
      <patternFill patternType="solid">
        <fgColor theme="1"/>
        <bgColor indexed="64"/>
      </patternFill>
    </fill>
    <fill>
      <patternFill patternType="solid">
        <fgColor rgb="FFFFFFCC"/>
        <bgColor rgb="FF000000"/>
      </patternFill>
    </fill>
    <fill>
      <patternFill patternType="solid">
        <fgColor theme="0"/>
        <bgColor rgb="FF000000"/>
      </patternFill>
    </fill>
    <fill>
      <patternFill patternType="solid">
        <fgColor rgb="FFFFFFFF"/>
        <bgColor rgb="FF000000"/>
      </patternFill>
    </fill>
    <fill>
      <patternFill patternType="solid">
        <fgColor rgb="FFFFFF99"/>
        <bgColor rgb="FF000000"/>
      </patternFill>
    </fill>
    <fill>
      <patternFill patternType="solid">
        <fgColor indexed="42"/>
        <bgColor indexed="64"/>
      </patternFill>
    </fill>
  </fills>
  <borders count="45">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7">
    <xf numFmtId="164" fontId="0" fillId="0" borderId="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164" fontId="4" fillId="0" borderId="0" applyProtection="0"/>
    <xf numFmtId="164" fontId="4" fillId="0" borderId="0" applyProtection="0"/>
    <xf numFmtId="0" fontId="4" fillId="0" borderId="0" applyProtection="0"/>
    <xf numFmtId="164" fontId="4" fillId="0" borderId="0" applyProtection="0"/>
    <xf numFmtId="164" fontId="4" fillId="0" borderId="0" applyProtection="0"/>
    <xf numFmtId="0" fontId="2" fillId="0" borderId="0"/>
    <xf numFmtId="0" fontId="2" fillId="0" borderId="0"/>
    <xf numFmtId="0" fontId="2" fillId="0" borderId="0"/>
    <xf numFmtId="164" fontId="4" fillId="0" borderId="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1" fontId="2" fillId="0" borderId="0" applyFont="0" applyFill="0" applyBorder="0" applyAlignment="0" applyProtection="0"/>
    <xf numFmtId="0" fontId="2" fillId="0" borderId="0"/>
    <xf numFmtId="0" fontId="1" fillId="0" borderId="0"/>
    <xf numFmtId="0" fontId="33" fillId="0" borderId="0"/>
    <xf numFmtId="0" fontId="1" fillId="0" borderId="0"/>
    <xf numFmtId="44" fontId="2" fillId="0" borderId="0" applyFont="0" applyFill="0" applyBorder="0" applyAlignment="0" applyProtection="0"/>
    <xf numFmtId="43" fontId="4" fillId="0" borderId="0" applyFont="0" applyFill="0" applyBorder="0" applyAlignment="0" applyProtection="0"/>
    <xf numFmtId="7" fontId="40" fillId="0" borderId="0"/>
    <xf numFmtId="9" fontId="2" fillId="0" borderId="0" applyFont="0" applyFill="0" applyBorder="0" applyAlignment="0" applyProtection="0"/>
  </cellStyleXfs>
  <cellXfs count="936">
    <xf numFmtId="164" fontId="0" fillId="0" borderId="0" xfId="0"/>
    <xf numFmtId="0" fontId="3" fillId="0" borderId="0" xfId="4" applyFont="1"/>
    <xf numFmtId="0" fontId="3" fillId="0" borderId="0" xfId="4" applyFont="1" applyAlignment="1">
      <alignment horizontal="right"/>
    </xf>
    <xf numFmtId="164" fontId="3" fillId="0" borderId="0" xfId="0" applyFont="1"/>
    <xf numFmtId="164" fontId="3" fillId="0" borderId="0" xfId="5" applyFont="1"/>
    <xf numFmtId="0" fontId="3" fillId="0" borderId="0" xfId="5" applyNumberFormat="1" applyFont="1" applyProtection="1">
      <protection locked="0"/>
    </xf>
    <xf numFmtId="164" fontId="3" fillId="0" borderId="0" xfId="5" applyFont="1" applyProtection="1">
      <protection locked="0"/>
    </xf>
    <xf numFmtId="0" fontId="3" fillId="0" borderId="0" xfId="5" applyNumberFormat="1" applyFont="1" applyAlignment="1" applyProtection="1">
      <alignment horizontal="center"/>
      <protection locked="0"/>
    </xf>
    <xf numFmtId="0" fontId="3" fillId="2" borderId="0" xfId="4" applyFont="1" applyFill="1"/>
    <xf numFmtId="0" fontId="3" fillId="2" borderId="0" xfId="5" applyNumberFormat="1" applyFont="1" applyFill="1"/>
    <xf numFmtId="0" fontId="3" fillId="2" borderId="0" xfId="6" applyNumberFormat="1" applyFont="1" applyFill="1" applyAlignment="1">
      <alignment horizontal="right"/>
    </xf>
    <xf numFmtId="3" fontId="3" fillId="0" borderId="0" xfId="5" applyNumberFormat="1" applyFont="1"/>
    <xf numFmtId="3" fontId="3" fillId="0" borderId="0" xfId="5" applyNumberFormat="1" applyFont="1" applyAlignment="1">
      <alignment horizontal="center"/>
    </xf>
    <xf numFmtId="0" fontId="3" fillId="0" borderId="0" xfId="5" applyNumberFormat="1" applyFont="1"/>
    <xf numFmtId="0" fontId="5" fillId="0" borderId="0" xfId="5" applyNumberFormat="1" applyFont="1"/>
    <xf numFmtId="164" fontId="3" fillId="0" borderId="0" xfId="0" applyFont="1" applyAlignment="1">
      <alignment horizontal="center"/>
    </xf>
    <xf numFmtId="49" fontId="3" fillId="0" borderId="0" xfId="5" applyNumberFormat="1" applyFont="1"/>
    <xf numFmtId="49" fontId="3" fillId="0" borderId="0" xfId="5" applyNumberFormat="1" applyFont="1" applyAlignment="1">
      <alignment horizontal="center"/>
    </xf>
    <xf numFmtId="0" fontId="3" fillId="0" borderId="0" xfId="5" applyNumberFormat="1" applyFont="1" applyAlignment="1">
      <alignment horizontal="center"/>
    </xf>
    <xf numFmtId="0" fontId="3" fillId="0" borderId="1" xfId="5" applyNumberFormat="1" applyFont="1" applyBorder="1" applyAlignment="1" applyProtection="1">
      <alignment horizontal="center"/>
      <protection locked="0"/>
    </xf>
    <xf numFmtId="42" fontId="3" fillId="0" borderId="0" xfId="4" applyNumberFormat="1" applyFont="1" applyFill="1"/>
    <xf numFmtId="0" fontId="3" fillId="0" borderId="0" xfId="5" applyNumberFormat="1" applyFont="1" applyFill="1"/>
    <xf numFmtId="0" fontId="3" fillId="0" borderId="1" xfId="5" applyNumberFormat="1" applyFont="1" applyBorder="1" applyAlignment="1" applyProtection="1">
      <alignment horizontal="centerContinuous"/>
      <protection locked="0"/>
    </xf>
    <xf numFmtId="43" fontId="3" fillId="0" borderId="0" xfId="1" applyFont="1"/>
    <xf numFmtId="3" fontId="3" fillId="0" borderId="0" xfId="4" applyNumberFormat="1" applyFont="1"/>
    <xf numFmtId="3" fontId="3" fillId="0" borderId="0" xfId="5" applyNumberFormat="1" applyFont="1" applyAlignment="1">
      <alignment horizontal="left"/>
    </xf>
    <xf numFmtId="165" fontId="3" fillId="0" borderId="0" xfId="1" applyNumberFormat="1" applyFont="1"/>
    <xf numFmtId="43" fontId="3" fillId="0" borderId="1" xfId="1" applyFont="1" applyBorder="1"/>
    <xf numFmtId="43" fontId="3" fillId="0" borderId="0" xfId="1" applyFont="1" applyAlignment="1">
      <alignment horizontal="fill"/>
    </xf>
    <xf numFmtId="166" fontId="3" fillId="0" borderId="0" xfId="4" applyNumberFormat="1" applyFont="1"/>
    <xf numFmtId="166" fontId="3" fillId="0" borderId="0" xfId="5" applyNumberFormat="1" applyFont="1"/>
    <xf numFmtId="3" fontId="3" fillId="0" borderId="0" xfId="5" applyNumberFormat="1" applyFont="1" applyAlignment="1">
      <alignment horizontal="fill"/>
    </xf>
    <xf numFmtId="42" fontId="3" fillId="0" borderId="3" xfId="5" applyNumberFormat="1" applyFont="1" applyBorder="1" applyAlignment="1" applyProtection="1">
      <alignment horizontal="right"/>
      <protection locked="0"/>
    </xf>
    <xf numFmtId="0" fontId="3" fillId="0" borderId="0" xfId="7" applyFont="1" applyAlignment="1" applyProtection="1">
      <alignment horizontal="center"/>
      <protection locked="0"/>
    </xf>
    <xf numFmtId="0" fontId="3" fillId="0" borderId="0" xfId="7" applyFont="1"/>
    <xf numFmtId="0" fontId="3" fillId="0" borderId="0" xfId="7" applyFont="1" applyAlignment="1">
      <alignment horizontal="left"/>
    </xf>
    <xf numFmtId="43" fontId="3" fillId="0" borderId="0" xfId="1" applyFont="1" applyFill="1"/>
    <xf numFmtId="166" fontId="3" fillId="0" borderId="0" xfId="7" applyNumberFormat="1" applyFont="1" applyFill="1"/>
    <xf numFmtId="165" fontId="3" fillId="0" borderId="0" xfId="1" applyNumberFormat="1" applyFont="1" applyFill="1"/>
    <xf numFmtId="3" fontId="3" fillId="0" borderId="0" xfId="7" applyNumberFormat="1" applyFont="1"/>
    <xf numFmtId="42" fontId="3" fillId="0" borderId="3" xfId="7" applyNumberFormat="1" applyFont="1" applyBorder="1" applyAlignment="1" applyProtection="1">
      <alignment horizontal="right"/>
      <protection locked="0"/>
    </xf>
    <xf numFmtId="168" fontId="3" fillId="0" borderId="0" xfId="4" applyNumberFormat="1" applyFont="1"/>
    <xf numFmtId="168" fontId="3" fillId="0" borderId="0" xfId="5" applyNumberFormat="1" applyFont="1"/>
    <xf numFmtId="168" fontId="3" fillId="0" borderId="0" xfId="5" applyNumberFormat="1" applyFont="1" applyAlignment="1">
      <alignment horizontal="center"/>
    </xf>
    <xf numFmtId="164" fontId="3" fillId="0" borderId="0" xfId="5" applyFont="1" applyAlignment="1">
      <alignment horizontal="center"/>
    </xf>
    <xf numFmtId="0" fontId="3" fillId="0" borderId="0" xfId="5" applyNumberFormat="1" applyFont="1" applyAlignment="1">
      <alignment horizontal="left"/>
    </xf>
    <xf numFmtId="169" fontId="3" fillId="0" borderId="0" xfId="4" applyNumberFormat="1" applyFont="1"/>
    <xf numFmtId="169" fontId="3" fillId="0" borderId="0" xfId="5" applyNumberFormat="1" applyFont="1" applyProtection="1">
      <protection locked="0"/>
    </xf>
    <xf numFmtId="170" fontId="3" fillId="0" borderId="0" xfId="5" applyNumberFormat="1" applyFont="1"/>
    <xf numFmtId="0" fontId="3" fillId="0" borderId="0" xfId="5" applyNumberFormat="1" applyFont="1" applyAlignment="1">
      <alignment horizontal="right"/>
    </xf>
    <xf numFmtId="0" fontId="7" fillId="0" borderId="0" xfId="5" applyNumberFormat="1" applyFont="1"/>
    <xf numFmtId="164" fontId="3" fillId="0" borderId="0" xfId="5" applyFont="1" applyAlignment="1">
      <alignment horizontal="center"/>
    </xf>
    <xf numFmtId="3" fontId="8" fillId="0" borderId="0" xfId="5" applyNumberFormat="1" applyFont="1" applyAlignment="1">
      <alignment horizontal="center"/>
    </xf>
    <xf numFmtId="0" fontId="8" fillId="0" borderId="0" xfId="5" applyNumberFormat="1" applyFont="1" applyAlignment="1" applyProtection="1">
      <alignment horizontal="center"/>
      <protection locked="0"/>
    </xf>
    <xf numFmtId="164" fontId="8" fillId="0" borderId="0" xfId="5" applyFont="1" applyAlignment="1">
      <alignment horizontal="center"/>
    </xf>
    <xf numFmtId="3" fontId="8" fillId="0" borderId="0" xfId="5" applyNumberFormat="1" applyFont="1"/>
    <xf numFmtId="0" fontId="8" fillId="0" borderId="0" xfId="5" applyNumberFormat="1" applyFont="1"/>
    <xf numFmtId="165" fontId="3" fillId="2" borderId="0" xfId="1" applyNumberFormat="1" applyFont="1" applyFill="1"/>
    <xf numFmtId="171" fontId="3" fillId="0" borderId="0" xfId="5" applyNumberFormat="1" applyFont="1"/>
    <xf numFmtId="165" fontId="3" fillId="2" borderId="1" xfId="1" applyNumberFormat="1" applyFont="1" applyFill="1" applyBorder="1"/>
    <xf numFmtId="165" fontId="3" fillId="0" borderId="1" xfId="1" applyNumberFormat="1" applyFont="1" applyBorder="1"/>
    <xf numFmtId="43" fontId="3" fillId="0" borderId="0" xfId="1" applyFont="1" applyAlignment="1">
      <alignment horizontal="center"/>
    </xf>
    <xf numFmtId="172" fontId="3" fillId="0" borderId="0" xfId="5" applyNumberFormat="1" applyFont="1" applyAlignment="1">
      <alignment horizontal="center"/>
    </xf>
    <xf numFmtId="171" fontId="3" fillId="0" borderId="0" xfId="4" applyNumberFormat="1" applyFont="1" applyAlignment="1">
      <alignment horizontal="right"/>
    </xf>
    <xf numFmtId="173" fontId="3" fillId="0" borderId="0" xfId="1" applyNumberFormat="1" applyFont="1"/>
    <xf numFmtId="3" fontId="3" fillId="0" borderId="0" xfId="5" quotePrefix="1" applyNumberFormat="1" applyFont="1" applyAlignment="1">
      <alignment horizontal="left"/>
    </xf>
    <xf numFmtId="165" fontId="3" fillId="0" borderId="3" xfId="1" applyNumberFormat="1" applyFont="1" applyBorder="1"/>
    <xf numFmtId="172" fontId="3" fillId="0" borderId="0" xfId="4" applyNumberFormat="1" applyFont="1" applyAlignment="1">
      <alignment horizontal="center"/>
    </xf>
    <xf numFmtId="165" fontId="3" fillId="0" borderId="3" xfId="1" applyNumberFormat="1" applyFont="1" applyFill="1" applyBorder="1"/>
    <xf numFmtId="3" fontId="3" fillId="0" borderId="0" xfId="5" applyNumberFormat="1" applyFont="1" applyAlignment="1">
      <alignment horizontal="right"/>
    </xf>
    <xf numFmtId="49" fontId="3" fillId="0" borderId="0" xfId="5" applyNumberFormat="1" applyFont="1" applyAlignment="1" applyProtection="1">
      <alignment horizontal="center"/>
      <protection locked="0"/>
    </xf>
    <xf numFmtId="165" fontId="3" fillId="0" borderId="0" xfId="1" applyNumberFormat="1" applyFont="1" applyAlignment="1">
      <alignment horizontal="right"/>
    </xf>
    <xf numFmtId="3" fontId="9" fillId="0" borderId="0" xfId="5" applyNumberFormat="1" applyFont="1"/>
    <xf numFmtId="164" fontId="9" fillId="0" borderId="0" xfId="0" applyFont="1"/>
    <xf numFmtId="174" fontId="3" fillId="0" borderId="0" xfId="5" applyNumberFormat="1" applyFont="1" applyAlignment="1">
      <alignment horizontal="left"/>
    </xf>
    <xf numFmtId="165" fontId="3" fillId="3" borderId="0" xfId="1" applyNumberFormat="1" applyFont="1" applyFill="1"/>
    <xf numFmtId="175" fontId="3" fillId="0" borderId="0" xfId="1" applyNumberFormat="1" applyFont="1"/>
    <xf numFmtId="0" fontId="3" fillId="0" borderId="0" xfId="5" applyNumberFormat="1" applyFont="1" applyAlignment="1">
      <alignment wrapText="1"/>
    </xf>
    <xf numFmtId="3" fontId="3" fillId="0" borderId="0" xfId="5" applyNumberFormat="1" applyFont="1" applyAlignment="1">
      <alignment wrapText="1"/>
    </xf>
    <xf numFmtId="0" fontId="3" fillId="0" borderId="0" xfId="5" quotePrefix="1" applyNumberFormat="1" applyFont="1" applyAlignment="1">
      <alignment horizontal="left"/>
    </xf>
    <xf numFmtId="166" fontId="3" fillId="0" borderId="0" xfId="5" applyNumberFormat="1" applyFont="1" applyAlignment="1">
      <alignment horizontal="center"/>
    </xf>
    <xf numFmtId="172" fontId="3" fillId="0" borderId="0" xfId="5" applyNumberFormat="1" applyFont="1" applyAlignment="1">
      <alignment horizontal="left"/>
    </xf>
    <xf numFmtId="10" fontId="3" fillId="0" borderId="0" xfId="5" applyNumberFormat="1" applyFont="1" applyAlignment="1">
      <alignment horizontal="left"/>
    </xf>
    <xf numFmtId="165" fontId="3" fillId="0" borderId="0" xfId="1" applyNumberFormat="1" applyFont="1" applyFill="1" applyAlignment="1">
      <alignment horizontal="right"/>
    </xf>
    <xf numFmtId="165" fontId="3" fillId="0" borderId="1" xfId="1" applyNumberFormat="1" applyFont="1" applyBorder="1" applyAlignment="1">
      <alignment horizontal="right"/>
    </xf>
    <xf numFmtId="172" fontId="3" fillId="0" borderId="0" xfId="5" applyNumberFormat="1" applyFont="1" applyAlignment="1" applyProtection="1">
      <alignment horizontal="left"/>
      <protection locked="0"/>
    </xf>
    <xf numFmtId="176" fontId="3" fillId="0" borderId="0" xfId="5" applyNumberFormat="1" applyFont="1"/>
    <xf numFmtId="166" fontId="3" fillId="0" borderId="0" xfId="4" applyNumberFormat="1" applyFont="1" applyAlignment="1">
      <alignment horizontal="center"/>
    </xf>
    <xf numFmtId="165" fontId="3" fillId="0" borderId="5" xfId="1" applyNumberFormat="1" applyFont="1" applyBorder="1"/>
    <xf numFmtId="164" fontId="3" fillId="0" borderId="0" xfId="5" applyFont="1" applyAlignment="1">
      <alignment horizontal="right"/>
    </xf>
    <xf numFmtId="0" fontId="9" fillId="0" borderId="0" xfId="5" applyNumberFormat="1" applyFont="1" applyAlignment="1" applyProtection="1">
      <alignment horizontal="center"/>
      <protection locked="0"/>
    </xf>
    <xf numFmtId="0" fontId="3" fillId="0" borderId="1" xfId="5" applyNumberFormat="1" applyFont="1" applyBorder="1" applyProtection="1">
      <protection locked="0"/>
    </xf>
    <xf numFmtId="0" fontId="3" fillId="0" borderId="1" xfId="5" applyNumberFormat="1" applyFont="1" applyBorder="1"/>
    <xf numFmtId="175" fontId="3" fillId="0" borderId="0" xfId="1" applyNumberFormat="1" applyFont="1" applyAlignment="1">
      <alignment horizontal="right"/>
    </xf>
    <xf numFmtId="3" fontId="3" fillId="0" borderId="1" xfId="5" applyNumberFormat="1" applyFont="1" applyBorder="1"/>
    <xf numFmtId="3" fontId="3" fillId="0" borderId="1" xfId="5" applyNumberFormat="1" applyFont="1" applyBorder="1" applyAlignment="1">
      <alignment horizontal="center"/>
    </xf>
    <xf numFmtId="4" fontId="3" fillId="0" borderId="0" xfId="5" applyNumberFormat="1" applyFont="1"/>
    <xf numFmtId="3" fontId="3" fillId="0" borderId="0" xfId="4" applyNumberFormat="1" applyFont="1" applyAlignment="1">
      <alignment horizontal="center"/>
    </xf>
    <xf numFmtId="0" fontId="3" fillId="0" borderId="1" xfId="4" applyFont="1" applyBorder="1" applyAlignment="1">
      <alignment horizontal="center"/>
    </xf>
    <xf numFmtId="0" fontId="3" fillId="0" borderId="0" xfId="4" applyFont="1" applyAlignment="1">
      <alignment horizontal="center"/>
    </xf>
    <xf numFmtId="173" fontId="3" fillId="0" borderId="0" xfId="1" applyNumberFormat="1" applyFont="1" applyFill="1"/>
    <xf numFmtId="166" fontId="3" fillId="0" borderId="0" xfId="5" applyNumberFormat="1" applyFont="1" applyAlignment="1" applyProtection="1">
      <alignment horizontal="center"/>
      <protection locked="0"/>
    </xf>
    <xf numFmtId="173" fontId="3" fillId="0" borderId="0" xfId="1" applyNumberFormat="1" applyFont="1" applyAlignment="1">
      <alignment horizontal="center"/>
    </xf>
    <xf numFmtId="165" fontId="3" fillId="3" borderId="0" xfId="1" applyNumberFormat="1" applyFont="1" applyFill="1" applyAlignment="1">
      <alignment horizontal="center"/>
    </xf>
    <xf numFmtId="167" fontId="3" fillId="2" borderId="0" xfId="1" applyNumberFormat="1" applyFont="1" applyFill="1"/>
    <xf numFmtId="10" fontId="3" fillId="2" borderId="0" xfId="1" applyNumberFormat="1" applyFont="1" applyFill="1"/>
    <xf numFmtId="10" fontId="3" fillId="0" borderId="0" xfId="3" applyNumberFormat="1" applyFont="1"/>
    <xf numFmtId="3" fontId="3" fillId="0" borderId="0" xfId="5" quotePrefix="1" applyNumberFormat="1" applyFont="1"/>
    <xf numFmtId="165" fontId="3" fillId="2" borderId="0" xfId="1" applyNumberFormat="1" applyFont="1" applyFill="1" applyAlignment="1">
      <alignment horizontal="center"/>
    </xf>
    <xf numFmtId="43" fontId="3" fillId="2" borderId="0" xfId="1" applyFont="1" applyFill="1"/>
    <xf numFmtId="165" fontId="3" fillId="3" borderId="1" xfId="1" applyNumberFormat="1" applyFont="1" applyFill="1" applyBorder="1" applyAlignment="1">
      <alignment horizontal="center"/>
    </xf>
    <xf numFmtId="167" fontId="3" fillId="3" borderId="0" xfId="1" applyNumberFormat="1" applyFont="1" applyFill="1"/>
    <xf numFmtId="43" fontId="3" fillId="0" borderId="1" xfId="1" applyFont="1" applyFill="1" applyBorder="1"/>
    <xf numFmtId="165" fontId="3" fillId="0" borderId="0" xfId="1" applyNumberFormat="1" applyFont="1" applyAlignment="1">
      <alignment horizontal="center"/>
    </xf>
    <xf numFmtId="43" fontId="3" fillId="0" borderId="0" xfId="1" applyNumberFormat="1" applyFont="1"/>
    <xf numFmtId="164" fontId="3" fillId="0" borderId="0" xfId="5" applyFont="1" applyFill="1"/>
    <xf numFmtId="0" fontId="11" fillId="0" borderId="0" xfId="5" applyNumberFormat="1" applyFont="1" applyProtection="1">
      <protection locked="0"/>
    </xf>
    <xf numFmtId="164" fontId="11" fillId="0" borderId="0" xfId="5" applyFont="1"/>
    <xf numFmtId="177" fontId="3" fillId="2" borderId="0" xfId="1" applyNumberFormat="1" applyFont="1" applyFill="1" applyProtection="1">
      <protection locked="0"/>
    </xf>
    <xf numFmtId="38" fontId="3" fillId="0" borderId="0" xfId="5" applyNumberFormat="1" applyFont="1"/>
    <xf numFmtId="164" fontId="3" fillId="0" borderId="1" xfId="5" applyFont="1" applyBorder="1"/>
    <xf numFmtId="177" fontId="3" fillId="0" borderId="1" xfId="1" applyNumberFormat="1" applyFont="1" applyBorder="1" applyProtection="1">
      <protection locked="0"/>
    </xf>
    <xf numFmtId="177" fontId="3" fillId="0" borderId="0" xfId="1" applyNumberFormat="1" applyFont="1"/>
    <xf numFmtId="178" fontId="3" fillId="0" borderId="0" xfId="5" applyNumberFormat="1" applyFont="1"/>
    <xf numFmtId="168" fontId="3" fillId="0" borderId="0" xfId="5" applyNumberFormat="1" applyFont="1" applyProtection="1">
      <protection locked="0"/>
    </xf>
    <xf numFmtId="1" fontId="3" fillId="0" borderId="0" xfId="5" applyNumberFormat="1" applyFont="1"/>
    <xf numFmtId="0" fontId="3" fillId="0" borderId="0" xfId="5" applyNumberFormat="1" applyFont="1" applyAlignment="1" applyProtection="1">
      <alignment horizontal="left"/>
      <protection locked="0"/>
    </xf>
    <xf numFmtId="165" fontId="3" fillId="2" borderId="0" xfId="1" applyNumberFormat="1" applyFont="1" applyFill="1" applyProtection="1">
      <protection locked="0"/>
    </xf>
    <xf numFmtId="0" fontId="3" fillId="0" borderId="1" xfId="4" applyFont="1" applyBorder="1" applyAlignment="1">
      <alignment horizontal="left" vertical="center" wrapText="1"/>
    </xf>
    <xf numFmtId="165" fontId="3" fillId="0" borderId="1" xfId="1" applyNumberFormat="1" applyFont="1" applyBorder="1" applyProtection="1">
      <protection locked="0"/>
    </xf>
    <xf numFmtId="3" fontId="3" fillId="0" borderId="0" xfId="5" applyNumberFormat="1" applyFont="1" applyAlignment="1" applyProtection="1">
      <alignment horizontal="right"/>
      <protection locked="0"/>
    </xf>
    <xf numFmtId="0" fontId="3" fillId="0" borderId="0" xfId="5" applyNumberFormat="1" applyFont="1" applyAlignment="1" applyProtection="1">
      <alignment horizontal="center" wrapText="1"/>
      <protection locked="0"/>
    </xf>
    <xf numFmtId="175" fontId="3" fillId="0" borderId="0" xfId="1" applyNumberFormat="1" applyFont="1" applyAlignment="1" applyProtection="1">
      <alignment horizontal="center"/>
      <protection locked="0"/>
    </xf>
    <xf numFmtId="165" fontId="3" fillId="0" borderId="0" xfId="1" applyNumberFormat="1" applyFont="1" applyAlignment="1" applyProtection="1">
      <alignment horizontal="center"/>
      <protection locked="0"/>
    </xf>
    <xf numFmtId="178" fontId="3" fillId="0" borderId="0" xfId="5" applyNumberFormat="1" applyFont="1" applyAlignment="1" applyProtection="1">
      <alignment horizontal="right"/>
      <protection locked="0"/>
    </xf>
    <xf numFmtId="178" fontId="3" fillId="0" borderId="0" xfId="5" applyNumberFormat="1" applyFont="1" applyProtection="1">
      <protection locked="0"/>
    </xf>
    <xf numFmtId="0" fontId="3" fillId="0" borderId="0" xfId="5" applyNumberFormat="1" applyFont="1" applyAlignment="1" applyProtection="1">
      <alignment horizontal="left" indent="8"/>
      <protection locked="0"/>
    </xf>
    <xf numFmtId="0" fontId="12" fillId="0" borderId="0" xfId="5" applyNumberFormat="1" applyFont="1" applyAlignment="1" applyProtection="1">
      <alignment vertical="top" wrapText="1"/>
      <protection locked="0"/>
    </xf>
    <xf numFmtId="3" fontId="3" fillId="0" borderId="0" xfId="5" applyNumberFormat="1" applyFont="1" applyAlignment="1">
      <alignment vertical="top" wrapText="1"/>
    </xf>
    <xf numFmtId="0" fontId="3" fillId="0" borderId="0" xfId="5" applyNumberFormat="1" applyFont="1" applyAlignment="1" applyProtection="1">
      <alignment vertical="top" wrapText="1"/>
      <protection locked="0"/>
    </xf>
    <xf numFmtId="0" fontId="3" fillId="0" borderId="0" xfId="5" applyNumberFormat="1" applyFont="1" applyAlignment="1" applyProtection="1">
      <alignment vertical="top" wrapText="1"/>
      <protection locked="0"/>
    </xf>
    <xf numFmtId="0" fontId="3" fillId="0" borderId="0" xfId="5" applyNumberFormat="1" applyFont="1" applyAlignment="1" applyProtection="1">
      <alignment vertical="top"/>
      <protection locked="0"/>
    </xf>
    <xf numFmtId="10" fontId="3" fillId="0" borderId="0" xfId="3" applyNumberFormat="1" applyFont="1" applyAlignment="1">
      <alignment horizontal="right"/>
    </xf>
    <xf numFmtId="43" fontId="3" fillId="0" borderId="0" xfId="1" applyFont="1" applyAlignment="1" applyProtection="1">
      <alignment vertical="top"/>
      <protection locked="0"/>
    </xf>
    <xf numFmtId="0" fontId="3" fillId="0" borderId="0" xfId="5" quotePrefix="1" applyNumberFormat="1" applyFont="1" applyAlignment="1">
      <alignment vertical="top" wrapText="1"/>
    </xf>
    <xf numFmtId="0" fontId="3" fillId="0" borderId="0" xfId="5" applyNumberFormat="1" applyFont="1" applyAlignment="1">
      <alignment vertical="top" wrapText="1"/>
    </xf>
    <xf numFmtId="164" fontId="3" fillId="0" borderId="0" xfId="5" applyFont="1" applyAlignment="1">
      <alignment vertical="top" wrapText="1"/>
    </xf>
    <xf numFmtId="0" fontId="3" fillId="0" borderId="0" xfId="4" quotePrefix="1" applyFont="1" applyAlignment="1">
      <alignment vertical="top" wrapText="1"/>
    </xf>
    <xf numFmtId="0" fontId="3" fillId="0" borderId="0" xfId="4" applyFont="1" applyAlignment="1">
      <alignment vertical="top" wrapText="1"/>
    </xf>
    <xf numFmtId="0" fontId="3" fillId="0" borderId="0" xfId="4" applyFont="1" applyAlignment="1">
      <alignment vertical="top" wrapText="1"/>
    </xf>
    <xf numFmtId="164" fontId="3" fillId="0" borderId="0" xfId="0" applyFont="1" applyAlignment="1">
      <alignment vertical="top" wrapText="1"/>
    </xf>
    <xf numFmtId="0" fontId="3" fillId="0" borderId="0" xfId="0" applyNumberFormat="1" applyFont="1" applyAlignment="1">
      <alignment horizontal="left" vertical="top" wrapText="1"/>
    </xf>
    <xf numFmtId="0" fontId="3" fillId="0" borderId="0" xfId="7" applyFont="1" applyAlignment="1">
      <alignment vertical="top" wrapText="1"/>
    </xf>
    <xf numFmtId="164" fontId="3" fillId="0" borderId="0" xfId="0" applyFont="1" applyAlignment="1">
      <alignment horizontal="left" wrapText="1"/>
    </xf>
    <xf numFmtId="0" fontId="3" fillId="0" borderId="0" xfId="4" applyFont="1" applyAlignment="1">
      <alignment vertical="top"/>
    </xf>
    <xf numFmtId="178" fontId="3" fillId="0" borderId="0" xfId="5" applyNumberFormat="1" applyFont="1" applyAlignment="1">
      <alignment vertical="top"/>
    </xf>
    <xf numFmtId="3" fontId="3" fillId="0" borderId="0" xfId="5" applyNumberFormat="1" applyFont="1" applyAlignment="1">
      <alignment vertical="top"/>
    </xf>
    <xf numFmtId="164" fontId="3" fillId="0" borderId="0" xfId="0" applyFont="1" applyAlignment="1">
      <alignment vertical="top"/>
    </xf>
    <xf numFmtId="164" fontId="13" fillId="0" borderId="0" xfId="0" applyFont="1"/>
    <xf numFmtId="164" fontId="3" fillId="0" borderId="0" xfId="6" applyFont="1"/>
    <xf numFmtId="164" fontId="3" fillId="0" borderId="0" xfId="6" applyFont="1" applyAlignment="1">
      <alignment horizontal="right"/>
    </xf>
    <xf numFmtId="0" fontId="3" fillId="0" borderId="0" xfId="6" applyNumberFormat="1" applyFont="1" applyProtection="1">
      <protection locked="0"/>
    </xf>
    <xf numFmtId="0" fontId="3" fillId="0" borderId="0" xfId="6" applyNumberFormat="1" applyFont="1" applyAlignment="1" applyProtection="1">
      <alignment horizontal="center"/>
      <protection locked="0"/>
    </xf>
    <xf numFmtId="0" fontId="3" fillId="0" borderId="0" xfId="6" applyNumberFormat="1" applyFont="1" applyAlignment="1">
      <alignment horizontal="right"/>
    </xf>
    <xf numFmtId="0" fontId="3" fillId="0" borderId="0" xfId="6" applyNumberFormat="1" applyFont="1"/>
    <xf numFmtId="3" fontId="3" fillId="0" borderId="0" xfId="6" applyNumberFormat="1" applyFont="1"/>
    <xf numFmtId="0" fontId="14" fillId="0" borderId="0" xfId="6" applyNumberFormat="1" applyFont="1" applyAlignment="1">
      <alignment horizontal="center"/>
    </xf>
    <xf numFmtId="0" fontId="14" fillId="0" borderId="0" xfId="6" applyNumberFormat="1" applyFont="1"/>
    <xf numFmtId="49" fontId="3" fillId="0" borderId="0" xfId="6" applyNumberFormat="1" applyFont="1"/>
    <xf numFmtId="0" fontId="3" fillId="0" borderId="0" xfId="6" applyNumberFormat="1" applyFont="1" applyAlignment="1">
      <alignment horizontal="center"/>
    </xf>
    <xf numFmtId="49" fontId="3" fillId="0" borderId="0" xfId="6" applyNumberFormat="1" applyFont="1" applyAlignment="1">
      <alignment horizontal="center"/>
    </xf>
    <xf numFmtId="3" fontId="8" fillId="0" borderId="0" xfId="6" applyNumberFormat="1" applyFont="1" applyAlignment="1">
      <alignment horizontal="center"/>
    </xf>
    <xf numFmtId="164" fontId="8" fillId="0" borderId="0" xfId="6" applyFont="1" applyAlignment="1">
      <alignment horizontal="center"/>
    </xf>
    <xf numFmtId="0" fontId="8" fillId="0" borderId="0" xfId="6" applyNumberFormat="1" applyFont="1" applyAlignment="1" applyProtection="1">
      <alignment horizontal="center"/>
      <protection locked="0"/>
    </xf>
    <xf numFmtId="0" fontId="8" fillId="0" borderId="0" xfId="6" applyNumberFormat="1" applyFont="1" applyAlignment="1">
      <alignment horizontal="center"/>
    </xf>
    <xf numFmtId="0" fontId="8" fillId="0" borderId="0" xfId="6" applyNumberFormat="1" applyFont="1"/>
    <xf numFmtId="0" fontId="6" fillId="0" borderId="0" xfId="6" applyNumberFormat="1" applyFont="1" applyAlignment="1" applyProtection="1">
      <alignment horizontal="center"/>
      <protection locked="0"/>
    </xf>
    <xf numFmtId="3" fontId="3" fillId="0" borderId="0" xfId="6" applyNumberFormat="1" applyFont="1" applyAlignment="1">
      <alignment horizontal="center"/>
    </xf>
    <xf numFmtId="3" fontId="3" fillId="0" borderId="0" xfId="6" applyNumberFormat="1" applyFont="1" applyAlignment="1">
      <alignment horizontal="left"/>
    </xf>
    <xf numFmtId="179" fontId="15" fillId="0" borderId="0" xfId="1" applyNumberFormat="1" applyFont="1"/>
    <xf numFmtId="10" fontId="15" fillId="0" borderId="0" xfId="3" applyNumberFormat="1" applyFont="1"/>
    <xf numFmtId="10" fontId="8" fillId="0" borderId="0" xfId="6" applyNumberFormat="1" applyFont="1"/>
    <xf numFmtId="3" fontId="8" fillId="0" borderId="0" xfId="6" applyNumberFormat="1" applyFont="1"/>
    <xf numFmtId="171" fontId="8" fillId="0" borderId="0" xfId="6" applyNumberFormat="1" applyFont="1"/>
    <xf numFmtId="10" fontId="3" fillId="0" borderId="0" xfId="6" applyNumberFormat="1" applyFont="1"/>
    <xf numFmtId="164" fontId="3" fillId="0" borderId="0" xfId="6" applyFont="1" applyAlignment="1">
      <alignment horizontal="left"/>
    </xf>
    <xf numFmtId="164" fontId="3" fillId="0" borderId="0" xfId="6" applyFont="1" applyAlignment="1">
      <alignment horizontal="center"/>
    </xf>
    <xf numFmtId="43" fontId="15" fillId="0" borderId="0" xfId="1" applyFont="1"/>
    <xf numFmtId="49" fontId="8" fillId="0" borderId="0" xfId="6" applyNumberFormat="1" applyFont="1" applyAlignment="1">
      <alignment horizontal="center"/>
    </xf>
    <xf numFmtId="164" fontId="8" fillId="0" borderId="0" xfId="6" applyFont="1"/>
    <xf numFmtId="3" fontId="8" fillId="0" borderId="0" xfId="6" applyNumberFormat="1" applyFont="1" applyAlignment="1">
      <alignment horizontal="left"/>
    </xf>
    <xf numFmtId="180" fontId="8" fillId="0" borderId="0" xfId="1" applyNumberFormat="1" applyFont="1"/>
    <xf numFmtId="10" fontId="8" fillId="0" borderId="0" xfId="3" applyNumberFormat="1" applyFont="1"/>
    <xf numFmtId="0" fontId="3" fillId="0" borderId="0" xfId="6" applyNumberFormat="1" applyFont="1" applyAlignment="1">
      <alignment horizontal="fill"/>
    </xf>
    <xf numFmtId="164" fontId="11" fillId="0" borderId="0" xfId="6" applyFont="1"/>
    <xf numFmtId="3" fontId="11" fillId="0" borderId="0" xfId="6" applyNumberFormat="1" applyFont="1"/>
    <xf numFmtId="172" fontId="3" fillId="0" borderId="0" xfId="6" applyNumberFormat="1" applyFont="1" applyAlignment="1">
      <alignment horizontal="left"/>
    </xf>
    <xf numFmtId="172" fontId="3" fillId="0" borderId="0" xfId="6" applyNumberFormat="1" applyFont="1" applyAlignment="1">
      <alignment horizontal="center"/>
    </xf>
    <xf numFmtId="178" fontId="3" fillId="0" borderId="0" xfId="6" applyNumberFormat="1" applyFont="1"/>
    <xf numFmtId="43" fontId="8" fillId="0" borderId="0" xfId="1" applyFont="1"/>
    <xf numFmtId="0" fontId="11" fillId="0" borderId="0" xfId="6" applyNumberFormat="1" applyFont="1"/>
    <xf numFmtId="49" fontId="3" fillId="0" borderId="0" xfId="6" applyNumberFormat="1" applyFont="1" applyAlignment="1">
      <alignment horizontal="left"/>
    </xf>
    <xf numFmtId="181" fontId="8" fillId="0" borderId="0" xfId="6" applyNumberFormat="1" applyFont="1" applyAlignment="1">
      <alignment horizontal="center"/>
    </xf>
    <xf numFmtId="181" fontId="8" fillId="0" borderId="0" xfId="6" quotePrefix="1" applyNumberFormat="1" applyFont="1" applyAlignment="1">
      <alignment horizontal="center"/>
    </xf>
    <xf numFmtId="164" fontId="8" fillId="0" borderId="6" xfId="6" applyFont="1" applyBorder="1" applyAlignment="1">
      <alignment horizontal="center" wrapText="1"/>
    </xf>
    <xf numFmtId="164" fontId="8" fillId="0" borderId="7" xfId="6" applyFont="1" applyBorder="1"/>
    <xf numFmtId="164" fontId="8" fillId="0" borderId="7" xfId="6" applyFont="1" applyBorder="1" applyAlignment="1">
      <alignment horizontal="center" wrapText="1"/>
    </xf>
    <xf numFmtId="0" fontId="8" fillId="0" borderId="7" xfId="6" applyNumberFormat="1" applyFont="1" applyBorder="1" applyAlignment="1">
      <alignment horizontal="center" wrapText="1"/>
    </xf>
    <xf numFmtId="164" fontId="8" fillId="0" borderId="2" xfId="6" applyFont="1" applyBorder="1" applyAlignment="1">
      <alignment horizontal="center" wrapText="1"/>
    </xf>
    <xf numFmtId="3" fontId="8" fillId="0" borderId="2" xfId="6" applyNumberFormat="1" applyFont="1" applyBorder="1" applyAlignment="1">
      <alignment horizontal="center" wrapText="1"/>
    </xf>
    <xf numFmtId="0" fontId="3" fillId="0" borderId="6" xfId="6" applyNumberFormat="1" applyFont="1" applyBorder="1"/>
    <xf numFmtId="0" fontId="3" fillId="0" borderId="7" xfId="6" applyNumberFormat="1" applyFont="1" applyBorder="1"/>
    <xf numFmtId="0" fontId="3" fillId="0" borderId="7" xfId="6" applyNumberFormat="1" applyFont="1" applyBorder="1" applyAlignment="1">
      <alignment horizontal="center"/>
    </xf>
    <xf numFmtId="0" fontId="3" fillId="0" borderId="2" xfId="6" applyNumberFormat="1" applyFont="1" applyBorder="1" applyAlignment="1">
      <alignment horizontal="center"/>
    </xf>
    <xf numFmtId="0" fontId="3" fillId="0" borderId="2" xfId="6" applyNumberFormat="1" applyFont="1" applyBorder="1" applyAlignment="1">
      <alignment horizontal="center" wrapText="1"/>
    </xf>
    <xf numFmtId="3" fontId="3" fillId="0" borderId="2" xfId="6" applyNumberFormat="1" applyFont="1" applyBorder="1" applyAlignment="1">
      <alignment horizontal="center" wrapText="1"/>
    </xf>
    <xf numFmtId="0" fontId="3" fillId="0" borderId="7" xfId="6" applyNumberFormat="1" applyFont="1" applyBorder="1" applyAlignment="1">
      <alignment horizontal="center" wrapText="1"/>
    </xf>
    <xf numFmtId="3" fontId="3" fillId="0" borderId="7" xfId="6" applyNumberFormat="1" applyFont="1" applyBorder="1" applyAlignment="1">
      <alignment horizontal="center"/>
    </xf>
    <xf numFmtId="0" fontId="3" fillId="0" borderId="8" xfId="6" applyNumberFormat="1" applyFont="1" applyBorder="1"/>
    <xf numFmtId="0" fontId="3" fillId="0" borderId="9" xfId="6" applyNumberFormat="1" applyFont="1" applyBorder="1"/>
    <xf numFmtId="0" fontId="3" fillId="0" borderId="10" xfId="6" applyNumberFormat="1" applyFont="1" applyBorder="1"/>
    <xf numFmtId="0" fontId="3" fillId="0" borderId="11" xfId="6" applyNumberFormat="1" applyFont="1" applyBorder="1"/>
    <xf numFmtId="3" fontId="3" fillId="0" borderId="9" xfId="6" applyNumberFormat="1" applyFont="1" applyBorder="1"/>
    <xf numFmtId="0" fontId="3" fillId="0" borderId="8" xfId="6" applyNumberFormat="1" applyFont="1" applyFill="1" applyBorder="1"/>
    <xf numFmtId="0" fontId="3" fillId="0" borderId="0" xfId="6" applyNumberFormat="1" applyFont="1" applyFill="1" applyBorder="1"/>
    <xf numFmtId="0" fontId="8" fillId="0" borderId="0" xfId="6" applyNumberFormat="1" applyFont="1" applyFill="1" applyBorder="1"/>
    <xf numFmtId="43" fontId="3" fillId="0" borderId="9" xfId="1" applyFont="1" applyBorder="1"/>
    <xf numFmtId="182" fontId="3" fillId="2" borderId="0" xfId="2" applyNumberFormat="1" applyFont="1" applyFill="1"/>
    <xf numFmtId="165" fontId="3" fillId="2" borderId="8" xfId="1" applyNumberFormat="1" applyFont="1" applyFill="1" applyBorder="1"/>
    <xf numFmtId="165" fontId="3" fillId="0" borderId="9" xfId="1" applyNumberFormat="1" applyFont="1" applyBorder="1"/>
    <xf numFmtId="164" fontId="3" fillId="0" borderId="8" xfId="8" applyFont="1" applyFill="1" applyBorder="1" applyAlignment="1"/>
    <xf numFmtId="164" fontId="3" fillId="0" borderId="0" xfId="8" applyFont="1" applyFill="1" applyBorder="1" applyAlignment="1"/>
    <xf numFmtId="164" fontId="3" fillId="2" borderId="0" xfId="8" applyFont="1" applyFill="1" applyBorder="1" applyAlignment="1"/>
    <xf numFmtId="0" fontId="3" fillId="2" borderId="0" xfId="1" applyNumberFormat="1" applyFont="1" applyFill="1" applyBorder="1" applyAlignment="1"/>
    <xf numFmtId="182" fontId="3" fillId="3" borderId="0" xfId="2" applyNumberFormat="1" applyFont="1" applyFill="1" applyBorder="1" applyAlignment="1"/>
    <xf numFmtId="182" fontId="3" fillId="3" borderId="0" xfId="2" applyNumberFormat="1" applyFont="1" applyFill="1"/>
    <xf numFmtId="182" fontId="3" fillId="2" borderId="0" xfId="2" applyNumberFormat="1" applyFont="1" applyFill="1" applyBorder="1" applyAlignment="1"/>
    <xf numFmtId="164" fontId="8" fillId="2" borderId="0" xfId="8" applyFont="1" applyFill="1" applyBorder="1" applyAlignment="1"/>
    <xf numFmtId="165" fontId="3" fillId="0" borderId="9" xfId="1" applyNumberFormat="1" applyFont="1" applyFill="1" applyBorder="1"/>
    <xf numFmtId="164" fontId="8" fillId="3" borderId="0" xfId="8" applyFont="1" applyFill="1" applyBorder="1" applyAlignment="1"/>
    <xf numFmtId="164" fontId="3" fillId="3" borderId="0" xfId="8" applyFont="1" applyFill="1" applyBorder="1" applyAlignment="1"/>
    <xf numFmtId="0" fontId="3" fillId="2" borderId="0" xfId="1" applyNumberFormat="1" applyFont="1" applyFill="1" applyBorder="1" applyAlignment="1">
      <alignment horizontal="right"/>
    </xf>
    <xf numFmtId="164" fontId="3" fillId="0" borderId="8" xfId="8" applyFont="1" applyBorder="1"/>
    <xf numFmtId="164" fontId="3" fillId="0" borderId="0" xfId="8" applyFont="1"/>
    <xf numFmtId="164" fontId="3" fillId="2" borderId="0" xfId="8" applyFont="1" applyFill="1"/>
    <xf numFmtId="0" fontId="3" fillId="2" borderId="0" xfId="1" applyNumberFormat="1" applyFont="1" applyFill="1"/>
    <xf numFmtId="164" fontId="3" fillId="0" borderId="8" xfId="6" applyFont="1" applyBorder="1"/>
    <xf numFmtId="164" fontId="3" fillId="2" borderId="0" xfId="6" applyFont="1" applyFill="1"/>
    <xf numFmtId="164" fontId="3" fillId="0" borderId="12" xfId="6" applyFont="1" applyBorder="1"/>
    <xf numFmtId="164" fontId="3" fillId="0" borderId="13" xfId="6" applyFont="1" applyBorder="1"/>
    <xf numFmtId="164" fontId="3" fillId="0" borderId="14" xfId="6" applyFont="1" applyBorder="1"/>
    <xf numFmtId="43" fontId="3" fillId="0" borderId="14" xfId="1" applyFont="1" applyBorder="1"/>
    <xf numFmtId="164" fontId="7" fillId="0" borderId="12" xfId="6" applyFont="1" applyBorder="1"/>
    <xf numFmtId="164" fontId="7" fillId="0" borderId="14" xfId="6" applyFont="1" applyBorder="1"/>
    <xf numFmtId="164" fontId="7" fillId="0" borderId="13" xfId="6" applyFont="1" applyBorder="1"/>
    <xf numFmtId="165" fontId="3" fillId="0" borderId="14" xfId="1" applyNumberFormat="1" applyFont="1" applyBorder="1"/>
    <xf numFmtId="1" fontId="3" fillId="0" borderId="0" xfId="1" applyNumberFormat="1" applyFont="1" applyAlignment="1">
      <alignment horizontal="center"/>
    </xf>
    <xf numFmtId="164" fontId="3" fillId="0" borderId="1" xfId="6" applyFont="1" applyBorder="1"/>
    <xf numFmtId="164" fontId="3" fillId="0" borderId="0" xfId="6" applyFont="1" applyAlignment="1">
      <alignment horizontal="center" vertical="top"/>
    </xf>
    <xf numFmtId="164" fontId="3" fillId="0" borderId="0" xfId="6" applyFont="1" applyAlignment="1">
      <alignment horizontal="left" vertical="top" wrapText="1"/>
    </xf>
    <xf numFmtId="164" fontId="3" fillId="0" borderId="0" xfId="6" applyFont="1" applyAlignment="1">
      <alignment horizontal="left" wrapText="1"/>
    </xf>
    <xf numFmtId="164" fontId="3" fillId="0" borderId="0" xfId="6" applyFont="1" applyAlignment="1">
      <alignment horizontal="left"/>
    </xf>
    <xf numFmtId="164" fontId="17" fillId="0" borderId="0" xfId="0" applyFont="1" applyAlignment="1">
      <alignment horizontal="left" vertical="center" wrapText="1"/>
    </xf>
    <xf numFmtId="165" fontId="0" fillId="0" borderId="0" xfId="1" applyNumberFormat="1" applyFont="1"/>
    <xf numFmtId="164" fontId="17" fillId="0" borderId="0" xfId="0" applyFont="1"/>
    <xf numFmtId="0" fontId="10" fillId="0" borderId="0" xfId="6" applyNumberFormat="1" applyFont="1" applyProtection="1">
      <protection locked="0"/>
    </xf>
    <xf numFmtId="0" fontId="10" fillId="0" borderId="0" xfId="6" applyNumberFormat="1" applyFont="1" applyAlignment="1" applyProtection="1">
      <alignment horizontal="center"/>
      <protection locked="0"/>
    </xf>
    <xf numFmtId="0" fontId="17" fillId="0" borderId="0" xfId="6" applyNumberFormat="1" applyFont="1" applyAlignment="1">
      <alignment horizontal="right"/>
    </xf>
    <xf numFmtId="3" fontId="10" fillId="0" borderId="0" xfId="6" applyNumberFormat="1" applyFont="1"/>
    <xf numFmtId="0" fontId="17" fillId="0" borderId="0" xfId="6" applyNumberFormat="1" applyFont="1" applyAlignment="1" applyProtection="1">
      <alignment horizontal="center"/>
      <protection locked="0"/>
    </xf>
    <xf numFmtId="164" fontId="0" fillId="0" borderId="0" xfId="6" applyFont="1"/>
    <xf numFmtId="0" fontId="10" fillId="0" borderId="0" xfId="6" applyNumberFormat="1" applyFont="1"/>
    <xf numFmtId="0" fontId="17" fillId="0" borderId="0" xfId="6" applyNumberFormat="1" applyFont="1" applyAlignment="1">
      <alignment horizontal="center"/>
    </xf>
    <xf numFmtId="164" fontId="4" fillId="0" borderId="0" xfId="6"/>
    <xf numFmtId="0" fontId="17" fillId="0" borderId="0" xfId="5" applyNumberFormat="1" applyFont="1" applyAlignment="1">
      <alignment horizontal="center"/>
    </xf>
    <xf numFmtId="165" fontId="17" fillId="0" borderId="0" xfId="1" applyNumberFormat="1" applyFont="1"/>
    <xf numFmtId="178" fontId="17" fillId="0" borderId="0" xfId="0" applyNumberFormat="1" applyFont="1"/>
    <xf numFmtId="165" fontId="17" fillId="0" borderId="0" xfId="1" applyNumberFormat="1" applyFont="1" applyAlignment="1" applyProtection="1">
      <alignment horizontal="center"/>
      <protection locked="0"/>
    </xf>
    <xf numFmtId="0" fontId="17" fillId="0" borderId="0" xfId="5" applyNumberFormat="1" applyFont="1" applyProtection="1">
      <protection locked="0"/>
    </xf>
    <xf numFmtId="3" fontId="17" fillId="0" borderId="0" xfId="5" applyNumberFormat="1" applyFont="1"/>
    <xf numFmtId="3" fontId="17" fillId="0" borderId="1" xfId="5" applyNumberFormat="1" applyFont="1" applyBorder="1" applyAlignment="1">
      <alignment horizontal="center"/>
    </xf>
    <xf numFmtId="0" fontId="17" fillId="0" borderId="0" xfId="5" applyNumberFormat="1" applyFont="1"/>
    <xf numFmtId="3" fontId="17" fillId="0" borderId="0" xfId="5" applyNumberFormat="1" applyFont="1" applyAlignment="1">
      <alignment horizontal="center"/>
    </xf>
    <xf numFmtId="0" fontId="17" fillId="0" borderId="1" xfId="5" applyNumberFormat="1" applyFont="1" applyBorder="1" applyAlignment="1" applyProtection="1">
      <alignment horizontal="center"/>
      <protection locked="0"/>
    </xf>
    <xf numFmtId="164" fontId="17" fillId="0" borderId="0" xfId="5" applyFont="1"/>
    <xf numFmtId="43" fontId="17" fillId="2" borderId="0" xfId="1" applyFont="1" applyFill="1" applyAlignment="1">
      <alignment horizontal="center"/>
    </xf>
    <xf numFmtId="43" fontId="17" fillId="2" borderId="0" xfId="1" applyFont="1" applyFill="1"/>
    <xf numFmtId="43" fontId="17" fillId="0" borderId="0" xfId="1" applyFont="1"/>
    <xf numFmtId="43" fontId="17" fillId="3" borderId="0" xfId="1" applyFont="1" applyFill="1"/>
    <xf numFmtId="164" fontId="17" fillId="0" borderId="0" xfId="5" applyFont="1" applyAlignment="1">
      <alignment wrapText="1"/>
    </xf>
    <xf numFmtId="43" fontId="17" fillId="3" borderId="1" xfId="1" applyFont="1" applyFill="1" applyBorder="1" applyAlignment="1">
      <alignment horizontal="center"/>
    </xf>
    <xf numFmtId="170" fontId="17" fillId="6" borderId="0" xfId="1" applyNumberFormat="1" applyFont="1" applyFill="1"/>
    <xf numFmtId="43" fontId="17" fillId="0" borderId="1" xfId="1" applyFont="1" applyBorder="1"/>
    <xf numFmtId="43" fontId="17" fillId="0" borderId="0" xfId="1" applyFont="1" applyAlignment="1">
      <alignment horizontal="center"/>
    </xf>
    <xf numFmtId="166" fontId="17" fillId="0" borderId="0" xfId="5" applyNumberFormat="1" applyFont="1" applyAlignment="1">
      <alignment horizontal="center"/>
    </xf>
    <xf numFmtId="172" fontId="17" fillId="0" borderId="0" xfId="5" applyNumberFormat="1" applyFont="1" applyAlignment="1">
      <alignment horizontal="left"/>
    </xf>
    <xf numFmtId="175" fontId="10" fillId="0" borderId="0" xfId="1" applyNumberFormat="1" applyFont="1" applyAlignment="1">
      <alignment horizontal="right"/>
    </xf>
    <xf numFmtId="43" fontId="17" fillId="0" borderId="0" xfId="1" applyFont="1" applyAlignment="1">
      <alignment horizontal="right"/>
    </xf>
    <xf numFmtId="10" fontId="17" fillId="0" borderId="0" xfId="5" applyNumberFormat="1" applyFont="1" applyAlignment="1">
      <alignment horizontal="left"/>
    </xf>
    <xf numFmtId="3" fontId="17" fillId="0" borderId="0" xfId="4" applyNumberFormat="1" applyFont="1"/>
    <xf numFmtId="166" fontId="17" fillId="0" borderId="0" xfId="4" applyNumberFormat="1" applyFont="1"/>
    <xf numFmtId="0" fontId="17" fillId="0" borderId="0" xfId="4" applyFont="1"/>
    <xf numFmtId="43" fontId="17" fillId="0" borderId="13" xfId="1" applyFont="1" applyBorder="1" applyAlignment="1">
      <alignment horizontal="right"/>
    </xf>
    <xf numFmtId="172" fontId="17" fillId="0" borderId="0" xfId="5" applyNumberFormat="1" applyFont="1" applyAlignment="1" applyProtection="1">
      <alignment horizontal="left"/>
      <protection locked="0"/>
    </xf>
    <xf numFmtId="43" fontId="17" fillId="0" borderId="13" xfId="1" applyFont="1" applyBorder="1"/>
    <xf numFmtId="165" fontId="17" fillId="0" borderId="0" xfId="1" applyNumberFormat="1" applyFont="1" applyAlignment="1">
      <alignment horizontal="left" indent="2"/>
    </xf>
    <xf numFmtId="175" fontId="17" fillId="0" borderId="0" xfId="1" applyNumberFormat="1" applyFont="1"/>
    <xf numFmtId="165" fontId="0" fillId="0" borderId="0" xfId="1" applyNumberFormat="1" applyFont="1" applyAlignment="1">
      <alignment horizontal="center"/>
    </xf>
    <xf numFmtId="0" fontId="3" fillId="0" borderId="0" xfId="1" applyNumberFormat="1" applyFont="1" applyAlignment="1">
      <alignment horizontal="center"/>
    </xf>
    <xf numFmtId="0" fontId="3" fillId="0" borderId="0" xfId="9" applyNumberFormat="1" applyFont="1" applyAlignment="1" applyProtection="1">
      <alignment horizontal="center"/>
      <protection locked="0"/>
    </xf>
    <xf numFmtId="0" fontId="3" fillId="0" borderId="0" xfId="1" applyNumberFormat="1" applyFont="1" applyAlignment="1" applyProtection="1">
      <alignment horizontal="center"/>
      <protection locked="0"/>
    </xf>
    <xf numFmtId="164" fontId="18" fillId="0" borderId="0" xfId="6" applyFont="1"/>
    <xf numFmtId="164" fontId="3" fillId="0" borderId="10" xfId="0" applyFont="1" applyBorder="1" applyAlignment="1">
      <alignment horizontal="center"/>
    </xf>
    <xf numFmtId="164" fontId="3" fillId="0" borderId="15" xfId="0" applyFont="1" applyBorder="1" applyAlignment="1">
      <alignment horizontal="center"/>
    </xf>
    <xf numFmtId="164" fontId="3" fillId="0" borderId="10" xfId="0" applyFont="1" applyBorder="1"/>
    <xf numFmtId="164" fontId="3" fillId="0" borderId="11" xfId="0" applyFont="1" applyBorder="1" applyAlignment="1">
      <alignment horizontal="center"/>
    </xf>
    <xf numFmtId="164" fontId="3" fillId="0" borderId="16" xfId="0" applyFont="1" applyBorder="1"/>
    <xf numFmtId="164" fontId="3" fillId="0" borderId="15" xfId="0" applyFont="1" applyBorder="1"/>
    <xf numFmtId="164" fontId="3" fillId="0" borderId="12" xfId="0" applyFont="1" applyBorder="1" applyAlignment="1">
      <alignment horizontal="center"/>
    </xf>
    <xf numFmtId="164" fontId="3" fillId="0" borderId="17" xfId="0" applyFont="1" applyBorder="1" applyAlignment="1">
      <alignment horizontal="center"/>
    </xf>
    <xf numFmtId="164" fontId="3" fillId="0" borderId="12" xfId="0" applyFont="1" applyBorder="1"/>
    <xf numFmtId="164" fontId="3" fillId="0" borderId="14" xfId="0" applyFont="1" applyBorder="1" applyAlignment="1">
      <alignment horizontal="center"/>
    </xf>
    <xf numFmtId="164" fontId="3" fillId="0" borderId="13" xfId="0" applyFont="1" applyBorder="1"/>
    <xf numFmtId="164" fontId="3" fillId="0" borderId="17" xfId="0" applyFont="1" applyBorder="1"/>
    <xf numFmtId="0" fontId="3" fillId="3" borderId="0" xfId="0" applyNumberFormat="1" applyFont="1" applyFill="1" applyAlignment="1">
      <alignment horizontal="left"/>
    </xf>
    <xf numFmtId="164" fontId="3" fillId="0" borderId="11" xfId="0" applyFont="1" applyBorder="1"/>
    <xf numFmtId="182" fontId="3" fillId="3" borderId="8" xfId="2" applyNumberFormat="1" applyFont="1" applyFill="1" applyBorder="1"/>
    <xf numFmtId="164" fontId="3" fillId="0" borderId="9" xfId="0" applyFont="1" applyBorder="1"/>
    <xf numFmtId="164" fontId="3" fillId="0" borderId="2" xfId="0" applyFont="1" applyBorder="1" applyAlignment="1">
      <alignment horizontal="center"/>
    </xf>
    <xf numFmtId="164" fontId="3" fillId="0" borderId="9" xfId="0" applyFont="1" applyBorder="1" applyAlignment="1">
      <alignment horizontal="center"/>
    </xf>
    <xf numFmtId="164" fontId="3" fillId="0" borderId="8" xfId="0" applyFont="1" applyBorder="1" applyAlignment="1">
      <alignment horizontal="center"/>
    </xf>
    <xf numFmtId="164" fontId="3" fillId="0" borderId="10" xfId="0" applyFont="1" applyBorder="1" applyAlignment="1">
      <alignment horizontal="center"/>
    </xf>
    <xf numFmtId="164" fontId="18" fillId="0" borderId="14" xfId="6" applyFont="1" applyBorder="1" applyAlignment="1">
      <alignment horizontal="center"/>
    </xf>
    <xf numFmtId="43" fontId="3" fillId="3" borderId="10" xfId="1" applyFont="1" applyFill="1" applyBorder="1"/>
    <xf numFmtId="43" fontId="3" fillId="0" borderId="11" xfId="1" applyFont="1" applyBorder="1"/>
    <xf numFmtId="43" fontId="3" fillId="0" borderId="18" xfId="1" applyFont="1" applyBorder="1"/>
    <xf numFmtId="43" fontId="3" fillId="3" borderId="15" xfId="1" applyFont="1" applyFill="1" applyBorder="1"/>
    <xf numFmtId="43" fontId="3" fillId="0" borderId="9" xfId="1" applyFont="1" applyBorder="1" applyAlignment="1">
      <alignment horizontal="center"/>
    </xf>
    <xf numFmtId="43" fontId="3" fillId="3" borderId="11" xfId="1" applyFont="1" applyFill="1" applyBorder="1" applyAlignment="1">
      <alignment horizontal="center"/>
    </xf>
    <xf numFmtId="164" fontId="3" fillId="3" borderId="9" xfId="0" applyFont="1" applyFill="1" applyBorder="1"/>
    <xf numFmtId="43" fontId="3" fillId="3" borderId="8" xfId="1" applyFont="1" applyFill="1" applyBorder="1"/>
    <xf numFmtId="43" fontId="3" fillId="3" borderId="18" xfId="1" applyFont="1" applyFill="1" applyBorder="1"/>
    <xf numFmtId="43" fontId="3" fillId="3" borderId="9" xfId="1" applyFont="1" applyFill="1" applyBorder="1"/>
    <xf numFmtId="164" fontId="3" fillId="2" borderId="9" xfId="8" applyFont="1" applyFill="1" applyBorder="1" applyAlignment="1"/>
    <xf numFmtId="164" fontId="8" fillId="2" borderId="9" xfId="8" applyFont="1" applyFill="1" applyBorder="1" applyAlignment="1"/>
    <xf numFmtId="164" fontId="3" fillId="0" borderId="14" xfId="0" applyFont="1" applyBorder="1"/>
    <xf numFmtId="182" fontId="3" fillId="0" borderId="12" xfId="2" applyNumberFormat="1" applyFont="1" applyBorder="1"/>
    <xf numFmtId="10" fontId="3" fillId="0" borderId="14" xfId="3" applyNumberFormat="1" applyFont="1" applyBorder="1"/>
    <xf numFmtId="182" fontId="3" fillId="0" borderId="17" xfId="2" applyNumberFormat="1" applyFont="1" applyBorder="1"/>
    <xf numFmtId="10" fontId="3" fillId="3" borderId="0" xfId="1" applyNumberFormat="1" applyFont="1" applyFill="1"/>
    <xf numFmtId="0" fontId="8" fillId="0" borderId="0" xfId="1" applyNumberFormat="1" applyFont="1" applyAlignment="1">
      <alignment horizontal="left"/>
    </xf>
    <xf numFmtId="164" fontId="3" fillId="0" borderId="13" xfId="6" applyFont="1" applyBorder="1" applyAlignment="1">
      <alignment horizontal="center"/>
    </xf>
    <xf numFmtId="164" fontId="3" fillId="0" borderId="10" xfId="6" applyFont="1" applyBorder="1" applyAlignment="1">
      <alignment horizontal="center"/>
    </xf>
    <xf numFmtId="164" fontId="3" fillId="0" borderId="11" xfId="6" applyFont="1" applyBorder="1" applyAlignment="1">
      <alignment horizontal="center"/>
    </xf>
    <xf numFmtId="164" fontId="3" fillId="0" borderId="8" xfId="6" applyFont="1" applyBorder="1" applyAlignment="1">
      <alignment horizontal="center"/>
    </xf>
    <xf numFmtId="164" fontId="3" fillId="0" borderId="9" xfId="6" applyFont="1" applyBorder="1" applyAlignment="1">
      <alignment horizontal="center"/>
    </xf>
    <xf numFmtId="43" fontId="3" fillId="3" borderId="8" xfId="1" applyFont="1" applyFill="1" applyBorder="1" applyAlignment="1">
      <alignment horizontal="center"/>
    </xf>
    <xf numFmtId="164" fontId="3" fillId="0" borderId="12" xfId="6" applyFont="1" applyBorder="1" applyAlignment="1">
      <alignment horizontal="center"/>
    </xf>
    <xf numFmtId="165" fontId="3" fillId="3" borderId="14" xfId="1" applyNumberFormat="1" applyFont="1" applyFill="1" applyBorder="1"/>
    <xf numFmtId="0" fontId="3" fillId="0" borderId="0" xfId="10" applyFont="1"/>
    <xf numFmtId="0" fontId="3" fillId="0" borderId="0" xfId="1" applyNumberFormat="1" applyFont="1" applyAlignment="1">
      <alignment horizontal="center" vertical="top"/>
    </xf>
    <xf numFmtId="164" fontId="3" fillId="0" borderId="0" xfId="0" applyFont="1" applyAlignment="1">
      <alignment horizontal="left" vertical="top" wrapText="1"/>
    </xf>
    <xf numFmtId="0" fontId="3" fillId="0" borderId="0" xfId="0" applyNumberFormat="1" applyFont="1" applyAlignment="1">
      <alignment horizontal="center" vertical="top"/>
    </xf>
    <xf numFmtId="164" fontId="3" fillId="0" borderId="0" xfId="0" applyFont="1" applyAlignment="1">
      <alignment horizontal="left" vertical="top" wrapText="1"/>
    </xf>
    <xf numFmtId="0" fontId="9" fillId="0" borderId="0" xfId="0" applyNumberFormat="1" applyFont="1" applyAlignment="1">
      <alignment horizontal="center"/>
    </xf>
    <xf numFmtId="0" fontId="3" fillId="0" borderId="0" xfId="11" applyFont="1"/>
    <xf numFmtId="0" fontId="3" fillId="0" borderId="0" xfId="11" applyFont="1" applyAlignment="1">
      <alignment horizontal="right"/>
    </xf>
    <xf numFmtId="0" fontId="3" fillId="0" borderId="0" xfId="0" applyNumberFormat="1" applyFont="1" applyAlignment="1">
      <alignment horizontal="center"/>
    </xf>
    <xf numFmtId="0" fontId="3" fillId="0" borderId="0" xfId="11" applyFont="1" applyAlignment="1">
      <alignment horizontal="center"/>
    </xf>
    <xf numFmtId="164" fontId="3" fillId="0" borderId="0" xfId="0" applyFont="1" applyAlignment="1">
      <alignment horizontal="right"/>
    </xf>
    <xf numFmtId="0" fontId="8" fillId="0" borderId="0" xfId="11" applyFont="1" applyAlignment="1">
      <alignment horizontal="centerContinuous"/>
    </xf>
    <xf numFmtId="0" fontId="8" fillId="0" borderId="0" xfId="11" applyFont="1" applyAlignment="1">
      <alignment horizontal="center"/>
    </xf>
    <xf numFmtId="0" fontId="8" fillId="0" borderId="0" xfId="11" applyFont="1" applyAlignment="1">
      <alignment horizontal="center"/>
    </xf>
    <xf numFmtId="164" fontId="8" fillId="0" borderId="0" xfId="0" applyFont="1" applyAlignment="1">
      <alignment horizontal="center"/>
    </xf>
    <xf numFmtId="0" fontId="3" fillId="0" borderId="0" xfId="0" applyNumberFormat="1" applyFont="1" applyAlignment="1">
      <alignment horizontal="center" wrapText="1"/>
    </xf>
    <xf numFmtId="0" fontId="8" fillId="0" borderId="0" xfId="11" applyFont="1" applyAlignment="1">
      <alignment horizontal="center" wrapText="1"/>
    </xf>
    <xf numFmtId="164" fontId="3" fillId="0" borderId="0" xfId="0" applyFont="1" applyAlignment="1">
      <alignment wrapText="1"/>
    </xf>
    <xf numFmtId="0" fontId="8" fillId="0" borderId="0" xfId="7" applyFont="1" applyAlignment="1">
      <alignment horizontal="center" wrapText="1"/>
    </xf>
    <xf numFmtId="0" fontId="3" fillId="0" borderId="0" xfId="12" applyFont="1" applyAlignment="1">
      <alignment horizontal="left" wrapText="1"/>
    </xf>
    <xf numFmtId="0" fontId="3" fillId="0" borderId="0" xfId="11" applyFont="1" applyAlignment="1">
      <alignment horizontal="center" wrapText="1"/>
    </xf>
    <xf numFmtId="0" fontId="3" fillId="0" borderId="0" xfId="7" applyFont="1" applyAlignment="1">
      <alignment horizontal="center" wrapText="1"/>
    </xf>
    <xf numFmtId="3" fontId="3" fillId="0" borderId="0" xfId="4" applyNumberFormat="1" applyFont="1" applyAlignment="1">
      <alignment wrapText="1"/>
    </xf>
    <xf numFmtId="3" fontId="3" fillId="0" borderId="0" xfId="4" applyNumberFormat="1" applyFont="1" applyAlignment="1">
      <alignment horizontal="center" wrapText="1"/>
    </xf>
    <xf numFmtId="0" fontId="3" fillId="0" borderId="0" xfId="11" quotePrefix="1" applyFont="1" applyAlignment="1">
      <alignment horizontal="left"/>
    </xf>
    <xf numFmtId="41" fontId="3" fillId="2" borderId="0" xfId="11" applyNumberFormat="1" applyFont="1" applyFill="1"/>
    <xf numFmtId="41" fontId="3" fillId="3" borderId="0" xfId="11" applyNumberFormat="1" applyFont="1" applyFill="1"/>
    <xf numFmtId="165" fontId="3" fillId="0" borderId="5" xfId="1" applyNumberFormat="1" applyFont="1" applyFill="1" applyBorder="1"/>
    <xf numFmtId="37" fontId="3" fillId="0" borderId="0" xfId="11" applyNumberFormat="1" applyFont="1"/>
    <xf numFmtId="164" fontId="3" fillId="0" borderId="0" xfId="13" applyFont="1"/>
    <xf numFmtId="0" fontId="8" fillId="0" borderId="0" xfId="11" applyFont="1" applyAlignment="1">
      <alignment horizontal="centerContinuous" wrapText="1"/>
    </xf>
    <xf numFmtId="41" fontId="3" fillId="7" borderId="0" xfId="11" applyNumberFormat="1" applyFont="1" applyFill="1"/>
    <xf numFmtId="43" fontId="3" fillId="0" borderId="5" xfId="1" applyFont="1" applyBorder="1"/>
    <xf numFmtId="43" fontId="3" fillId="0" borderId="5" xfId="1" applyFont="1" applyFill="1" applyBorder="1"/>
    <xf numFmtId="44" fontId="3" fillId="0" borderId="0" xfId="0" applyNumberFormat="1" applyFont="1"/>
    <xf numFmtId="0" fontId="3" fillId="0" borderId="0" xfId="14" applyFont="1"/>
    <xf numFmtId="0" fontId="3" fillId="0" borderId="0" xfId="14" applyFont="1" applyAlignment="1">
      <alignment horizontal="center"/>
    </xf>
    <xf numFmtId="3" fontId="3" fillId="0" borderId="0" xfId="14" applyNumberFormat="1" applyFont="1" applyAlignment="1">
      <alignment horizontal="center" wrapText="1"/>
    </xf>
    <xf numFmtId="0" fontId="3" fillId="0" borderId="0" xfId="14" applyFont="1" applyAlignment="1">
      <alignment horizontal="center" wrapText="1"/>
    </xf>
    <xf numFmtId="0" fontId="3" fillId="3" borderId="0" xfId="14" applyFont="1" applyFill="1"/>
    <xf numFmtId="164" fontId="9" fillId="3" borderId="0" xfId="0" applyFont="1" applyFill="1"/>
    <xf numFmtId="165" fontId="3" fillId="0" borderId="0" xfId="1" applyNumberFormat="1" applyFont="1" applyAlignment="1">
      <alignment horizontal="center" wrapText="1"/>
    </xf>
    <xf numFmtId="0" fontId="3" fillId="3" borderId="13" xfId="14" applyFont="1" applyFill="1" applyBorder="1"/>
    <xf numFmtId="165" fontId="3" fillId="3" borderId="13" xfId="1" applyNumberFormat="1" applyFont="1" applyFill="1" applyBorder="1"/>
    <xf numFmtId="165" fontId="3" fillId="3" borderId="13" xfId="1" applyNumberFormat="1" applyFont="1" applyFill="1" applyBorder="1" applyAlignment="1">
      <alignment horizontal="center"/>
    </xf>
    <xf numFmtId="164" fontId="9" fillId="3" borderId="13" xfId="0" applyFont="1" applyFill="1" applyBorder="1"/>
    <xf numFmtId="165" fontId="3" fillId="0" borderId="13" xfId="1" applyNumberFormat="1" applyFont="1" applyBorder="1" applyAlignment="1">
      <alignment horizontal="center" wrapText="1"/>
    </xf>
    <xf numFmtId="0" fontId="7" fillId="0" borderId="0" xfId="0" applyNumberFormat="1" applyFont="1" applyAlignment="1">
      <alignment horizontal="center"/>
    </xf>
    <xf numFmtId="164" fontId="7" fillId="0" borderId="0" xfId="0" applyFont="1" applyAlignment="1">
      <alignment horizontal="center"/>
    </xf>
    <xf numFmtId="44" fontId="7" fillId="0" borderId="0" xfId="0" applyNumberFormat="1" applyFont="1"/>
    <xf numFmtId="164" fontId="3" fillId="0" borderId="0" xfId="0" applyFont="1" applyAlignment="1">
      <alignment horizontal="left" vertical="center" wrapText="1"/>
    </xf>
    <xf numFmtId="164" fontId="3" fillId="0" borderId="0" xfId="0" applyFont="1" applyAlignment="1">
      <alignment vertical="center" wrapText="1"/>
    </xf>
    <xf numFmtId="164" fontId="3" fillId="0" borderId="0" xfId="0" applyFont="1" applyAlignment="1">
      <alignment horizontal="left" vertical="center"/>
    </xf>
    <xf numFmtId="164" fontId="3" fillId="0" borderId="0" xfId="0" applyFont="1" applyAlignment="1">
      <alignment horizontal="left" vertical="center" wrapText="1"/>
    </xf>
    <xf numFmtId="0" fontId="3" fillId="0" borderId="0" xfId="4" applyFont="1" applyAlignment="1">
      <alignment horizontal="left" vertical="top" wrapText="1"/>
    </xf>
    <xf numFmtId="0" fontId="7" fillId="0" borderId="0" xfId="4" applyFont="1" applyAlignment="1">
      <alignment horizontal="left" vertical="top" wrapText="1"/>
    </xf>
    <xf numFmtId="0" fontId="3" fillId="0" borderId="0" xfId="0" applyNumberFormat="1" applyFont="1" applyAlignment="1">
      <alignment vertical="top"/>
    </xf>
    <xf numFmtId="0" fontId="3" fillId="0" borderId="0" xfId="5" quotePrefix="1" applyNumberFormat="1" applyFont="1" applyProtection="1">
      <protection locked="0"/>
    </xf>
    <xf numFmtId="49" fontId="9" fillId="0" borderId="0" xfId="0" applyNumberFormat="1" applyFont="1" applyAlignment="1">
      <alignment horizontal="center"/>
    </xf>
    <xf numFmtId="49" fontId="3" fillId="0" borderId="0" xfId="0" applyNumberFormat="1" applyFont="1" applyAlignment="1">
      <alignment horizontal="center" vertical="center" wrapText="1"/>
    </xf>
    <xf numFmtId="0" fontId="3" fillId="0" borderId="0" xfId="12" applyFont="1" applyAlignment="1">
      <alignment horizontal="center" vertical="center" wrapText="1"/>
    </xf>
    <xf numFmtId="164" fontId="3" fillId="0" borderId="0" xfId="0" applyFont="1" applyAlignment="1">
      <alignment horizontal="center" vertical="center" wrapText="1"/>
    </xf>
    <xf numFmtId="0" fontId="7" fillId="0" borderId="0" xfId="12" applyFont="1" applyAlignment="1">
      <alignment horizontal="center" vertical="center" wrapText="1"/>
    </xf>
    <xf numFmtId="0" fontId="3" fillId="0" borderId="0" xfId="12" applyFont="1" applyAlignment="1">
      <alignment horizontal="center"/>
    </xf>
    <xf numFmtId="49" fontId="3" fillId="0" borderId="0" xfId="0" applyNumberFormat="1" applyFont="1" applyAlignment="1">
      <alignment horizontal="center"/>
    </xf>
    <xf numFmtId="0" fontId="7" fillId="0" borderId="0" xfId="12" applyFont="1" applyAlignment="1">
      <alignment horizontal="center"/>
    </xf>
    <xf numFmtId="0" fontId="3" fillId="0" borderId="0" xfId="12" applyFont="1" applyAlignment="1">
      <alignment horizontal="center" wrapText="1"/>
    </xf>
    <xf numFmtId="164" fontId="3" fillId="0" borderId="0" xfId="0" applyFont="1" applyAlignment="1">
      <alignment horizontal="center" wrapText="1"/>
    </xf>
    <xf numFmtId="164" fontId="9" fillId="0" borderId="0" xfId="0" applyFont="1" applyAlignment="1">
      <alignment horizontal="center"/>
    </xf>
    <xf numFmtId="0" fontId="3" fillId="0" borderId="0" xfId="12" applyFont="1" applyAlignment="1">
      <alignment wrapText="1"/>
    </xf>
    <xf numFmtId="0" fontId="3" fillId="0" borderId="0" xfId="12" applyFont="1"/>
    <xf numFmtId="165" fontId="3" fillId="2" borderId="0" xfId="1" applyNumberFormat="1" applyFont="1" applyFill="1" applyAlignment="1">
      <alignment horizontal="right"/>
    </xf>
    <xf numFmtId="43" fontId="3" fillId="3" borderId="0" xfId="1" applyFont="1" applyFill="1"/>
    <xf numFmtId="43" fontId="21" fillId="0" borderId="0" xfId="1" applyFont="1"/>
    <xf numFmtId="0" fontId="3" fillId="0" borderId="16" xfId="12" applyFont="1" applyBorder="1"/>
    <xf numFmtId="165" fontId="3" fillId="0" borderId="16" xfId="2" applyNumberFormat="1" applyFont="1" applyBorder="1" applyAlignment="1">
      <alignment horizontal="right"/>
    </xf>
    <xf numFmtId="182" fontId="3" fillId="0" borderId="16" xfId="2" applyNumberFormat="1" applyFont="1" applyBorder="1"/>
    <xf numFmtId="182" fontId="3" fillId="0" borderId="16" xfId="2" applyNumberFormat="1" applyFont="1" applyFill="1" applyBorder="1"/>
    <xf numFmtId="182" fontId="7" fillId="0" borderId="0" xfId="2" applyNumberFormat="1" applyFont="1"/>
    <xf numFmtId="0" fontId="7" fillId="0" borderId="0" xfId="12" applyFont="1"/>
    <xf numFmtId="164" fontId="8" fillId="0" borderId="0" xfId="0" applyFont="1"/>
    <xf numFmtId="164" fontId="8" fillId="0" borderId="0" xfId="5" applyFont="1" applyAlignment="1">
      <alignment horizontal="center" wrapText="1"/>
    </xf>
    <xf numFmtId="0" fontId="8" fillId="0" borderId="0" xfId="5" applyNumberFormat="1" applyFont="1" applyAlignment="1" applyProtection="1">
      <alignment horizontal="center" wrapText="1"/>
      <protection locked="0"/>
    </xf>
    <xf numFmtId="0" fontId="8" fillId="0" borderId="0" xfId="4" applyFont="1" applyAlignment="1">
      <alignment horizontal="center" vertical="center" wrapText="1"/>
    </xf>
    <xf numFmtId="0" fontId="8" fillId="0" borderId="0" xfId="5" applyNumberFormat="1" applyFont="1" applyAlignment="1">
      <alignment horizontal="center" wrapText="1"/>
    </xf>
    <xf numFmtId="1" fontId="3" fillId="0" borderId="0" xfId="0" applyNumberFormat="1" applyFont="1" applyAlignment="1">
      <alignment horizontal="center"/>
    </xf>
    <xf numFmtId="3" fontId="17" fillId="0" borderId="0" xfId="0" applyNumberFormat="1" applyFont="1"/>
    <xf numFmtId="3" fontId="17" fillId="0" borderId="1" xfId="0" applyNumberFormat="1" applyFont="1" applyBorder="1" applyAlignment="1">
      <alignment horizontal="center"/>
    </xf>
    <xf numFmtId="43" fontId="3" fillId="0" borderId="0" xfId="12" applyNumberFormat="1" applyFont="1"/>
    <xf numFmtId="165" fontId="17" fillId="3" borderId="0" xfId="1" applyNumberFormat="1" applyFont="1" applyFill="1"/>
    <xf numFmtId="165" fontId="17" fillId="2" borderId="0" xfId="1" applyNumberFormat="1" applyFont="1" applyFill="1"/>
    <xf numFmtId="0" fontId="17" fillId="0" borderId="0" xfId="0" applyNumberFormat="1" applyFont="1" applyProtection="1">
      <protection locked="0"/>
    </xf>
    <xf numFmtId="165" fontId="17" fillId="0" borderId="0" xfId="1" applyNumberFormat="1" applyFont="1" applyProtection="1">
      <protection locked="0"/>
    </xf>
    <xf numFmtId="165" fontId="17" fillId="2" borderId="1" xfId="1" applyNumberFormat="1" applyFont="1" applyFill="1" applyBorder="1"/>
    <xf numFmtId="3" fontId="17" fillId="0" borderId="0" xfId="0" applyNumberFormat="1" applyFont="1" applyAlignment="1">
      <alignment horizontal="center"/>
    </xf>
    <xf numFmtId="183" fontId="3" fillId="3" borderId="0" xfId="1" applyNumberFormat="1" applyFont="1" applyFill="1"/>
    <xf numFmtId="165" fontId="3" fillId="0" borderId="1" xfId="1" applyNumberFormat="1" applyFont="1" applyBorder="1" applyAlignment="1">
      <alignment horizontal="center"/>
    </xf>
    <xf numFmtId="0" fontId="22" fillId="0" borderId="13" xfId="0" applyNumberFormat="1" applyFont="1" applyBorder="1" applyAlignment="1">
      <alignment horizontal="center"/>
    </xf>
    <xf numFmtId="0" fontId="22" fillId="0" borderId="13" xfId="0" applyNumberFormat="1" applyFont="1" applyBorder="1" applyAlignment="1">
      <alignment horizontal="left"/>
    </xf>
    <xf numFmtId="0" fontId="22" fillId="0" borderId="0" xfId="0" applyNumberFormat="1" applyFont="1" applyAlignment="1">
      <alignment horizontal="left"/>
    </xf>
    <xf numFmtId="0" fontId="22" fillId="0" borderId="13" xfId="0" applyNumberFormat="1" applyFont="1" applyBorder="1" applyAlignment="1">
      <alignment horizontal="center" wrapText="1"/>
    </xf>
    <xf numFmtId="0" fontId="23" fillId="0" borderId="0" xfId="0" applyNumberFormat="1" applyFont="1" applyAlignment="1">
      <alignment horizontal="center"/>
    </xf>
    <xf numFmtId="0" fontId="23" fillId="0" borderId="0" xfId="0" applyNumberFormat="1" applyFont="1" applyAlignment="1">
      <alignment horizontal="left"/>
    </xf>
    <xf numFmtId="0" fontId="23" fillId="0" borderId="0" xfId="0" quotePrefix="1" applyNumberFormat="1" applyFont="1" applyAlignment="1">
      <alignment horizontal="center"/>
    </xf>
    <xf numFmtId="0" fontId="23" fillId="0" borderId="0" xfId="0" applyNumberFormat="1" applyFont="1"/>
    <xf numFmtId="10" fontId="23" fillId="8" borderId="0" xfId="3" applyNumberFormat="1" applyFont="1" applyFill="1" applyAlignment="1">
      <alignment horizontal="center"/>
    </xf>
    <xf numFmtId="10" fontId="23" fillId="9" borderId="0" xfId="3" applyNumberFormat="1" applyFont="1" applyFill="1" applyAlignment="1">
      <alignment horizontal="center"/>
    </xf>
    <xf numFmtId="10" fontId="23" fillId="0" borderId="13" xfId="3" applyNumberFormat="1" applyFont="1" applyFill="1" applyBorder="1" applyAlignment="1">
      <alignment horizontal="center"/>
    </xf>
    <xf numFmtId="10" fontId="23" fillId="0" borderId="13" xfId="3" applyNumberFormat="1" applyFont="1" applyBorder="1" applyAlignment="1">
      <alignment horizontal="center"/>
    </xf>
    <xf numFmtId="10" fontId="23" fillId="0" borderId="0" xfId="3" applyNumberFormat="1" applyFont="1" applyAlignment="1">
      <alignment horizontal="center"/>
    </xf>
    <xf numFmtId="10" fontId="23" fillId="0" borderId="0" xfId="0" applyNumberFormat="1" applyFont="1" applyAlignment="1">
      <alignment horizontal="center"/>
    </xf>
    <xf numFmtId="184" fontId="0" fillId="0" borderId="0" xfId="3" applyNumberFormat="1" applyFont="1"/>
    <xf numFmtId="10" fontId="23" fillId="0" borderId="0" xfId="3" applyNumberFormat="1" applyFont="1" applyFill="1" applyAlignment="1">
      <alignment horizontal="center"/>
    </xf>
    <xf numFmtId="10" fontId="23" fillId="10" borderId="0" xfId="3" applyNumberFormat="1" applyFont="1" applyFill="1" applyAlignment="1">
      <alignment horizontal="center"/>
    </xf>
    <xf numFmtId="10" fontId="22" fillId="0" borderId="0" xfId="0" applyNumberFormat="1" applyFont="1" applyFill="1" applyAlignment="1">
      <alignment horizontal="center"/>
    </xf>
    <xf numFmtId="10" fontId="23" fillId="0" borderId="0" xfId="0" applyNumberFormat="1" applyFont="1"/>
    <xf numFmtId="0" fontId="22" fillId="0" borderId="0" xfId="0" applyNumberFormat="1" applyFont="1" applyAlignment="1">
      <alignment horizontal="center"/>
    </xf>
    <xf numFmtId="0" fontId="23" fillId="0" borderId="0" xfId="0" applyNumberFormat="1" applyFont="1" applyAlignment="1">
      <alignment horizontal="left" indent="2"/>
    </xf>
    <xf numFmtId="10" fontId="23" fillId="8" borderId="0" xfId="3" applyNumberFormat="1" applyFont="1" applyFill="1"/>
    <xf numFmtId="185" fontId="0" fillId="0" borderId="0" xfId="3" applyNumberFormat="1" applyFont="1"/>
    <xf numFmtId="10" fontId="23" fillId="8" borderId="13" xfId="3" applyNumberFormat="1" applyFont="1" applyFill="1" applyBorder="1"/>
    <xf numFmtId="10" fontId="23" fillId="0" borderId="13" xfId="0" applyNumberFormat="1" applyFont="1" applyBorder="1"/>
    <xf numFmtId="10" fontId="23" fillId="0" borderId="0" xfId="3" applyNumberFormat="1" applyFont="1"/>
    <xf numFmtId="10" fontId="22" fillId="0" borderId="0" xfId="0" applyNumberFormat="1" applyFont="1" applyAlignment="1">
      <alignment horizontal="center"/>
    </xf>
    <xf numFmtId="10" fontId="22" fillId="0" borderId="0" xfId="0" applyNumberFormat="1" applyFont="1"/>
    <xf numFmtId="10" fontId="22" fillId="0" borderId="0" xfId="0" applyNumberFormat="1" applyFont="1" applyAlignment="1">
      <alignment horizontal="center"/>
    </xf>
    <xf numFmtId="186" fontId="0" fillId="0" borderId="0" xfId="3" applyNumberFormat="1" applyFont="1"/>
    <xf numFmtId="10" fontId="23" fillId="0" borderId="0" xfId="0" applyNumberFormat="1" applyFont="1" applyFill="1"/>
    <xf numFmtId="187" fontId="0" fillId="0" borderId="0" xfId="3" applyNumberFormat="1" applyFont="1"/>
    <xf numFmtId="172" fontId="0" fillId="0" borderId="0" xfId="3" applyNumberFormat="1" applyFont="1"/>
    <xf numFmtId="10" fontId="23" fillId="0" borderId="13" xfId="3" applyNumberFormat="1" applyFont="1" applyBorder="1"/>
    <xf numFmtId="10" fontId="0" fillId="0" borderId="0" xfId="3" applyNumberFormat="1" applyFont="1"/>
    <xf numFmtId="0" fontId="23" fillId="10" borderId="0" xfId="0" applyNumberFormat="1" applyFont="1" applyFill="1"/>
    <xf numFmtId="0" fontId="22" fillId="10" borderId="0" xfId="0" applyNumberFormat="1" applyFont="1" applyFill="1" applyAlignment="1">
      <alignment wrapText="1"/>
    </xf>
    <xf numFmtId="0" fontId="22" fillId="10" borderId="0" xfId="0" applyNumberFormat="1" applyFont="1" applyFill="1" applyAlignment="1">
      <alignment horizontal="center" wrapText="1"/>
    </xf>
    <xf numFmtId="0" fontId="22" fillId="10" borderId="0" xfId="0" applyNumberFormat="1" applyFont="1" applyFill="1"/>
    <xf numFmtId="0" fontId="23" fillId="10" borderId="0" xfId="0" applyNumberFormat="1" applyFont="1" applyFill="1" applyAlignment="1">
      <alignment horizontal="right"/>
    </xf>
    <xf numFmtId="10" fontId="23" fillId="10" borderId="0" xfId="0" applyNumberFormat="1" applyFont="1" applyFill="1"/>
    <xf numFmtId="10" fontId="23" fillId="10" borderId="0" xfId="3" applyNumberFormat="1" applyFont="1" applyFill="1"/>
    <xf numFmtId="10" fontId="23" fillId="10" borderId="13" xfId="0" applyNumberFormat="1" applyFont="1" applyFill="1" applyBorder="1"/>
    <xf numFmtId="10" fontId="23" fillId="10" borderId="13" xfId="3" applyNumberFormat="1" applyFont="1" applyFill="1" applyBorder="1"/>
    <xf numFmtId="10" fontId="23" fillId="11" borderId="0" xfId="3" applyNumberFormat="1" applyFont="1" applyFill="1"/>
    <xf numFmtId="43" fontId="23" fillId="10" borderId="0" xfId="1" applyFont="1" applyFill="1"/>
    <xf numFmtId="10" fontId="0" fillId="0" borderId="0" xfId="0" applyNumberFormat="1"/>
    <xf numFmtId="0" fontId="22" fillId="0" borderId="13" xfId="15" applyFont="1" applyBorder="1" applyAlignment="1">
      <alignment wrapText="1"/>
    </xf>
    <xf numFmtId="0" fontId="22" fillId="0" borderId="0" xfId="15" applyFont="1" applyAlignment="1">
      <alignment wrapText="1"/>
    </xf>
    <xf numFmtId="165" fontId="23" fillId="0" borderId="0" xfId="1" applyNumberFormat="1" applyFont="1" applyAlignment="1">
      <alignment horizontal="center"/>
    </xf>
    <xf numFmtId="165" fontId="23" fillId="0" borderId="16" xfId="1" applyNumberFormat="1" applyFont="1" applyBorder="1" applyAlignment="1">
      <alignment horizontal="center"/>
    </xf>
    <xf numFmtId="164" fontId="8" fillId="0" borderId="0" xfId="15" applyNumberFormat="1" applyFont="1" applyAlignment="1">
      <alignment horizontal="right" wrapText="1"/>
    </xf>
    <xf numFmtId="0" fontId="23" fillId="0" borderId="0" xfId="15" applyFont="1" applyAlignment="1">
      <alignment horizontal="center"/>
    </xf>
    <xf numFmtId="0" fontId="23" fillId="0" borderId="0" xfId="15" applyFont="1" applyAlignment="1">
      <alignment horizontal="center" wrapText="1"/>
    </xf>
    <xf numFmtId="165" fontId="3" fillId="0" borderId="0" xfId="16" applyNumberFormat="1" applyFont="1" applyAlignment="1">
      <alignment horizontal="center"/>
    </xf>
    <xf numFmtId="0" fontId="23" fillId="8" borderId="0" xfId="15" applyFont="1" applyFill="1"/>
    <xf numFmtId="0" fontId="23" fillId="0" borderId="0" xfId="15" applyFont="1"/>
    <xf numFmtId="10" fontId="23" fillId="8" borderId="0" xfId="17" applyNumberFormat="1" applyFont="1" applyFill="1"/>
    <xf numFmtId="0" fontId="23" fillId="8" borderId="13" xfId="15" applyFont="1" applyFill="1" applyBorder="1"/>
    <xf numFmtId="0" fontId="23" fillId="0" borderId="13" xfId="15" applyFont="1" applyBorder="1"/>
    <xf numFmtId="10" fontId="23" fillId="8" borderId="13" xfId="17" applyNumberFormat="1" applyFont="1" applyFill="1" applyBorder="1"/>
    <xf numFmtId="10" fontId="23" fillId="0" borderId="16" xfId="3" applyNumberFormat="1" applyFont="1" applyFill="1" applyBorder="1"/>
    <xf numFmtId="10" fontId="23" fillId="0" borderId="16" xfId="3" applyNumberFormat="1" applyFont="1" applyBorder="1"/>
    <xf numFmtId="164" fontId="24" fillId="0" borderId="0" xfId="15" applyNumberFormat="1" applyFont="1" applyAlignment="1">
      <alignment horizontal="right"/>
    </xf>
    <xf numFmtId="164" fontId="24" fillId="0" borderId="0" xfId="15" applyNumberFormat="1" applyFont="1"/>
    <xf numFmtId="43" fontId="24" fillId="0" borderId="0" xfId="16" applyFont="1"/>
    <xf numFmtId="0" fontId="3" fillId="0" borderId="0" xfId="15" applyFont="1" applyAlignment="1">
      <alignment horizontal="center"/>
    </xf>
    <xf numFmtId="3" fontId="3" fillId="0" borderId="0" xfId="15" applyNumberFormat="1" applyFont="1" applyAlignment="1">
      <alignment horizontal="center"/>
    </xf>
    <xf numFmtId="0" fontId="3" fillId="5" borderId="0" xfId="15" applyFont="1" applyFill="1" applyAlignment="1">
      <alignment horizontal="center"/>
    </xf>
    <xf numFmtId="0" fontId="3" fillId="0" borderId="0" xfId="15" applyFont="1" applyAlignment="1">
      <alignment horizontal="center"/>
    </xf>
    <xf numFmtId="0" fontId="3" fillId="0" borderId="0" xfId="15" applyFont="1"/>
    <xf numFmtId="49" fontId="3" fillId="0" borderId="0" xfId="15" quotePrefix="1" applyNumberFormat="1" applyFont="1" applyAlignment="1">
      <alignment horizontal="center"/>
    </xf>
    <xf numFmtId="0" fontId="3" fillId="0" borderId="13" xfId="15" applyFont="1" applyBorder="1" applyAlignment="1">
      <alignment horizontal="center" vertical="top"/>
    </xf>
    <xf numFmtId="0" fontId="3" fillId="0" borderId="13" xfId="15" applyFont="1" applyBorder="1" applyAlignment="1">
      <alignment horizontal="center" vertical="top" wrapText="1"/>
    </xf>
    <xf numFmtId="0" fontId="3" fillId="0" borderId="0" xfId="15" applyFont="1" applyAlignment="1">
      <alignment horizontal="left"/>
    </xf>
    <xf numFmtId="0" fontId="3" fillId="0" borderId="0" xfId="15" applyFont="1" applyAlignment="1">
      <alignment horizontal="right"/>
    </xf>
    <xf numFmtId="0" fontId="3" fillId="3" borderId="0" xfId="1" applyNumberFormat="1" applyFont="1" applyFill="1" applyAlignment="1">
      <alignment horizontal="center"/>
    </xf>
    <xf numFmtId="43" fontId="3" fillId="0" borderId="0" xfId="15" applyNumberFormat="1" applyFont="1"/>
    <xf numFmtId="165" fontId="3" fillId="0" borderId="0" xfId="15" applyNumberFormat="1" applyFont="1"/>
    <xf numFmtId="9" fontId="3" fillId="0" borderId="0" xfId="15" applyNumberFormat="1" applyFont="1" applyAlignment="1">
      <alignment horizontal="left"/>
    </xf>
    <xf numFmtId="43" fontId="3" fillId="0" borderId="0" xfId="15" applyNumberFormat="1" applyFont="1" applyFill="1"/>
    <xf numFmtId="0" fontId="18" fillId="0" borderId="0" xfId="15" applyFont="1" applyAlignment="1">
      <alignment horizontal="center"/>
    </xf>
    <xf numFmtId="0" fontId="18" fillId="5" borderId="0" xfId="15" applyFont="1" applyFill="1" applyAlignment="1">
      <alignment horizontal="center"/>
    </xf>
    <xf numFmtId="0" fontId="18" fillId="0" borderId="0" xfId="15" applyFont="1"/>
    <xf numFmtId="0" fontId="18" fillId="0" borderId="0" xfId="15" applyFont="1" applyAlignment="1">
      <alignment horizontal="left"/>
    </xf>
    <xf numFmtId="0" fontId="18" fillId="0" borderId="0" xfId="15" applyFont="1" applyAlignment="1">
      <alignment horizontal="center"/>
    </xf>
    <xf numFmtId="0" fontId="18" fillId="0" borderId="13" xfId="15" applyFont="1" applyBorder="1" applyAlignment="1">
      <alignment horizontal="right" vertical="top"/>
    </xf>
    <xf numFmtId="0" fontId="18" fillId="0" borderId="13" xfId="15" applyFont="1" applyBorder="1" applyAlignment="1">
      <alignment horizontal="center" vertical="top" wrapText="1"/>
    </xf>
    <xf numFmtId="43" fontId="18" fillId="0" borderId="0" xfId="1" applyFont="1"/>
    <xf numFmtId="0" fontId="18" fillId="0" borderId="0" xfId="15" applyFont="1" applyAlignment="1">
      <alignment horizontal="right"/>
    </xf>
    <xf numFmtId="0" fontId="18" fillId="3" borderId="0" xfId="1" applyNumberFormat="1" applyFont="1" applyFill="1" applyAlignment="1">
      <alignment horizontal="center"/>
    </xf>
    <xf numFmtId="10" fontId="18" fillId="0" borderId="0" xfId="3" applyNumberFormat="1" applyFont="1"/>
    <xf numFmtId="165" fontId="18" fillId="0" borderId="0" xfId="1" applyNumberFormat="1" applyFont="1"/>
    <xf numFmtId="165" fontId="18" fillId="0" borderId="0" xfId="1" applyNumberFormat="1" applyFont="1" applyFill="1"/>
    <xf numFmtId="165" fontId="18" fillId="0" borderId="0" xfId="15" applyNumberFormat="1" applyFont="1"/>
    <xf numFmtId="165" fontId="18" fillId="3" borderId="0" xfId="1" applyNumberFormat="1" applyFont="1" applyFill="1"/>
    <xf numFmtId="43" fontId="18" fillId="0" borderId="0" xfId="15" applyNumberFormat="1" applyFont="1"/>
    <xf numFmtId="0" fontId="25" fillId="0" borderId="0" xfId="15" applyFont="1"/>
    <xf numFmtId="41" fontId="18" fillId="0" borderId="0" xfId="15" applyNumberFormat="1" applyFont="1" applyAlignment="1">
      <alignment horizontal="center"/>
    </xf>
    <xf numFmtId="41" fontId="26" fillId="0" borderId="0" xfId="15" applyNumberFormat="1" applyFont="1" applyAlignment="1">
      <alignment horizontal="center"/>
    </xf>
    <xf numFmtId="0" fontId="25" fillId="0" borderId="0" xfId="15" applyFont="1" applyAlignment="1">
      <alignment horizontal="right"/>
    </xf>
    <xf numFmtId="0" fontId="3" fillId="0" borderId="13" xfId="0" applyNumberFormat="1" applyFont="1" applyBorder="1" applyAlignment="1">
      <alignment horizontal="center"/>
    </xf>
    <xf numFmtId="0" fontId="3" fillId="0" borderId="13" xfId="15" applyFont="1" applyBorder="1" applyAlignment="1">
      <alignment horizontal="center"/>
    </xf>
    <xf numFmtId="0" fontId="3" fillId="0" borderId="13" xfId="15" applyFont="1" applyBorder="1"/>
    <xf numFmtId="0" fontId="3" fillId="0" borderId="13" xfId="15" applyFont="1" applyBorder="1" applyAlignment="1">
      <alignment horizontal="center" wrapText="1"/>
    </xf>
    <xf numFmtId="37" fontId="3" fillId="0" borderId="0" xfId="15" applyNumberFormat="1" applyFont="1"/>
    <xf numFmtId="0" fontId="3" fillId="0" borderId="0" xfId="15" applyFont="1" applyAlignment="1">
      <alignment horizontal="left" wrapText="1"/>
    </xf>
    <xf numFmtId="0" fontId="3" fillId="0" borderId="0" xfId="15" applyFont="1" applyAlignment="1">
      <alignment horizontal="center" wrapText="1"/>
    </xf>
    <xf numFmtId="0" fontId="3" fillId="2" borderId="19" xfId="15" applyFont="1" applyFill="1" applyBorder="1"/>
    <xf numFmtId="41" fontId="3" fillId="2" borderId="2" xfId="15" applyNumberFormat="1" applyFont="1" applyFill="1" applyBorder="1"/>
    <xf numFmtId="41" fontId="3" fillId="2" borderId="2" xfId="18" applyFont="1" applyFill="1" applyBorder="1"/>
    <xf numFmtId="0" fontId="3" fillId="2" borderId="20" xfId="15" applyFont="1" applyFill="1" applyBorder="1" applyAlignment="1">
      <alignment wrapText="1"/>
    </xf>
    <xf numFmtId="0" fontId="3" fillId="2" borderId="19" xfId="15" applyFont="1" applyFill="1" applyBorder="1" applyAlignment="1">
      <alignment wrapText="1"/>
    </xf>
    <xf numFmtId="0" fontId="3" fillId="2" borderId="2" xfId="15" applyFont="1" applyFill="1" applyBorder="1"/>
    <xf numFmtId="0" fontId="3" fillId="4" borderId="21" xfId="15" applyFont="1" applyFill="1" applyBorder="1" applyAlignment="1">
      <alignment horizontal="left"/>
    </xf>
    <xf numFmtId="41" fontId="3" fillId="4" borderId="2" xfId="15" applyNumberFormat="1" applyFont="1" applyFill="1" applyBorder="1"/>
    <xf numFmtId="0" fontId="3" fillId="4" borderId="20" xfId="15" applyFont="1" applyFill="1" applyBorder="1" applyAlignment="1">
      <alignment wrapText="1"/>
    </xf>
    <xf numFmtId="0" fontId="3" fillId="0" borderId="21" xfId="15" applyFont="1" applyBorder="1"/>
    <xf numFmtId="165" fontId="3" fillId="0" borderId="2" xfId="1" applyNumberFormat="1" applyFont="1" applyBorder="1"/>
    <xf numFmtId="37" fontId="3" fillId="0" borderId="20" xfId="15" applyNumberFormat="1" applyFont="1" applyBorder="1" applyAlignment="1">
      <alignment wrapText="1"/>
    </xf>
    <xf numFmtId="0" fontId="3" fillId="0" borderId="22" xfId="15" applyFont="1" applyBorder="1"/>
    <xf numFmtId="165" fontId="3" fillId="2" borderId="2" xfId="1" applyNumberFormat="1" applyFont="1" applyFill="1" applyBorder="1"/>
    <xf numFmtId="165" fontId="3" fillId="2" borderId="2" xfId="1" applyNumberFormat="1" applyFont="1" applyFill="1" applyBorder="1" applyAlignment="1">
      <alignment horizontal="right"/>
    </xf>
    <xf numFmtId="165" fontId="3" fillId="2" borderId="2" xfId="1" applyNumberFormat="1" applyFont="1" applyFill="1" applyBorder="1" applyAlignment="1">
      <alignment horizontal="center"/>
    </xf>
    <xf numFmtId="0" fontId="3" fillId="0" borderId="23" xfId="15" applyFont="1" applyBorder="1"/>
    <xf numFmtId="165" fontId="3" fillId="2" borderId="11" xfId="1" applyNumberFormat="1" applyFont="1" applyFill="1" applyBorder="1"/>
    <xf numFmtId="0" fontId="3" fillId="2" borderId="24" xfId="15" applyFont="1" applyFill="1" applyBorder="1" applyAlignment="1">
      <alignment wrapText="1"/>
    </xf>
    <xf numFmtId="0" fontId="3" fillId="0" borderId="25" xfId="15" applyFont="1" applyBorder="1"/>
    <xf numFmtId="165" fontId="3" fillId="0" borderId="26" xfId="1" applyNumberFormat="1" applyFont="1" applyBorder="1"/>
    <xf numFmtId="0" fontId="3" fillId="0" borderId="27" xfId="15" applyFont="1" applyBorder="1" applyAlignment="1">
      <alignment wrapText="1"/>
    </xf>
    <xf numFmtId="37" fontId="3" fillId="0" borderId="0" xfId="15" applyNumberFormat="1" applyFont="1" applyAlignment="1">
      <alignment horizontal="center"/>
    </xf>
    <xf numFmtId="37" fontId="3" fillId="0" borderId="0" xfId="15" applyNumberFormat="1" applyFont="1" applyAlignment="1">
      <alignment wrapText="1"/>
    </xf>
    <xf numFmtId="0" fontId="3" fillId="0" borderId="0" xfId="15" applyFont="1" applyAlignment="1">
      <alignment wrapText="1"/>
    </xf>
    <xf numFmtId="0" fontId="3" fillId="0" borderId="0" xfId="15" applyFont="1" applyAlignment="1">
      <alignment wrapText="1"/>
    </xf>
    <xf numFmtId="37" fontId="3" fillId="2" borderId="21" xfId="15" applyNumberFormat="1" applyFont="1" applyFill="1" applyBorder="1" applyAlignment="1">
      <alignment horizontal="center"/>
    </xf>
    <xf numFmtId="37" fontId="3" fillId="2" borderId="2" xfId="15" applyNumberFormat="1" applyFont="1" applyFill="1" applyBorder="1"/>
    <xf numFmtId="0" fontId="3" fillId="2" borderId="21" xfId="15" applyFont="1" applyFill="1" applyBorder="1" applyAlignment="1">
      <alignment horizontal="center"/>
    </xf>
    <xf numFmtId="0" fontId="3" fillId="0" borderId="19" xfId="15" applyFont="1" applyBorder="1"/>
    <xf numFmtId="0" fontId="3" fillId="0" borderId="28" xfId="15" applyFont="1" applyBorder="1"/>
    <xf numFmtId="165" fontId="3" fillId="0" borderId="26" xfId="1" applyNumberFormat="1" applyFont="1" applyFill="1" applyBorder="1"/>
    <xf numFmtId="0" fontId="3" fillId="2" borderId="19" xfId="19" applyFont="1" applyFill="1" applyBorder="1"/>
    <xf numFmtId="41" fontId="3" fillId="4" borderId="2" xfId="18" applyFont="1" applyFill="1" applyBorder="1"/>
    <xf numFmtId="0" fontId="3" fillId="0" borderId="29" xfId="15" applyFont="1" applyBorder="1"/>
    <xf numFmtId="165" fontId="3" fillId="2" borderId="11" xfId="1" applyNumberFormat="1" applyFont="1" applyFill="1" applyBorder="1" applyAlignment="1">
      <alignment horizontal="right"/>
    </xf>
    <xf numFmtId="165" fontId="3" fillId="0" borderId="26" xfId="1" applyNumberFormat="1" applyFont="1" applyBorder="1" applyAlignment="1">
      <alignment horizontal="right"/>
    </xf>
    <xf numFmtId="165" fontId="3" fillId="0" borderId="0" xfId="15" applyNumberFormat="1" applyFont="1" applyAlignment="1">
      <alignment wrapText="1"/>
    </xf>
    <xf numFmtId="0" fontId="3" fillId="0" borderId="0" xfId="15" applyFont="1"/>
    <xf numFmtId="37" fontId="3" fillId="4" borderId="2" xfId="15" applyNumberFormat="1" applyFont="1" applyFill="1" applyBorder="1"/>
    <xf numFmtId="43" fontId="3" fillId="3" borderId="0" xfId="1" applyFont="1" applyFill="1" applyAlignment="1">
      <alignment horizontal="center"/>
    </xf>
    <xf numFmtId="0" fontId="3" fillId="0" borderId="30" xfId="15" applyFont="1" applyBorder="1" applyAlignment="1">
      <alignment horizontal="center"/>
    </xf>
    <xf numFmtId="0" fontId="3" fillId="0" borderId="31" xfId="15" applyFont="1" applyBorder="1" applyAlignment="1">
      <alignment horizontal="center"/>
    </xf>
    <xf numFmtId="0" fontId="3" fillId="0" borderId="32" xfId="15" applyFont="1" applyBorder="1" applyAlignment="1">
      <alignment horizontal="center"/>
    </xf>
    <xf numFmtId="0" fontId="3" fillId="0" borderId="33" xfId="15" applyFont="1" applyBorder="1" applyAlignment="1">
      <alignment horizontal="center"/>
    </xf>
    <xf numFmtId="0" fontId="3" fillId="0" borderId="34" xfId="15" applyFont="1" applyBorder="1" applyAlignment="1">
      <alignment horizontal="center"/>
    </xf>
    <xf numFmtId="0" fontId="3" fillId="0" borderId="13" xfId="15" applyFont="1" applyBorder="1" applyAlignment="1">
      <alignment horizontal="right" vertical="top"/>
    </xf>
    <xf numFmtId="0" fontId="3" fillId="0" borderId="35" xfId="15" applyFont="1" applyBorder="1" applyAlignment="1">
      <alignment horizontal="center" vertical="top" wrapText="1"/>
    </xf>
    <xf numFmtId="0" fontId="3" fillId="0" borderId="36" xfId="15" applyFont="1" applyBorder="1" applyAlignment="1">
      <alignment horizontal="center" vertical="top" wrapText="1"/>
    </xf>
    <xf numFmtId="0" fontId="3" fillId="0" borderId="33" xfId="15" applyFont="1" applyBorder="1"/>
    <xf numFmtId="0" fontId="3" fillId="0" borderId="34" xfId="15" applyFont="1" applyBorder="1"/>
    <xf numFmtId="165" fontId="3" fillId="0" borderId="33" xfId="1" applyNumberFormat="1" applyFont="1" applyBorder="1"/>
    <xf numFmtId="165" fontId="3" fillId="0" borderId="34" xfId="1" applyNumberFormat="1" applyFont="1" applyBorder="1"/>
    <xf numFmtId="165" fontId="3" fillId="0" borderId="13" xfId="1" applyNumberFormat="1" applyFont="1" applyBorder="1"/>
    <xf numFmtId="165" fontId="3" fillId="0" borderId="36" xfId="1" applyNumberFormat="1" applyFont="1" applyBorder="1"/>
    <xf numFmtId="165" fontId="3" fillId="0" borderId="16" xfId="1" applyNumberFormat="1" applyFont="1" applyBorder="1"/>
    <xf numFmtId="165" fontId="3" fillId="0" borderId="37" xfId="1" applyNumberFormat="1" applyFont="1" applyBorder="1"/>
    <xf numFmtId="165" fontId="3" fillId="0" borderId="38" xfId="1" applyNumberFormat="1" applyFont="1" applyBorder="1"/>
    <xf numFmtId="0" fontId="27" fillId="0" borderId="0" xfId="15" applyFont="1"/>
    <xf numFmtId="41" fontId="3" fillId="0" borderId="0" xfId="15" applyNumberFormat="1" applyFont="1" applyAlignment="1">
      <alignment horizontal="center"/>
    </xf>
    <xf numFmtId="0" fontId="27" fillId="0" borderId="0" xfId="15" applyFont="1" applyAlignment="1">
      <alignment horizontal="right"/>
    </xf>
    <xf numFmtId="1" fontId="10" fillId="0" borderId="0" xfId="6" applyNumberFormat="1" applyFont="1" applyAlignment="1">
      <alignment horizontal="left"/>
    </xf>
    <xf numFmtId="164" fontId="28" fillId="0" borderId="0" xfId="6" quotePrefix="1" applyFont="1" applyAlignment="1">
      <alignment horizontal="left"/>
    </xf>
    <xf numFmtId="164" fontId="29" fillId="0" borderId="0" xfId="6" applyFont="1"/>
    <xf numFmtId="164" fontId="29" fillId="0" borderId="0" xfId="6" applyFont="1" applyAlignment="1">
      <alignment horizontal="left" wrapText="1"/>
    </xf>
    <xf numFmtId="164" fontId="10" fillId="0" borderId="0" xfId="6" applyFont="1"/>
    <xf numFmtId="164" fontId="10" fillId="0" borderId="0" xfId="6" quotePrefix="1" applyFont="1" applyAlignment="1">
      <alignment horizontal="left"/>
    </xf>
    <xf numFmtId="43" fontId="10" fillId="0" borderId="0" xfId="1" applyFont="1"/>
    <xf numFmtId="43" fontId="10" fillId="2" borderId="0" xfId="1" applyFont="1" applyFill="1"/>
    <xf numFmtId="43" fontId="10" fillId="0" borderId="16" xfId="1" applyFont="1" applyBorder="1"/>
    <xf numFmtId="164" fontId="10" fillId="0" borderId="0" xfId="6" applyFont="1" applyAlignment="1">
      <alignment horizontal="left"/>
    </xf>
    <xf numFmtId="43" fontId="10" fillId="0" borderId="13" xfId="1" applyFont="1" applyBorder="1"/>
    <xf numFmtId="164" fontId="3" fillId="0" borderId="0" xfId="0" applyFont="1" applyAlignment="1">
      <alignment horizontal="center"/>
    </xf>
    <xf numFmtId="164" fontId="3" fillId="3" borderId="0" xfId="0" applyFont="1" applyFill="1"/>
    <xf numFmtId="182" fontId="3" fillId="0" borderId="0" xfId="2" applyNumberFormat="1" applyFont="1"/>
    <xf numFmtId="164" fontId="3" fillId="0" borderId="6" xfId="0" applyFont="1" applyBorder="1" applyAlignment="1">
      <alignment horizontal="center"/>
    </xf>
    <xf numFmtId="164" fontId="3" fillId="0" borderId="7" xfId="0" applyFont="1" applyBorder="1" applyAlignment="1">
      <alignment horizontal="center"/>
    </xf>
    <xf numFmtId="164" fontId="3" fillId="0" borderId="39" xfId="0" applyFont="1" applyBorder="1" applyAlignment="1">
      <alignment horizontal="center"/>
    </xf>
    <xf numFmtId="164" fontId="3" fillId="0" borderId="15" xfId="0" applyFont="1" applyBorder="1" applyAlignment="1">
      <alignment horizontal="center"/>
    </xf>
    <xf numFmtId="164" fontId="3" fillId="0" borderId="18" xfId="0" applyFont="1" applyBorder="1"/>
    <xf numFmtId="164" fontId="3" fillId="0" borderId="18" xfId="0" applyFont="1" applyBorder="1" applyAlignment="1">
      <alignment horizontal="center"/>
    </xf>
    <xf numFmtId="164" fontId="3" fillId="0" borderId="8" xfId="0" applyFont="1" applyBorder="1" applyAlignment="1">
      <alignment horizontal="center"/>
    </xf>
    <xf numFmtId="164" fontId="3" fillId="0" borderId="18" xfId="0" applyFont="1" applyBorder="1" applyAlignment="1">
      <alignment horizontal="center"/>
    </xf>
    <xf numFmtId="164" fontId="3" fillId="0" borderId="12" xfId="0" applyFont="1" applyBorder="1" applyAlignment="1">
      <alignment horizontal="center"/>
    </xf>
    <xf numFmtId="164" fontId="3" fillId="0" borderId="13" xfId="0" applyFont="1" applyBorder="1" applyAlignment="1">
      <alignment horizontal="center"/>
    </xf>
    <xf numFmtId="164" fontId="18" fillId="0" borderId="13" xfId="6" applyFont="1" applyBorder="1" applyAlignment="1">
      <alignment horizontal="center"/>
    </xf>
    <xf numFmtId="164" fontId="3" fillId="0" borderId="17" xfId="0" applyFont="1" applyBorder="1" applyAlignment="1">
      <alignment horizontal="center"/>
    </xf>
    <xf numFmtId="43" fontId="3" fillId="0" borderId="8" xfId="1" applyFont="1" applyBorder="1"/>
    <xf numFmtId="164" fontId="3" fillId="0" borderId="8" xfId="0" applyFont="1" applyBorder="1"/>
    <xf numFmtId="164" fontId="3" fillId="3" borderId="18" xfId="0" applyFont="1" applyFill="1" applyBorder="1"/>
    <xf numFmtId="188" fontId="3" fillId="0" borderId="9" xfId="1" applyNumberFormat="1" applyFont="1" applyBorder="1"/>
    <xf numFmtId="10" fontId="3" fillId="0" borderId="13" xfId="3" applyNumberFormat="1" applyFont="1" applyBorder="1"/>
    <xf numFmtId="182" fontId="3" fillId="0" borderId="13" xfId="2" applyNumberFormat="1" applyFont="1" applyBorder="1"/>
    <xf numFmtId="43" fontId="3" fillId="0" borderId="12" xfId="1" applyFont="1" applyBorder="1"/>
    <xf numFmtId="164" fontId="0" fillId="0" borderId="0" xfId="0" applyAlignment="1">
      <alignment horizontal="center"/>
    </xf>
    <xf numFmtId="164" fontId="0" fillId="0" borderId="0" xfId="0" applyAlignment="1">
      <alignment horizontal="right"/>
    </xf>
    <xf numFmtId="164" fontId="10" fillId="0" borderId="0" xfId="6" applyFont="1" applyAlignment="1">
      <alignment horizontal="center"/>
    </xf>
    <xf numFmtId="0" fontId="1" fillId="0" borderId="0" xfId="20"/>
    <xf numFmtId="164" fontId="30" fillId="0" borderId="0" xfId="0" applyFont="1"/>
    <xf numFmtId="0" fontId="2" fillId="0" borderId="33" xfId="14" applyBorder="1" applyAlignment="1">
      <alignment horizontal="center"/>
    </xf>
    <xf numFmtId="0" fontId="31" fillId="0" borderId="0" xfId="14" applyFont="1" applyAlignment="1">
      <alignment horizontal="left"/>
    </xf>
    <xf numFmtId="0" fontId="2" fillId="0" borderId="0" xfId="14"/>
    <xf numFmtId="0" fontId="2" fillId="0" borderId="0" xfId="14" applyAlignment="1">
      <alignment horizontal="center"/>
    </xf>
    <xf numFmtId="164" fontId="32" fillId="0" borderId="0" xfId="6" applyFont="1" applyAlignment="1">
      <alignment horizontal="center"/>
    </xf>
    <xf numFmtId="49" fontId="2" fillId="0" borderId="0" xfId="14" applyNumberFormat="1" applyAlignment="1">
      <alignment horizontal="center"/>
    </xf>
    <xf numFmtId="0" fontId="34" fillId="0" borderId="0" xfId="21" applyFont="1" applyAlignment="1">
      <alignment horizontal="center"/>
    </xf>
    <xf numFmtId="3" fontId="3" fillId="0" borderId="0" xfId="14" applyNumberFormat="1" applyFont="1"/>
    <xf numFmtId="164" fontId="8" fillId="0" borderId="13" xfId="6" applyFont="1" applyBorder="1" applyAlignment="1">
      <alignment horizontal="center" wrapText="1"/>
    </xf>
    <xf numFmtId="164" fontId="8" fillId="3" borderId="13" xfId="6" applyFont="1" applyFill="1" applyBorder="1" applyAlignment="1">
      <alignment horizontal="center" wrapText="1"/>
    </xf>
    <xf numFmtId="164" fontId="8" fillId="0" borderId="0" xfId="6" applyFont="1" applyAlignment="1">
      <alignment horizontal="center" wrapText="1"/>
    </xf>
    <xf numFmtId="0" fontId="3" fillId="0" borderId="0" xfId="22" applyFont="1"/>
    <xf numFmtId="43" fontId="3" fillId="2" borderId="0" xfId="1" applyFont="1" applyFill="1" applyAlignment="1">
      <alignment horizontal="right"/>
    </xf>
    <xf numFmtId="0" fontId="3" fillId="0" borderId="0" xfId="22" applyFont="1" applyAlignment="1">
      <alignment wrapText="1"/>
    </xf>
    <xf numFmtId="164" fontId="3" fillId="2" borderId="0" xfId="0" applyFont="1" applyFill="1"/>
    <xf numFmtId="164" fontId="2" fillId="0" borderId="0" xfId="6" applyFont="1"/>
    <xf numFmtId="164" fontId="2" fillId="0" borderId="1" xfId="6" applyFont="1" applyBorder="1"/>
    <xf numFmtId="164" fontId="2" fillId="0" borderId="0" xfId="6" applyFont="1" applyAlignment="1">
      <alignment horizontal="center" vertical="top"/>
    </xf>
    <xf numFmtId="164" fontId="2" fillId="0" borderId="0" xfId="6" applyFont="1" applyAlignment="1">
      <alignment horizontal="left" vertical="top" wrapText="1"/>
    </xf>
    <xf numFmtId="164" fontId="3" fillId="0" borderId="0" xfId="6" applyFont="1" applyAlignment="1">
      <alignment vertical="top"/>
    </xf>
    <xf numFmtId="0" fontId="2" fillId="0" borderId="0" xfId="0" applyNumberFormat="1" applyFont="1" applyAlignment="1">
      <alignment horizontal="center" vertical="center"/>
    </xf>
    <xf numFmtId="164" fontId="2" fillId="0" borderId="0" xfId="0" applyFont="1"/>
    <xf numFmtId="0" fontId="3" fillId="0" borderId="0" xfId="14" applyFont="1" applyAlignment="1">
      <alignment horizontal="left"/>
    </xf>
    <xf numFmtId="0" fontId="3" fillId="0" borderId="0" xfId="14" applyFont="1" applyAlignment="1">
      <alignment horizontal="right"/>
    </xf>
    <xf numFmtId="0" fontId="3" fillId="0" borderId="0" xfId="14" applyFont="1" applyAlignment="1">
      <alignment horizontal="center"/>
    </xf>
    <xf numFmtId="0" fontId="3" fillId="0" borderId="0" xfId="5" applyNumberFormat="1" applyFont="1" applyAlignment="1">
      <alignment horizontal="center"/>
    </xf>
    <xf numFmtId="0" fontId="8" fillId="0" borderId="0" xfId="14" applyFont="1" applyAlignment="1">
      <alignment horizontal="left"/>
    </xf>
    <xf numFmtId="43" fontId="3" fillId="0" borderId="0" xfId="14" applyNumberFormat="1" applyFont="1"/>
    <xf numFmtId="0" fontId="8" fillId="0" borderId="30" xfId="14" applyFont="1" applyBorder="1"/>
    <xf numFmtId="0" fontId="3" fillId="0" borderId="31" xfId="14" applyFont="1" applyBorder="1"/>
    <xf numFmtId="0" fontId="3" fillId="0" borderId="32" xfId="14" applyFont="1" applyBorder="1"/>
    <xf numFmtId="0" fontId="8" fillId="0" borderId="37" xfId="14" applyFont="1" applyBorder="1"/>
    <xf numFmtId="0" fontId="3" fillId="0" borderId="1" xfId="14" applyFont="1" applyBorder="1"/>
    <xf numFmtId="182" fontId="8" fillId="2" borderId="38" xfId="23" applyNumberFormat="1" applyFont="1" applyFill="1" applyBorder="1"/>
    <xf numFmtId="0" fontId="8" fillId="0" borderId="0" xfId="14" applyFont="1" applyAlignment="1">
      <alignment horizontal="center"/>
    </xf>
    <xf numFmtId="182" fontId="8" fillId="0" borderId="0" xfId="23" applyNumberFormat="1" applyFont="1"/>
    <xf numFmtId="0" fontId="8" fillId="0" borderId="0" xfId="14" quotePrefix="1" applyFont="1" applyAlignment="1">
      <alignment horizontal="center"/>
    </xf>
    <xf numFmtId="172" fontId="8" fillId="0" borderId="0" xfId="14" applyNumberFormat="1" applyFont="1" applyAlignment="1">
      <alignment horizontal="center"/>
    </xf>
    <xf numFmtId="10" fontId="35" fillId="0" borderId="32" xfId="3" applyNumberFormat="1" applyFont="1" applyBorder="1"/>
    <xf numFmtId="184" fontId="11" fillId="0" borderId="0" xfId="3" applyNumberFormat="1" applyFont="1"/>
    <xf numFmtId="10" fontId="8" fillId="0" borderId="0" xfId="14" applyNumberFormat="1" applyFont="1" applyAlignment="1">
      <alignment horizontal="center"/>
    </xf>
    <xf numFmtId="0" fontId="8" fillId="0" borderId="33" xfId="14" applyFont="1" applyBorder="1"/>
    <xf numFmtId="9" fontId="8" fillId="0" borderId="34" xfId="3" applyFont="1" applyBorder="1"/>
    <xf numFmtId="10" fontId="8" fillId="0" borderId="34" xfId="17" applyNumberFormat="1" applyFont="1" applyBorder="1"/>
    <xf numFmtId="9" fontId="3" fillId="0" borderId="0" xfId="14" applyNumberFormat="1" applyFont="1"/>
    <xf numFmtId="182" fontId="3" fillId="0" borderId="0" xfId="23" applyNumberFormat="1" applyFont="1"/>
    <xf numFmtId="0" fontId="3" fillId="0" borderId="1" xfId="14" applyFont="1" applyBorder="1" applyAlignment="1">
      <alignment horizontal="center"/>
    </xf>
    <xf numFmtId="10" fontId="8" fillId="0" borderId="38" xfId="17" applyNumberFormat="1" applyFont="1" applyBorder="1"/>
    <xf numFmtId="0" fontId="8" fillId="0" borderId="0" xfId="14" applyFont="1"/>
    <xf numFmtId="10" fontId="8" fillId="0" borderId="0" xfId="17" applyNumberFormat="1" applyFont="1"/>
    <xf numFmtId="0" fontId="3" fillId="0" borderId="30" xfId="14" applyFont="1" applyBorder="1"/>
    <xf numFmtId="182" fontId="3" fillId="0" borderId="32" xfId="23" applyNumberFormat="1" applyFont="1" applyBorder="1"/>
    <xf numFmtId="182" fontId="3" fillId="0" borderId="34" xfId="23" applyNumberFormat="1" applyFont="1" applyBorder="1" applyAlignment="1">
      <alignment horizontal="center"/>
    </xf>
    <xf numFmtId="0" fontId="3" fillId="3" borderId="33" xfId="14" applyFont="1" applyFill="1" applyBorder="1"/>
    <xf numFmtId="165" fontId="3" fillId="3" borderId="0" xfId="16" applyNumberFormat="1" applyFont="1" applyFill="1" applyAlignment="1">
      <alignment horizontal="right"/>
    </xf>
    <xf numFmtId="165" fontId="3" fillId="3" borderId="34" xfId="16" applyNumberFormat="1" applyFont="1" applyFill="1" applyBorder="1" applyAlignment="1">
      <alignment horizontal="right"/>
    </xf>
    <xf numFmtId="0" fontId="3" fillId="0" borderId="33" xfId="14" applyFont="1" applyBorder="1" applyAlignment="1">
      <alignment horizontal="left"/>
    </xf>
    <xf numFmtId="0" fontId="3" fillId="0" borderId="0" xfId="14" applyFont="1" applyAlignment="1">
      <alignment horizontal="left"/>
    </xf>
    <xf numFmtId="165" fontId="3" fillId="0" borderId="0" xfId="14" applyNumberFormat="1" applyFont="1"/>
    <xf numFmtId="43" fontId="3" fillId="3" borderId="0" xfId="16" applyFont="1" applyFill="1" applyAlignment="1">
      <alignment horizontal="right"/>
    </xf>
    <xf numFmtId="10" fontId="3" fillId="0" borderId="0" xfId="14" applyNumberFormat="1" applyFont="1"/>
    <xf numFmtId="165" fontId="11" fillId="0" borderId="0" xfId="14" applyNumberFormat="1" applyFont="1"/>
    <xf numFmtId="165" fontId="3" fillId="3" borderId="0" xfId="16" applyNumberFormat="1" applyFont="1" applyFill="1"/>
    <xf numFmtId="165" fontId="3" fillId="3" borderId="34" xfId="16" applyNumberFormat="1" applyFont="1" applyFill="1" applyBorder="1"/>
    <xf numFmtId="43" fontId="3" fillId="3" borderId="34" xfId="1" applyFont="1" applyFill="1" applyBorder="1"/>
    <xf numFmtId="0" fontId="3" fillId="0" borderId="33" xfId="14" applyFont="1" applyBorder="1"/>
    <xf numFmtId="165" fontId="3" fillId="0" borderId="0" xfId="16" applyNumberFormat="1" applyFont="1"/>
    <xf numFmtId="0" fontId="3" fillId="0" borderId="3" xfId="14" applyFont="1" applyBorder="1"/>
    <xf numFmtId="165" fontId="8" fillId="0" borderId="40" xfId="16" applyNumberFormat="1" applyFont="1" applyBorder="1"/>
    <xf numFmtId="0" fontId="3" fillId="0" borderId="37" xfId="14" applyFont="1" applyBorder="1"/>
    <xf numFmtId="165" fontId="3" fillId="0" borderId="1" xfId="16" applyNumberFormat="1" applyFont="1" applyBorder="1"/>
    <xf numFmtId="165" fontId="3" fillId="0" borderId="38" xfId="16" applyNumberFormat="1" applyFont="1" applyBorder="1"/>
    <xf numFmtId="0" fontId="3" fillId="3" borderId="30" xfId="14" applyFont="1" applyFill="1" applyBorder="1"/>
    <xf numFmtId="165" fontId="3" fillId="3" borderId="31" xfId="16" applyNumberFormat="1" applyFont="1" applyFill="1" applyBorder="1"/>
    <xf numFmtId="0" fontId="3" fillId="3" borderId="31" xfId="14" applyFont="1" applyFill="1" applyBorder="1"/>
    <xf numFmtId="165" fontId="3" fillId="3" borderId="32" xfId="16" applyNumberFormat="1" applyFont="1" applyFill="1" applyBorder="1"/>
    <xf numFmtId="172" fontId="3" fillId="0" borderId="0" xfId="3" applyNumberFormat="1" applyFont="1"/>
    <xf numFmtId="0" fontId="8" fillId="3" borderId="33" xfId="14" applyFont="1" applyFill="1" applyBorder="1"/>
    <xf numFmtId="165" fontId="3" fillId="3" borderId="0" xfId="24" applyNumberFormat="1" applyFont="1" applyFill="1"/>
    <xf numFmtId="43" fontId="3" fillId="2" borderId="34" xfId="14" applyNumberFormat="1" applyFont="1" applyFill="1" applyBorder="1"/>
    <xf numFmtId="0" fontId="8" fillId="3" borderId="37" xfId="14" applyFont="1" applyFill="1" applyBorder="1"/>
    <xf numFmtId="165" fontId="3" fillId="3" borderId="1" xfId="16" applyNumberFormat="1" applyFont="1" applyFill="1" applyBorder="1"/>
    <xf numFmtId="0" fontId="3" fillId="3" borderId="1" xfId="14" applyFont="1" applyFill="1" applyBorder="1"/>
    <xf numFmtId="10" fontId="3" fillId="3" borderId="1" xfId="17" applyNumberFormat="1" applyFont="1" applyFill="1" applyBorder="1"/>
    <xf numFmtId="43" fontId="3" fillId="2" borderId="38" xfId="14" applyNumberFormat="1" applyFont="1" applyFill="1" applyBorder="1"/>
    <xf numFmtId="172" fontId="3" fillId="0" borderId="0" xfId="14" applyNumberFormat="1" applyFont="1"/>
    <xf numFmtId="172" fontId="3" fillId="0" borderId="0" xfId="17" applyNumberFormat="1" applyFont="1"/>
    <xf numFmtId="0" fontId="3" fillId="0" borderId="41" xfId="14" applyFont="1" applyBorder="1"/>
    <xf numFmtId="0" fontId="8" fillId="0" borderId="4" xfId="14" applyFont="1" applyBorder="1"/>
    <xf numFmtId="10" fontId="3" fillId="3" borderId="42" xfId="3" applyNumberFormat="1" applyFont="1" applyFill="1" applyBorder="1"/>
    <xf numFmtId="10" fontId="3" fillId="0" borderId="42" xfId="14" applyNumberFormat="1" applyFont="1" applyBorder="1"/>
    <xf numFmtId="0" fontId="3" fillId="0" borderId="30" xfId="14" applyFont="1" applyBorder="1" applyAlignment="1">
      <alignment horizontal="center"/>
    </xf>
    <xf numFmtId="0" fontId="3" fillId="0" borderId="31" xfId="14" applyFont="1" applyBorder="1" applyAlignment="1">
      <alignment horizontal="center"/>
    </xf>
    <xf numFmtId="0" fontId="3" fillId="0" borderId="32" xfId="14" applyFont="1" applyBorder="1" applyAlignment="1">
      <alignment horizontal="center"/>
    </xf>
    <xf numFmtId="0" fontId="8" fillId="0" borderId="33" xfId="14" applyFont="1" applyBorder="1" applyAlignment="1">
      <alignment horizontal="center"/>
    </xf>
    <xf numFmtId="0" fontId="8" fillId="0" borderId="0" xfId="14" applyFont="1" applyAlignment="1">
      <alignment horizontal="center" wrapText="1"/>
    </xf>
    <xf numFmtId="0" fontId="8" fillId="0" borderId="34" xfId="14" applyFont="1" applyBorder="1" applyAlignment="1">
      <alignment horizontal="center" wrapText="1"/>
    </xf>
    <xf numFmtId="0" fontId="8" fillId="0" borderId="37" xfId="14" applyFont="1" applyBorder="1" applyAlignment="1">
      <alignment horizontal="center"/>
    </xf>
    <xf numFmtId="0" fontId="3" fillId="0" borderId="1" xfId="14" applyFont="1" applyBorder="1" applyAlignment="1">
      <alignment horizontal="center" wrapText="1"/>
    </xf>
    <xf numFmtId="0" fontId="3" fillId="0" borderId="38" xfId="14" applyFont="1" applyBorder="1" applyAlignment="1">
      <alignment horizontal="center" wrapText="1"/>
    </xf>
    <xf numFmtId="14" fontId="36" fillId="3" borderId="33" xfId="14" applyNumberFormat="1" applyFont="1" applyFill="1" applyBorder="1" applyAlignment="1">
      <alignment horizontal="center"/>
    </xf>
    <xf numFmtId="0" fontId="3" fillId="3" borderId="0" xfId="14" applyFont="1" applyFill="1" applyAlignment="1">
      <alignment horizontal="center"/>
    </xf>
    <xf numFmtId="165" fontId="36" fillId="3" borderId="0" xfId="16" applyNumberFormat="1" applyFont="1" applyFill="1"/>
    <xf numFmtId="165" fontId="3" fillId="0" borderId="34" xfId="16" applyNumberFormat="1" applyFont="1" applyBorder="1"/>
    <xf numFmtId="0" fontId="36" fillId="3" borderId="0" xfId="14" applyFont="1" applyFill="1" applyAlignment="1">
      <alignment horizontal="center"/>
    </xf>
    <xf numFmtId="165" fontId="36" fillId="0" borderId="0" xfId="16" applyNumberFormat="1" applyFont="1"/>
    <xf numFmtId="43" fontId="3" fillId="0" borderId="0" xfId="16" applyFont="1"/>
    <xf numFmtId="14" fontId="3" fillId="3" borderId="33" xfId="14" applyNumberFormat="1" applyFont="1" applyFill="1" applyBorder="1" applyAlignment="1">
      <alignment horizontal="center"/>
    </xf>
    <xf numFmtId="0" fontId="3" fillId="3" borderId="0" xfId="14" quotePrefix="1" applyFont="1" applyFill="1" applyAlignment="1">
      <alignment horizontal="center"/>
    </xf>
    <xf numFmtId="184" fontId="3" fillId="0" borderId="0" xfId="3" applyNumberFormat="1" applyFont="1"/>
    <xf numFmtId="173" fontId="3" fillId="0" borderId="0" xfId="16" applyNumberFormat="1" applyFont="1"/>
    <xf numFmtId="14" fontId="3" fillId="0" borderId="37" xfId="14" applyNumberFormat="1" applyFont="1" applyBorder="1" applyAlignment="1">
      <alignment horizontal="center"/>
    </xf>
    <xf numFmtId="0" fontId="16" fillId="0" borderId="0" xfId="14" applyFont="1"/>
    <xf numFmtId="164" fontId="3" fillId="5" borderId="0" xfId="0" applyFont="1" applyFill="1" applyAlignment="1">
      <alignment vertical="top" wrapText="1"/>
    </xf>
    <xf numFmtId="164" fontId="3" fillId="0" borderId="0" xfId="0" applyFont="1" applyProtection="1">
      <protection locked="0"/>
    </xf>
    <xf numFmtId="164" fontId="3" fillId="0" borderId="0" xfId="0" applyFont="1" applyAlignment="1" applyProtection="1">
      <alignment horizontal="center"/>
      <protection locked="0"/>
    </xf>
    <xf numFmtId="164" fontId="8" fillId="0" borderId="0" xfId="0" applyFont="1" applyAlignment="1" applyProtection="1">
      <alignment horizontal="center"/>
      <protection locked="0"/>
    </xf>
    <xf numFmtId="164" fontId="8" fillId="0" borderId="0" xfId="0" applyFont="1" applyAlignment="1" applyProtection="1">
      <alignment horizontal="center"/>
      <protection locked="0"/>
    </xf>
    <xf numFmtId="164" fontId="37" fillId="0" borderId="0" xfId="0" applyFont="1" applyAlignment="1" applyProtection="1">
      <alignment horizontal="left"/>
      <protection locked="0"/>
    </xf>
    <xf numFmtId="164" fontId="8" fillId="12" borderId="30" xfId="0" applyFont="1" applyFill="1" applyBorder="1" applyAlignment="1" applyProtection="1">
      <alignment horizontal="center"/>
      <protection locked="0"/>
    </xf>
    <xf numFmtId="164" fontId="8" fillId="12" borderId="31" xfId="0" applyFont="1" applyFill="1" applyBorder="1" applyAlignment="1" applyProtection="1">
      <alignment horizontal="center"/>
      <protection locked="0"/>
    </xf>
    <xf numFmtId="164" fontId="8" fillId="12" borderId="32" xfId="0" applyFont="1" applyFill="1" applyBorder="1" applyAlignment="1" applyProtection="1">
      <alignment horizontal="center"/>
      <protection locked="0"/>
    </xf>
    <xf numFmtId="164" fontId="8" fillId="0" borderId="33" xfId="0" applyFont="1" applyBorder="1" applyAlignment="1">
      <alignment horizontal="center"/>
    </xf>
    <xf numFmtId="164" fontId="8" fillId="0" borderId="0" xfId="0" applyFont="1" applyAlignment="1">
      <alignment horizontal="center"/>
    </xf>
    <xf numFmtId="164" fontId="8" fillId="0" borderId="34" xfId="0" applyFont="1" applyBorder="1" applyAlignment="1" applyProtection="1">
      <alignment horizontal="center"/>
      <protection locked="0"/>
    </xf>
    <xf numFmtId="164" fontId="8" fillId="0" borderId="19" xfId="0" applyFont="1" applyBorder="1" applyAlignment="1" applyProtection="1">
      <alignment horizontal="center"/>
      <protection locked="0"/>
    </xf>
    <xf numFmtId="164" fontId="8" fillId="0" borderId="2" xfId="0" applyFont="1" applyBorder="1" applyAlignment="1" applyProtection="1">
      <alignment horizontal="center" wrapText="1"/>
      <protection locked="0"/>
    </xf>
    <xf numFmtId="164" fontId="8" fillId="0" borderId="0" xfId="0" applyFont="1" applyProtection="1">
      <protection locked="0"/>
    </xf>
    <xf numFmtId="164" fontId="8" fillId="0" borderId="0" xfId="0" applyFont="1" applyAlignment="1" applyProtection="1">
      <alignment horizontal="center" wrapText="1"/>
      <protection locked="0"/>
    </xf>
    <xf numFmtId="164" fontId="8" fillId="0" borderId="20" xfId="0" applyFont="1" applyBorder="1" applyAlignment="1" applyProtection="1">
      <alignment horizontal="center" wrapText="1"/>
      <protection locked="0"/>
    </xf>
    <xf numFmtId="0" fontId="3" fillId="3" borderId="33" xfId="0" applyNumberFormat="1" applyFont="1" applyFill="1" applyBorder="1" applyAlignment="1">
      <alignment horizontal="center"/>
    </xf>
    <xf numFmtId="10" fontId="3" fillId="3" borderId="0" xfId="0" applyNumberFormat="1" applyFont="1" applyFill="1" applyAlignment="1">
      <alignment horizontal="center"/>
    </xf>
    <xf numFmtId="182" fontId="3" fillId="3" borderId="0" xfId="0" applyNumberFormat="1" applyFont="1" applyFill="1" applyProtection="1">
      <protection locked="0"/>
    </xf>
    <xf numFmtId="189" fontId="3" fillId="0" borderId="0" xfId="0" applyNumberFormat="1" applyFont="1" applyProtection="1">
      <protection locked="0"/>
    </xf>
    <xf numFmtId="8" fontId="3" fillId="0" borderId="0" xfId="0" applyNumberFormat="1" applyFont="1"/>
    <xf numFmtId="172" fontId="3" fillId="3" borderId="0" xfId="0" applyNumberFormat="1" applyFont="1" applyFill="1" applyProtection="1">
      <protection locked="0"/>
    </xf>
    <xf numFmtId="182" fontId="3" fillId="6" borderId="34" xfId="2" applyNumberFormat="1" applyFont="1" applyFill="1" applyBorder="1" applyProtection="1">
      <protection locked="0"/>
    </xf>
    <xf numFmtId="0" fontId="3" fillId="3" borderId="33" xfId="0" applyNumberFormat="1" applyFont="1" applyFill="1" applyBorder="1" applyAlignment="1" applyProtection="1">
      <alignment horizontal="center"/>
      <protection locked="0"/>
    </xf>
    <xf numFmtId="0" fontId="3" fillId="0" borderId="0" xfId="0" applyNumberFormat="1" applyFont="1" applyAlignment="1" applyProtection="1">
      <alignment horizontal="center"/>
      <protection locked="0"/>
    </xf>
    <xf numFmtId="167" fontId="3" fillId="3" borderId="0" xfId="0" applyNumberFormat="1" applyFont="1" applyFill="1" applyAlignment="1" applyProtection="1">
      <alignment horizontal="center"/>
      <protection locked="0"/>
    </xf>
    <xf numFmtId="10" fontId="3" fillId="3" borderId="0" xfId="0" applyNumberFormat="1" applyFont="1" applyFill="1" applyAlignment="1" applyProtection="1">
      <alignment horizontal="center"/>
      <protection locked="0"/>
    </xf>
    <xf numFmtId="172" fontId="3" fillId="0" borderId="0" xfId="0" applyNumberFormat="1" applyFont="1" applyProtection="1">
      <protection locked="0"/>
    </xf>
    <xf numFmtId="182" fontId="3" fillId="0" borderId="36" xfId="2" applyNumberFormat="1" applyFont="1" applyBorder="1" applyProtection="1">
      <protection locked="0"/>
    </xf>
    <xf numFmtId="0" fontId="3" fillId="0" borderId="33" xfId="0" applyNumberFormat="1" applyFont="1" applyBorder="1" applyAlignment="1" applyProtection="1">
      <alignment horizontal="center"/>
      <protection locked="0"/>
    </xf>
    <xf numFmtId="10" fontId="3" fillId="0" borderId="0" xfId="0" applyNumberFormat="1" applyFont="1" applyAlignment="1" applyProtection="1">
      <alignment horizontal="center"/>
      <protection locked="0"/>
    </xf>
    <xf numFmtId="10" fontId="3" fillId="0" borderId="0" xfId="0" applyNumberFormat="1" applyFont="1" applyAlignment="1">
      <alignment horizontal="center"/>
    </xf>
    <xf numFmtId="190" fontId="3" fillId="0" borderId="0" xfId="0" applyNumberFormat="1" applyFont="1" applyProtection="1">
      <protection locked="0"/>
    </xf>
    <xf numFmtId="182" fontId="3" fillId="0" borderId="0" xfId="0" applyNumberFormat="1" applyFont="1" applyProtection="1">
      <protection locked="0"/>
    </xf>
    <xf numFmtId="182" fontId="3" fillId="0" borderId="34" xfId="2" applyNumberFormat="1" applyFont="1" applyBorder="1" applyProtection="1">
      <protection locked="0"/>
    </xf>
    <xf numFmtId="164" fontId="38" fillId="0" borderId="33" xfId="0" applyFont="1" applyBorder="1" applyProtection="1">
      <protection locked="0"/>
    </xf>
    <xf numFmtId="164" fontId="3" fillId="0" borderId="34" xfId="0" applyFont="1" applyBorder="1" applyProtection="1">
      <protection locked="0"/>
    </xf>
    <xf numFmtId="164" fontId="38" fillId="0" borderId="33" xfId="0" applyFont="1" applyBorder="1"/>
    <xf numFmtId="164" fontId="3" fillId="0" borderId="33" xfId="0" applyFont="1" applyBorder="1" applyAlignment="1" applyProtection="1">
      <alignment horizontal="left"/>
      <protection locked="0"/>
    </xf>
    <xf numFmtId="164" fontId="3" fillId="0" borderId="0" xfId="0" applyFont="1" applyAlignment="1" applyProtection="1">
      <alignment horizontal="left"/>
      <protection locked="0"/>
    </xf>
    <xf numFmtId="165" fontId="3" fillId="0" borderId="33" xfId="0" applyNumberFormat="1" applyFont="1" applyBorder="1" applyProtection="1">
      <protection locked="0"/>
    </xf>
    <xf numFmtId="165" fontId="3" fillId="0" borderId="0" xfId="0" applyNumberFormat="1" applyFont="1" applyProtection="1">
      <protection locked="0"/>
    </xf>
    <xf numFmtId="165" fontId="3" fillId="0" borderId="37" xfId="0" applyNumberFormat="1" applyFont="1" applyBorder="1" applyProtection="1">
      <protection locked="0"/>
    </xf>
    <xf numFmtId="165" fontId="3" fillId="0" borderId="1" xfId="0" applyNumberFormat="1" applyFont="1" applyBorder="1" applyProtection="1">
      <protection locked="0"/>
    </xf>
    <xf numFmtId="164" fontId="3" fillId="0" borderId="1" xfId="0" applyFont="1" applyBorder="1" applyAlignment="1" applyProtection="1">
      <alignment horizontal="center"/>
      <protection locked="0"/>
    </xf>
    <xf numFmtId="164" fontId="3" fillId="0" borderId="1" xfId="0" applyFont="1" applyBorder="1" applyProtection="1">
      <protection locked="0"/>
    </xf>
    <xf numFmtId="164" fontId="3" fillId="0" borderId="38" xfId="0" applyFont="1" applyBorder="1" applyProtection="1">
      <protection locked="0"/>
    </xf>
    <xf numFmtId="165" fontId="8" fillId="0" borderId="31" xfId="0" applyNumberFormat="1" applyFont="1" applyBorder="1" applyAlignment="1" applyProtection="1">
      <alignment horizontal="center"/>
      <protection locked="0"/>
    </xf>
    <xf numFmtId="0" fontId="8" fillId="0" borderId="0" xfId="0" applyNumberFormat="1" applyFont="1" applyAlignment="1" applyProtection="1">
      <alignment horizontal="left"/>
      <protection locked="0"/>
    </xf>
    <xf numFmtId="165" fontId="8" fillId="0" borderId="0" xfId="0" applyNumberFormat="1" applyFont="1" applyAlignment="1" applyProtection="1">
      <alignment horizontal="center" wrapText="1"/>
      <protection locked="0"/>
    </xf>
    <xf numFmtId="165" fontId="8" fillId="0" borderId="0" xfId="0" applyNumberFormat="1" applyFont="1" applyAlignment="1" applyProtection="1">
      <alignment horizontal="center"/>
      <protection locked="0"/>
    </xf>
    <xf numFmtId="184" fontId="3" fillId="0" borderId="0" xfId="3" applyNumberFormat="1" applyFont="1" applyAlignment="1" applyProtection="1">
      <alignment horizontal="center"/>
      <protection locked="0"/>
    </xf>
    <xf numFmtId="184" fontId="3" fillId="0" borderId="0" xfId="3" applyNumberFormat="1" applyFont="1" applyProtection="1">
      <protection locked="0"/>
    </xf>
    <xf numFmtId="165" fontId="3" fillId="0" borderId="0" xfId="0" applyNumberFormat="1" applyFont="1" applyAlignment="1" applyProtection="1">
      <alignment horizontal="center"/>
      <protection locked="0"/>
    </xf>
    <xf numFmtId="164" fontId="6" fillId="0" borderId="10" xfId="0" applyFont="1" applyBorder="1" applyAlignment="1" applyProtection="1">
      <alignment horizontal="left"/>
      <protection locked="0"/>
    </xf>
    <xf numFmtId="164" fontId="6" fillId="0" borderId="16" xfId="0" applyFont="1" applyBorder="1" applyAlignment="1" applyProtection="1">
      <alignment horizontal="center"/>
      <protection locked="0"/>
    </xf>
    <xf numFmtId="164" fontId="3" fillId="0" borderId="16" xfId="0" applyFont="1" applyBorder="1" applyAlignment="1" applyProtection="1">
      <alignment horizontal="center"/>
      <protection locked="0"/>
    </xf>
    <xf numFmtId="164" fontId="3" fillId="0" borderId="16" xfId="0" applyFont="1" applyBorder="1" applyProtection="1">
      <protection locked="0"/>
    </xf>
    <xf numFmtId="164" fontId="8" fillId="0" borderId="16" xfId="0" applyFont="1" applyBorder="1" applyAlignment="1" applyProtection="1">
      <alignment horizontal="center"/>
      <protection locked="0"/>
    </xf>
    <xf numFmtId="164" fontId="3" fillId="0" borderId="15" xfId="0" applyFont="1" applyBorder="1" applyAlignment="1" applyProtection="1">
      <alignment horizontal="center"/>
      <protection locked="0"/>
    </xf>
    <xf numFmtId="0" fontId="8" fillId="0" borderId="8" xfId="0" applyNumberFormat="1" applyFont="1" applyBorder="1" applyAlignment="1" applyProtection="1">
      <alignment horizontal="left"/>
      <protection locked="0"/>
    </xf>
    <xf numFmtId="164" fontId="6" fillId="0" borderId="0" xfId="0" applyFont="1" applyAlignment="1" applyProtection="1">
      <alignment horizontal="center"/>
      <protection locked="0"/>
    </xf>
    <xf numFmtId="164" fontId="3" fillId="0" borderId="18" xfId="0" applyFont="1" applyBorder="1" applyAlignment="1" applyProtection="1">
      <alignment horizontal="center"/>
      <protection locked="0"/>
    </xf>
    <xf numFmtId="164" fontId="6" fillId="0" borderId="8" xfId="0" applyFont="1" applyBorder="1" applyAlignment="1" applyProtection="1">
      <alignment horizontal="left"/>
      <protection locked="0"/>
    </xf>
    <xf numFmtId="164" fontId="3" fillId="0" borderId="8" xfId="0" applyFont="1" applyBorder="1" applyProtection="1">
      <protection locked="0"/>
    </xf>
    <xf numFmtId="165" fontId="3" fillId="6" borderId="0" xfId="1" applyNumberFormat="1" applyFont="1" applyFill="1" applyProtection="1">
      <protection locked="0"/>
    </xf>
    <xf numFmtId="165" fontId="3" fillId="0" borderId="0" xfId="1" applyNumberFormat="1" applyFont="1" applyProtection="1">
      <protection locked="0"/>
    </xf>
    <xf numFmtId="184" fontId="3" fillId="6" borderId="0" xfId="0" applyNumberFormat="1" applyFont="1" applyFill="1" applyProtection="1">
      <protection locked="0"/>
    </xf>
    <xf numFmtId="184" fontId="3" fillId="0" borderId="0" xfId="0" applyNumberFormat="1" applyFont="1" applyProtection="1">
      <protection locked="0"/>
    </xf>
    <xf numFmtId="4" fontId="3" fillId="0" borderId="0" xfId="0" applyNumberFormat="1" applyFont="1" applyAlignment="1" applyProtection="1">
      <alignment horizontal="center"/>
      <protection locked="0"/>
    </xf>
    <xf numFmtId="165" fontId="3" fillId="0" borderId="18" xfId="1" applyNumberFormat="1" applyFont="1" applyBorder="1" applyProtection="1">
      <protection locked="0"/>
    </xf>
    <xf numFmtId="4" fontId="3" fillId="0" borderId="0" xfId="0" applyNumberFormat="1" applyFont="1" applyAlignment="1">
      <alignment horizontal="center"/>
    </xf>
    <xf numFmtId="165" fontId="3" fillId="0" borderId="13" xfId="1" applyNumberFormat="1" applyFont="1" applyBorder="1" applyProtection="1">
      <protection locked="0"/>
    </xf>
    <xf numFmtId="165" fontId="3" fillId="0" borderId="17" xfId="1" applyNumberFormat="1" applyFont="1" applyBorder="1" applyProtection="1">
      <protection locked="0"/>
    </xf>
    <xf numFmtId="165" fontId="8" fillId="0" borderId="0" xfId="1" applyNumberFormat="1" applyFont="1" applyProtection="1">
      <protection locked="0"/>
    </xf>
    <xf numFmtId="165" fontId="8" fillId="0" borderId="18" xfId="1" applyNumberFormat="1" applyFont="1" applyBorder="1" applyProtection="1">
      <protection locked="0"/>
    </xf>
    <xf numFmtId="165" fontId="8" fillId="0" borderId="0" xfId="1" applyNumberFormat="1" applyFont="1" applyAlignment="1" applyProtection="1">
      <alignment horizontal="center"/>
      <protection locked="0"/>
    </xf>
    <xf numFmtId="164" fontId="6" fillId="0" borderId="8" xfId="0" applyFont="1" applyBorder="1" applyProtection="1">
      <protection locked="0"/>
    </xf>
    <xf numFmtId="164" fontId="6" fillId="0" borderId="0" xfId="0" applyFont="1" applyProtection="1">
      <protection locked="0"/>
    </xf>
    <xf numFmtId="164" fontId="3" fillId="0" borderId="12" xfId="0" applyFont="1" applyBorder="1" applyProtection="1">
      <protection locked="0"/>
    </xf>
    <xf numFmtId="164" fontId="3" fillId="0" borderId="13" xfId="0" applyFont="1" applyBorder="1" applyProtection="1">
      <protection locked="0"/>
    </xf>
    <xf numFmtId="184" fontId="3" fillId="0" borderId="0" xfId="0" applyNumberFormat="1" applyFont="1"/>
    <xf numFmtId="165" fontId="39" fillId="0" borderId="18" xfId="1" applyNumberFormat="1" applyFont="1" applyBorder="1" applyProtection="1">
      <protection locked="0"/>
    </xf>
    <xf numFmtId="165" fontId="39" fillId="0" borderId="0" xfId="1" applyNumberFormat="1" applyFont="1" applyProtection="1">
      <protection locked="0"/>
    </xf>
    <xf numFmtId="165" fontId="8" fillId="0" borderId="0" xfId="0" applyNumberFormat="1" applyFont="1" applyProtection="1">
      <protection locked="0"/>
    </xf>
    <xf numFmtId="177" fontId="3" fillId="0" borderId="0" xfId="1" applyNumberFormat="1" applyFont="1" applyProtection="1">
      <protection locked="0"/>
    </xf>
    <xf numFmtId="0" fontId="3" fillId="0" borderId="0" xfId="0" applyNumberFormat="1" applyFont="1"/>
    <xf numFmtId="0" fontId="3" fillId="0" borderId="0" xfId="6" applyNumberFormat="1" applyFont="1" applyAlignment="1" applyProtection="1">
      <alignment horizontal="right"/>
      <protection locked="0"/>
    </xf>
    <xf numFmtId="10" fontId="3" fillId="0" borderId="0" xfId="3" applyNumberFormat="1" applyFont="1" applyAlignment="1">
      <alignment horizontal="center"/>
    </xf>
    <xf numFmtId="7" fontId="41" fillId="0" borderId="0" xfId="25" applyFont="1"/>
    <xf numFmtId="7" fontId="41" fillId="0" borderId="0" xfId="25" applyFont="1" applyAlignment="1">
      <alignment horizontal="center"/>
    </xf>
    <xf numFmtId="7" fontId="42" fillId="0" borderId="0" xfId="25" applyFont="1" applyAlignment="1">
      <alignment horizontal="center"/>
    </xf>
    <xf numFmtId="7" fontId="42" fillId="0" borderId="0" xfId="25" applyFont="1"/>
    <xf numFmtId="184" fontId="43" fillId="0" borderId="0" xfId="26" applyNumberFormat="1" applyFont="1" applyAlignment="1">
      <alignment horizontal="center"/>
    </xf>
    <xf numFmtId="181" fontId="42" fillId="0" borderId="0" xfId="1" applyNumberFormat="1" applyFont="1" applyAlignment="1">
      <alignment horizontal="left"/>
    </xf>
    <xf numFmtId="184" fontId="42" fillId="0" borderId="0" xfId="26" applyNumberFormat="1" applyFont="1" applyAlignment="1">
      <alignment horizontal="center"/>
    </xf>
    <xf numFmtId="181" fontId="41" fillId="0" borderId="0" xfId="1" applyNumberFormat="1" applyFont="1" applyAlignment="1">
      <alignment horizontal="left"/>
    </xf>
    <xf numFmtId="184" fontId="42" fillId="0" borderId="0" xfId="26" applyNumberFormat="1" applyFont="1"/>
    <xf numFmtId="10" fontId="42" fillId="0" borderId="0" xfId="25" applyNumberFormat="1" applyFont="1"/>
    <xf numFmtId="7" fontId="42" fillId="0" borderId="0" xfId="25" applyFont="1" applyAlignment="1">
      <alignment horizontal="left"/>
    </xf>
    <xf numFmtId="7" fontId="40" fillId="0" borderId="0" xfId="25"/>
    <xf numFmtId="2" fontId="42" fillId="0" borderId="0" xfId="0" applyNumberFormat="1" applyFont="1" applyAlignment="1">
      <alignment horizontal="left" wrapText="1"/>
    </xf>
    <xf numFmtId="164" fontId="4" fillId="0" borderId="0" xfId="0" applyFont="1" applyAlignment="1">
      <alignment horizontal="left"/>
    </xf>
    <xf numFmtId="2" fontId="42" fillId="0" borderId="0" xfId="0" applyNumberFormat="1" applyFont="1" applyAlignment="1">
      <alignment horizontal="center"/>
    </xf>
    <xf numFmtId="164" fontId="3" fillId="0" borderId="0" xfId="0" applyFont="1" applyAlignment="1">
      <alignment horizontal="left"/>
    </xf>
    <xf numFmtId="2" fontId="3" fillId="0" borderId="0" xfId="0" applyNumberFormat="1" applyFont="1" applyAlignment="1">
      <alignment horizontal="center"/>
    </xf>
    <xf numFmtId="2" fontId="3" fillId="0" borderId="0" xfId="0" applyNumberFormat="1" applyFont="1" applyAlignment="1">
      <alignment horizontal="left"/>
    </xf>
    <xf numFmtId="2" fontId="3" fillId="0" borderId="0" xfId="0" applyNumberFormat="1" applyFont="1"/>
    <xf numFmtId="165" fontId="15" fillId="0" borderId="0" xfId="1" applyNumberFormat="1" applyFont="1"/>
    <xf numFmtId="173" fontId="8" fillId="0" borderId="0" xfId="1" applyNumberFormat="1" applyFont="1"/>
    <xf numFmtId="164" fontId="8" fillId="0" borderId="41" xfId="6" applyFont="1" applyBorder="1" applyAlignment="1">
      <alignment horizontal="center" wrapText="1"/>
    </xf>
    <xf numFmtId="164" fontId="8" fillId="0" borderId="43" xfId="6" applyFont="1" applyBorder="1"/>
    <xf numFmtId="164" fontId="8" fillId="0" borderId="43" xfId="6" applyFont="1" applyBorder="1" applyAlignment="1">
      <alignment horizontal="center" wrapText="1"/>
    </xf>
    <xf numFmtId="164" fontId="8" fillId="0" borderId="44" xfId="6" applyFont="1" applyBorder="1" applyAlignment="1">
      <alignment horizontal="center" wrapText="1"/>
    </xf>
    <xf numFmtId="3" fontId="8" fillId="0" borderId="0" xfId="6" applyNumberFormat="1" applyFont="1" applyAlignment="1">
      <alignment horizontal="center" wrapText="1"/>
    </xf>
    <xf numFmtId="0" fontId="3" fillId="0" borderId="35" xfId="6" applyNumberFormat="1" applyFont="1" applyBorder="1"/>
    <xf numFmtId="0" fontId="3" fillId="0" borderId="13" xfId="6" applyNumberFormat="1" applyFont="1" applyBorder="1"/>
    <xf numFmtId="0" fontId="3" fillId="0" borderId="13" xfId="6" applyNumberFormat="1" applyFont="1" applyBorder="1" applyAlignment="1">
      <alignment horizontal="center"/>
    </xf>
    <xf numFmtId="0" fontId="3" fillId="0" borderId="36" xfId="6" applyNumberFormat="1" applyFont="1" applyBorder="1" applyAlignment="1">
      <alignment horizontal="center"/>
    </xf>
    <xf numFmtId="3" fontId="3" fillId="0" borderId="0" xfId="6" applyNumberFormat="1" applyFont="1" applyAlignment="1">
      <alignment horizontal="center" wrapText="1"/>
    </xf>
    <xf numFmtId="0" fontId="3" fillId="0" borderId="0" xfId="6" applyNumberFormat="1" applyFont="1" applyAlignment="1">
      <alignment horizontal="center" wrapText="1"/>
    </xf>
    <xf numFmtId="0" fontId="3" fillId="0" borderId="33" xfId="6" applyNumberFormat="1" applyFont="1" applyBorder="1"/>
    <xf numFmtId="0" fontId="3" fillId="0" borderId="34" xfId="6" applyNumberFormat="1" applyFont="1" applyBorder="1"/>
    <xf numFmtId="164" fontId="3" fillId="0" borderId="33" xfId="8" applyFont="1" applyBorder="1"/>
    <xf numFmtId="43" fontId="3" fillId="0" borderId="34" xfId="1" applyFont="1" applyBorder="1"/>
    <xf numFmtId="164" fontId="3" fillId="0" borderId="37" xfId="6" applyFont="1" applyBorder="1"/>
    <xf numFmtId="164" fontId="7" fillId="0" borderId="1" xfId="6" applyFont="1" applyBorder="1"/>
    <xf numFmtId="164" fontId="7" fillId="0" borderId="38" xfId="6" applyFont="1" applyBorder="1"/>
    <xf numFmtId="164" fontId="7" fillId="0" borderId="0" xfId="6" applyFont="1"/>
    <xf numFmtId="164" fontId="8" fillId="0" borderId="30" xfId="6" applyFont="1" applyBorder="1" applyAlignment="1">
      <alignment horizontal="center" wrapText="1"/>
    </xf>
    <xf numFmtId="164" fontId="8" fillId="0" borderId="31" xfId="6" applyFont="1" applyBorder="1"/>
    <xf numFmtId="0" fontId="8" fillId="0" borderId="31" xfId="6" applyNumberFormat="1" applyFont="1" applyBorder="1" applyAlignment="1">
      <alignment horizontal="center" wrapText="1"/>
    </xf>
    <xf numFmtId="164" fontId="3" fillId="0" borderId="31" xfId="0" applyFont="1" applyBorder="1"/>
    <xf numFmtId="164" fontId="8" fillId="0" borderId="31" xfId="6" applyFont="1" applyBorder="1" applyAlignment="1">
      <alignment horizontal="center" wrapText="1"/>
    </xf>
    <xf numFmtId="3" fontId="8" fillId="0" borderId="31" xfId="6" applyNumberFormat="1" applyFont="1" applyBorder="1" applyAlignment="1">
      <alignment horizontal="center" wrapText="1"/>
    </xf>
    <xf numFmtId="3" fontId="8" fillId="0" borderId="32" xfId="6" applyNumberFormat="1" applyFont="1" applyBorder="1" applyAlignment="1">
      <alignment horizontal="center" wrapText="1"/>
    </xf>
    <xf numFmtId="164" fontId="3" fillId="0" borderId="30" xfId="6" applyFont="1" applyBorder="1" applyAlignment="1">
      <alignment horizontal="center"/>
    </xf>
    <xf numFmtId="164" fontId="3" fillId="0" borderId="31" xfId="6" applyFont="1" applyBorder="1"/>
    <xf numFmtId="164" fontId="3" fillId="3" borderId="31" xfId="6" applyFont="1" applyFill="1" applyBorder="1"/>
    <xf numFmtId="165" fontId="3" fillId="3" borderId="31" xfId="1" applyNumberFormat="1" applyFont="1" applyFill="1" applyBorder="1"/>
    <xf numFmtId="165" fontId="3" fillId="0" borderId="31" xfId="1" applyNumberFormat="1" applyFont="1" applyBorder="1"/>
    <xf numFmtId="43" fontId="3" fillId="0" borderId="31" xfId="1" applyFont="1" applyBorder="1"/>
    <xf numFmtId="43" fontId="3" fillId="3" borderId="31" xfId="1" applyFont="1" applyFill="1" applyBorder="1"/>
    <xf numFmtId="165" fontId="3" fillId="0" borderId="32" xfId="1" applyNumberFormat="1" applyFont="1" applyBorder="1"/>
    <xf numFmtId="164" fontId="3" fillId="0" borderId="33" xfId="6" applyFont="1" applyBorder="1" applyAlignment="1">
      <alignment horizontal="center"/>
    </xf>
    <xf numFmtId="164" fontId="3" fillId="3" borderId="0" xfId="6" applyFont="1" applyFill="1"/>
    <xf numFmtId="164" fontId="3" fillId="0" borderId="37" xfId="6" applyFont="1" applyBorder="1" applyAlignment="1">
      <alignment horizontal="center"/>
    </xf>
    <xf numFmtId="164" fontId="3" fillId="3" borderId="1" xfId="6" applyFont="1" applyFill="1" applyBorder="1"/>
    <xf numFmtId="43" fontId="3" fillId="3" borderId="1" xfId="1" applyFont="1" applyFill="1" applyBorder="1"/>
    <xf numFmtId="3" fontId="3" fillId="0" borderId="0" xfId="5" applyNumberFormat="1" applyFont="1" applyAlignment="1">
      <alignment horizontal="center"/>
    </xf>
    <xf numFmtId="49" fontId="3" fillId="0" borderId="0" xfId="5" applyNumberFormat="1" applyFont="1" applyProtection="1">
      <protection locked="0"/>
    </xf>
    <xf numFmtId="3" fontId="3" fillId="0" borderId="1" xfId="4" applyNumberFormat="1" applyFont="1" applyBorder="1"/>
    <xf numFmtId="0" fontId="3" fillId="0" borderId="0" xfId="6" applyNumberFormat="1" applyFont="1" applyAlignment="1">
      <alignment horizontal="left" wrapText="1"/>
    </xf>
    <xf numFmtId="164" fontId="3" fillId="0" borderId="0" xfId="6" applyFont="1" applyAlignment="1">
      <alignment horizontal="center" wrapText="1"/>
    </xf>
    <xf numFmtId="165" fontId="3" fillId="0" borderId="0" xfId="0" applyNumberFormat="1" applyFont="1"/>
    <xf numFmtId="0" fontId="8" fillId="0" borderId="0" xfId="11" applyFont="1" applyAlignment="1">
      <alignment horizontal="left"/>
    </xf>
    <xf numFmtId="41" fontId="3" fillId="0" borderId="0" xfId="11" applyNumberFormat="1" applyFont="1"/>
    <xf numFmtId="164" fontId="3" fillId="0" borderId="14" xfId="6" applyFont="1" applyBorder="1" applyAlignment="1">
      <alignment horizontal="center"/>
    </xf>
    <xf numFmtId="43" fontId="10" fillId="0" borderId="0" xfId="1" applyNumberFormat="1" applyFont="1" applyFill="1" applyAlignment="1">
      <alignment horizontal="right"/>
    </xf>
  </cellXfs>
  <cellStyles count="27">
    <cellStyle name="Comma" xfId="1" builtinId="3"/>
    <cellStyle name="Comma [0] 2" xfId="18" xr:uid="{BA08F95E-A054-4438-A687-D446D4B819AF}"/>
    <cellStyle name="Comma 11" xfId="24" xr:uid="{5472CB0E-70D8-43AC-85AA-0D189924DC12}"/>
    <cellStyle name="Comma 2 2" xfId="16" xr:uid="{5AD2C2FA-275D-4783-A1C2-6E717F649A2F}"/>
    <cellStyle name="Currency" xfId="2" builtinId="4"/>
    <cellStyle name="Currency 2 2" xfId="23" xr:uid="{01EE4903-225E-4826-BA48-E86A9144F197}"/>
    <cellStyle name="Normal" xfId="0" builtinId="0"/>
    <cellStyle name="Normal 10" xfId="20" xr:uid="{529D1794-37B8-4F73-93A9-2E0FAD58944E}"/>
    <cellStyle name="Normal 11" xfId="25" xr:uid="{271BDD60-BEFA-4340-8DAC-CC62FCFA8C53}"/>
    <cellStyle name="Normal 2" xfId="15" xr:uid="{2BB3D189-9CC7-4C4B-8245-68B78CB67185}"/>
    <cellStyle name="Normal 2 2" xfId="21" xr:uid="{1B25377A-511D-4E0A-9532-AE91332365AC}"/>
    <cellStyle name="Normal 3 2" xfId="14" xr:uid="{1388679A-928F-4765-8E86-B9048C871DB2}"/>
    <cellStyle name="Normal 3_Attach O, GG, Support -New Method 2-14-11" xfId="4" xr:uid="{01A671F8-F4F3-4E36-896B-AA9828128195}"/>
    <cellStyle name="Normal 5" xfId="12" xr:uid="{F7F02808-52FC-40A0-9342-8580B5212750}"/>
    <cellStyle name="Normal 7" xfId="6" xr:uid="{AC68A524-B105-4656-AD19-88F74DA8567C}"/>
    <cellStyle name="Normal 9" xfId="22" xr:uid="{C97C2C39-5EB4-4B78-80C5-7D6288D4952E}"/>
    <cellStyle name="Normal_21 Exh B" xfId="7" xr:uid="{F924A4D8-FA49-4767-BBE2-39A50E993AFA}"/>
    <cellStyle name="Normal_AR workpaper --2002 Def Tax Exp by Account 8-14-02" xfId="19" xr:uid="{A4A4D0B0-C36D-4024-9F67-DCF71BA2523A}"/>
    <cellStyle name="Normal_ATC Projected 2008 Monthly Plant Balances for Attachment O 2 (2)" xfId="13" xr:uid="{D7B44568-F137-42BB-8179-351D49092EAC}"/>
    <cellStyle name="Normal_Attachment GG Example 8 26 09" xfId="9" xr:uid="{A1A2FA68-C4C4-4224-B9DF-08D79B11AC74}"/>
    <cellStyle name="Normal_Attachment GG Template ER11-28 11-18-10" xfId="8" xr:uid="{6C6BFBE4-A921-4389-A38A-A522C5FCA2F3}"/>
    <cellStyle name="Normal_Attachment O Support - 2004 True-up" xfId="10" xr:uid="{1C7B90C7-1E8E-47EA-A1FB-A73DF725AD1B}"/>
    <cellStyle name="Normal_Attachment Os for 2002 True-up" xfId="5" xr:uid="{70F0DB2B-6C29-4647-85AA-19838E86C973}"/>
    <cellStyle name="Normal_Schedule O Info for Mike" xfId="11" xr:uid="{FA1A27B4-08E1-44F3-969B-4A5F24B2A609}"/>
    <cellStyle name="Percent" xfId="3" builtinId="5"/>
    <cellStyle name="Percent 2 2" xfId="17" xr:uid="{7251D29E-7EC4-4888-AA76-ABCA2B1E9843}"/>
    <cellStyle name="Percent 7" xfId="26" xr:uid="{BCB7CC2B-BFD0-4EA0-8DEB-EEAEC42073E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theme" Target="theme/theme1.xml"/><Relationship Id="rId30"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85725</xdr:colOff>
      <xdr:row>47</xdr:row>
      <xdr:rowOff>160421</xdr:rowOff>
    </xdr:from>
    <xdr:to>
      <xdr:col>10</xdr:col>
      <xdr:colOff>340895</xdr:colOff>
      <xdr:row>58</xdr:row>
      <xdr:rowOff>47625</xdr:rowOff>
    </xdr:to>
    <xdr:cxnSp macro="">
      <xdr:nvCxnSpPr>
        <xdr:cNvPr id="2" name="Straight Arrow Connector 1">
          <a:extLst>
            <a:ext uri="{FF2B5EF4-FFF2-40B4-BE49-F238E27FC236}">
              <a16:creationId xmlns:a16="http://schemas.microsoft.com/office/drawing/2014/main" id="{D13F136D-5069-445F-959F-79C41714F4AB}"/>
            </a:ext>
          </a:extLst>
        </xdr:cNvPr>
        <xdr:cNvCxnSpPr/>
      </xdr:nvCxnSpPr>
      <xdr:spPr>
        <a:xfrm flipH="1">
          <a:off x="8258175" y="9733046"/>
          <a:ext cx="2617370" cy="2277979"/>
        </a:xfrm>
        <a:prstGeom prst="straightConnector1">
          <a:avLst/>
        </a:prstGeom>
        <a:noFill/>
        <a:ln w="6350" cap="flat" cmpd="sng" algn="ctr">
          <a:solidFill>
            <a:srgbClr val="4472C4"/>
          </a:solidFill>
          <a:prstDash val="solid"/>
          <a:miter lim="800000"/>
          <a:headEnd type="triangle"/>
          <a:tailEnd type="triangle"/>
        </a:ln>
        <a:effectLst/>
      </xdr:spPr>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819150</xdr:colOff>
          <xdr:row>15</xdr:row>
          <xdr:rowOff>104775</xdr:rowOff>
        </xdr:from>
        <xdr:to>
          <xdr:col>4</xdr:col>
          <xdr:colOff>85725</xdr:colOff>
          <xdr:row>19</xdr:row>
          <xdr:rowOff>85725</xdr:rowOff>
        </xdr:to>
        <xdr:sp macro="" textlink="">
          <xdr:nvSpPr>
            <xdr:cNvPr id="3073" name="Object 1" hidden="1">
              <a:extLst>
                <a:ext uri="{63B3BB69-23CF-44E3-9099-C40C66FF867C}">
                  <a14:compatExt spid="_x0000_s3073"/>
                </a:ext>
                <a:ext uri="{FF2B5EF4-FFF2-40B4-BE49-F238E27FC236}">
                  <a16:creationId xmlns:a16="http://schemas.microsoft.com/office/drawing/2014/main" id="{BB6F3A41-6352-427B-B063-D522BAA42E9E}"/>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e%20Sync\OneDrive%20-%20Gridliance(1)\Budget\2020\FR%20Templates\SPP\GHP%20Tx%20Formula%20Rate%20(04.05.19%20version)_RY%202020%20Proj_11122019_vFinal%20GHP%20Rev_Scen%203%20Rem%20All%20Cap%20Proj%20+%20Cut%20Some%20Cost%20(linked%20Op%20Mo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Tax\Accruals\2010\2010&#173;_Tax%20Accru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bwmqinc-my.sharepoint.com/Taxes/Accruals/2007/Tax%20Accruals_20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bwmqinc-my.sharepoint.com/tariffs/2000/formula%20rates/NSP%20xcelcoss%20mis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NAL ONLY TABS &gt;&gt;&gt;"/>
      <sheetName val="Key Inputs (COMP)"/>
      <sheetName val="Key Inputs (VARIANCE)"/>
      <sheetName val="ADJ BUILD-UP_G&amp;A+O&amp;M Costs"/>
      <sheetName val="ADJ BUILD-UP_PLANT VALUES"/>
      <sheetName val="ADJ BUILD-UP_OTHERS"/>
      <sheetName val="Key Inputs (LIVE FRT)"/>
      <sheetName val="FRT &gt;&gt;&gt;"/>
      <sheetName val="Attachment H"/>
      <sheetName val="1-Project Rev Req"/>
      <sheetName val="2-Incentive ROE"/>
      <sheetName val="3-Project True-up"/>
      <sheetName val="4- Rate Base"/>
      <sheetName val="5-P3 Support"/>
      <sheetName val="13 - Income Taxes"/>
      <sheetName val="4a - ADIT Projection"/>
      <sheetName val="4b - ADIT Projection Proration"/>
      <sheetName val="4c - ADIT BOY"/>
      <sheetName val="4d - ADIT EOY"/>
      <sheetName val="4e - ADIT True-up"/>
      <sheetName val="4f - ADIT True-up Proration"/>
      <sheetName val="6-True-Up Interest"/>
      <sheetName val="7 - PBOP"/>
      <sheetName val="8-Construction Loan"/>
      <sheetName val="9-Construction Loan True-up"/>
      <sheetName val="10-Dep Rates"/>
      <sheetName val="11-Wholesale Distribution"/>
      <sheetName val="11a-Wholesale Distribution "/>
      <sheetName val="12 Wholesale Dist True-Up"/>
      <sheetName val="13 - Income Taxes (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74E28-7BA9-430F-864C-F3254FE9B575}">
  <sheetPr>
    <tabColor rgb="FF92D050"/>
    <pageSetUpPr fitToPage="1"/>
  </sheetPr>
  <dimension ref="A1:AI277"/>
  <sheetViews>
    <sheetView tabSelected="1" view="pageBreakPreview" zoomScale="70" zoomScaleNormal="70" zoomScaleSheetLayoutView="70" workbookViewId="0">
      <selection activeCell="I25" sqref="I25"/>
    </sheetView>
  </sheetViews>
  <sheetFormatPr defaultColWidth="8.88671875" defaultRowHeight="15"/>
  <cols>
    <col min="1" max="1" width="5.77734375" style="3" customWidth="1"/>
    <col min="2" max="2" width="56" style="3" customWidth="1"/>
    <col min="3" max="3" width="47.44140625" style="3" bestFit="1" customWidth="1"/>
    <col min="4" max="4" width="16.33203125" style="3" customWidth="1"/>
    <col min="5" max="5" width="5.77734375" style="3" customWidth="1"/>
    <col min="6" max="6" width="7.33203125" style="3" customWidth="1"/>
    <col min="7" max="7" width="16.77734375" style="3" customWidth="1"/>
    <col min="8" max="8" width="4.88671875" style="3" customWidth="1"/>
    <col min="9" max="9" width="16.33203125" style="3" customWidth="1"/>
    <col min="10" max="10" width="2.6640625" style="3" customWidth="1"/>
    <col min="11" max="11" width="11.44140625" style="3" customWidth="1"/>
    <col min="12" max="12" width="14.44140625" style="3" bestFit="1" customWidth="1"/>
    <col min="13" max="35" width="12.6640625" customWidth="1"/>
    <col min="36" max="16384" width="8.88671875" style="3"/>
  </cols>
  <sheetData>
    <row r="1" spans="1:11">
      <c r="A1" s="1"/>
      <c r="B1" s="1"/>
      <c r="C1" s="1"/>
      <c r="D1" s="1"/>
      <c r="E1" s="1"/>
      <c r="F1" s="1"/>
      <c r="G1" s="1"/>
      <c r="H1" s="1"/>
      <c r="I1" s="1"/>
      <c r="J1" s="1"/>
      <c r="K1" s="2" t="s">
        <v>0</v>
      </c>
    </row>
    <row r="2" spans="1:11">
      <c r="A2" s="1"/>
      <c r="B2" s="1" t="s">
        <v>1</v>
      </c>
      <c r="C2" s="1"/>
      <c r="D2" s="1"/>
      <c r="E2" s="1"/>
      <c r="F2" s="1"/>
      <c r="G2" s="1"/>
      <c r="H2" s="1"/>
      <c r="I2" s="1"/>
      <c r="J2" s="1"/>
      <c r="K2" s="1"/>
    </row>
    <row r="3" spans="1:11">
      <c r="A3" s="4"/>
      <c r="B3" s="5" t="s">
        <v>2</v>
      </c>
      <c r="C3" s="6" t="str">
        <f>+'Attachment H'!D5</f>
        <v>GridLiance High Plains LLC</v>
      </c>
      <c r="D3" s="7" t="s">
        <v>3</v>
      </c>
      <c r="E3" s="5"/>
      <c r="F3" s="5"/>
      <c r="G3" s="5"/>
      <c r="H3" s="5"/>
      <c r="I3" s="8"/>
      <c r="J3" s="9"/>
      <c r="K3" s="10" t="s">
        <v>1209</v>
      </c>
    </row>
    <row r="4" spans="1:11">
      <c r="A4" s="4"/>
      <c r="C4" s="11"/>
      <c r="D4" s="12" t="s">
        <v>4</v>
      </c>
      <c r="E4" s="11"/>
      <c r="F4" s="11"/>
      <c r="G4" s="11"/>
      <c r="H4" s="5"/>
      <c r="I4" s="5"/>
      <c r="J4" s="13"/>
      <c r="K4" s="13"/>
    </row>
    <row r="5" spans="1:11" ht="15.75">
      <c r="A5" s="4"/>
      <c r="B5" s="14"/>
      <c r="C5" s="13"/>
      <c r="D5" s="15" t="s">
        <v>5</v>
      </c>
      <c r="E5" s="13"/>
      <c r="F5" s="13"/>
      <c r="G5" s="13"/>
      <c r="H5" s="13"/>
      <c r="I5" s="13"/>
      <c r="J5" s="13"/>
      <c r="K5" s="13"/>
    </row>
    <row r="6" spans="1:11" ht="15.75">
      <c r="B6" s="14"/>
      <c r="J6" s="16"/>
      <c r="K6" s="16"/>
    </row>
    <row r="7" spans="1:11">
      <c r="A7" s="7"/>
      <c r="C7" s="13"/>
      <c r="D7" s="17"/>
      <c r="E7" s="13"/>
      <c r="F7" s="13"/>
      <c r="G7" s="13"/>
      <c r="H7" s="13"/>
      <c r="I7" s="13"/>
      <c r="J7" s="13"/>
      <c r="K7" s="13"/>
    </row>
    <row r="8" spans="1:11">
      <c r="A8" s="7"/>
      <c r="B8" s="18" t="s">
        <v>6</v>
      </c>
      <c r="C8" s="18" t="s">
        <v>7</v>
      </c>
      <c r="D8" s="18" t="s">
        <v>8</v>
      </c>
      <c r="E8" s="11" t="s">
        <v>9</v>
      </c>
      <c r="F8" s="11"/>
      <c r="G8" s="17" t="s">
        <v>10</v>
      </c>
      <c r="H8" s="11"/>
      <c r="I8" s="17" t="s">
        <v>11</v>
      </c>
      <c r="J8" s="13"/>
      <c r="K8" s="13"/>
    </row>
    <row r="9" spans="1:11">
      <c r="A9" s="7" t="s">
        <v>12</v>
      </c>
      <c r="B9" s="13"/>
      <c r="C9" s="13"/>
      <c r="D9" s="16"/>
      <c r="E9" s="13"/>
      <c r="F9" s="13"/>
      <c r="G9" s="13"/>
      <c r="H9" s="13"/>
      <c r="I9" s="7" t="s">
        <v>13</v>
      </c>
      <c r="J9" s="13"/>
      <c r="K9" s="13"/>
    </row>
    <row r="10" spans="1:11" ht="15.75" thickBot="1">
      <c r="A10" s="19" t="s">
        <v>14</v>
      </c>
      <c r="B10" s="13"/>
      <c r="C10" s="13"/>
      <c r="D10" s="13"/>
      <c r="E10" s="13"/>
      <c r="F10" s="13"/>
      <c r="G10" s="13"/>
      <c r="H10" s="13"/>
      <c r="I10" s="19" t="s">
        <v>15</v>
      </c>
      <c r="J10" s="13"/>
      <c r="K10" s="13"/>
    </row>
    <row r="11" spans="1:11">
      <c r="A11" s="7">
        <v>1</v>
      </c>
      <c r="B11" s="13" t="s">
        <v>16</v>
      </c>
      <c r="C11" s="13" t="s">
        <v>17</v>
      </c>
      <c r="D11" s="11"/>
      <c r="E11" s="13"/>
      <c r="F11" s="13"/>
      <c r="G11" s="13"/>
      <c r="H11" s="13"/>
      <c r="I11" s="20">
        <f>+I170</f>
        <v>15706788.845874857</v>
      </c>
      <c r="J11" s="21"/>
      <c r="K11" s="13"/>
    </row>
    <row r="12" spans="1:11">
      <c r="A12" s="7"/>
      <c r="B12" s="13"/>
      <c r="C12" s="13"/>
      <c r="D12" s="13"/>
      <c r="E12" s="13"/>
      <c r="F12" s="13"/>
      <c r="G12" s="13"/>
      <c r="H12" s="13"/>
      <c r="I12" s="11"/>
      <c r="J12" s="13"/>
      <c r="K12" s="13"/>
    </row>
    <row r="13" spans="1:11" ht="15.75" thickBot="1">
      <c r="A13" s="7" t="s">
        <v>9</v>
      </c>
      <c r="B13" s="13" t="s">
        <v>18</v>
      </c>
      <c r="C13" s="11" t="s">
        <v>19</v>
      </c>
      <c r="D13" s="19" t="s">
        <v>20</v>
      </c>
      <c r="E13" s="11"/>
      <c r="F13" s="22" t="s">
        <v>21</v>
      </c>
      <c r="G13" s="22"/>
      <c r="H13" s="13"/>
      <c r="I13" s="11"/>
      <c r="J13" s="13"/>
      <c r="K13" s="13"/>
    </row>
    <row r="14" spans="1:11">
      <c r="A14" s="7">
        <f>+A11+1</f>
        <v>2</v>
      </c>
      <c r="B14" s="13" t="s">
        <v>22</v>
      </c>
      <c r="C14" s="11" t="str">
        <f>"(page 4, line "&amp;A220&amp;")"</f>
        <v>(page 4, line 29)</v>
      </c>
      <c r="D14" s="23">
        <f>I220</f>
        <v>0</v>
      </c>
      <c r="E14" s="11"/>
      <c r="F14" s="11" t="s">
        <v>23</v>
      </c>
      <c r="G14" s="23">
        <f>I189</f>
        <v>1</v>
      </c>
      <c r="H14" s="24"/>
      <c r="I14" s="23">
        <f>+G14*D14</f>
        <v>0</v>
      </c>
      <c r="J14" s="13"/>
      <c r="K14" s="13"/>
    </row>
    <row r="15" spans="1:11">
      <c r="A15" s="7">
        <f>+A14+1</f>
        <v>3</v>
      </c>
      <c r="B15" s="13" t="s">
        <v>24</v>
      </c>
      <c r="C15" s="11" t="str">
        <f>"(page 4, line "&amp;A225&amp;")"</f>
        <v>(page 4, line 33)</v>
      </c>
      <c r="D15" s="23">
        <f>I225</f>
        <v>0</v>
      </c>
      <c r="E15" s="11"/>
      <c r="F15" s="11" t="s">
        <v>23</v>
      </c>
      <c r="G15" s="23">
        <f>+G14</f>
        <v>1</v>
      </c>
      <c r="H15" s="24"/>
      <c r="I15" s="23">
        <f>+G15*D15</f>
        <v>0</v>
      </c>
      <c r="J15" s="13"/>
      <c r="K15" s="13"/>
    </row>
    <row r="16" spans="1:11">
      <c r="A16" s="7">
        <f>+A15+1</f>
        <v>4</v>
      </c>
      <c r="B16" s="13" t="s">
        <v>25</v>
      </c>
      <c r="C16" s="11" t="s">
        <v>26</v>
      </c>
      <c r="D16" s="23">
        <f>+'5-P3 Support'!G67</f>
        <v>0</v>
      </c>
      <c r="E16" s="11"/>
      <c r="F16" s="11" t="s">
        <v>23</v>
      </c>
      <c r="G16" s="23">
        <f>+G15</f>
        <v>1</v>
      </c>
      <c r="H16" s="24"/>
      <c r="I16" s="23">
        <f>+D16*G16</f>
        <v>0</v>
      </c>
      <c r="J16" s="13"/>
      <c r="K16" s="13"/>
    </row>
    <row r="17" spans="1:11">
      <c r="A17" s="7">
        <f>+A16+1</f>
        <v>5</v>
      </c>
      <c r="B17" s="11" t="s">
        <v>27</v>
      </c>
      <c r="C17" s="25" t="s">
        <v>28</v>
      </c>
      <c r="D17" s="26">
        <v>0</v>
      </c>
      <c r="E17" s="11"/>
      <c r="F17" s="11" t="s">
        <v>23</v>
      </c>
      <c r="G17" s="23">
        <f>+G15</f>
        <v>1</v>
      </c>
      <c r="H17" s="24"/>
      <c r="I17" s="23">
        <f>+G17*D17</f>
        <v>0</v>
      </c>
      <c r="J17" s="13"/>
      <c r="K17" s="13"/>
    </row>
    <row r="18" spans="1:11" ht="15.75" thickBot="1">
      <c r="A18" s="7">
        <f>+A17+1</f>
        <v>6</v>
      </c>
      <c r="B18" s="11" t="s">
        <v>29</v>
      </c>
      <c r="C18" s="25"/>
      <c r="D18" s="26">
        <v>0</v>
      </c>
      <c r="E18" s="11"/>
      <c r="F18" s="11" t="s">
        <v>23</v>
      </c>
      <c r="G18" s="23">
        <f>+G17</f>
        <v>1</v>
      </c>
      <c r="H18" s="24"/>
      <c r="I18" s="27">
        <f>+G18*D18</f>
        <v>0</v>
      </c>
      <c r="J18" s="13"/>
      <c r="K18" s="13"/>
    </row>
    <row r="19" spans="1:11">
      <c r="A19" s="7">
        <f>+A18+1</f>
        <v>7</v>
      </c>
      <c r="B19" s="13" t="s">
        <v>30</v>
      </c>
      <c r="C19" s="13" t="s">
        <v>31</v>
      </c>
      <c r="D19" s="28">
        <f>SUM(D14:D18)</f>
        <v>0</v>
      </c>
      <c r="E19" s="11"/>
      <c r="F19" s="11"/>
      <c r="G19" s="29"/>
      <c r="H19" s="24"/>
      <c r="I19" s="23">
        <f>SUM(I14:I18)</f>
        <v>0</v>
      </c>
      <c r="J19" s="13"/>
      <c r="K19" s="13"/>
    </row>
    <row r="20" spans="1:11">
      <c r="A20" s="7"/>
      <c r="B20" s="4"/>
      <c r="C20" s="13"/>
      <c r="D20" s="11" t="s">
        <v>9</v>
      </c>
      <c r="E20" s="13"/>
      <c r="F20" s="13"/>
      <c r="G20" s="30"/>
      <c r="H20" s="13"/>
      <c r="I20" s="4"/>
      <c r="J20" s="13"/>
      <c r="K20" s="13"/>
    </row>
    <row r="21" spans="1:11" ht="15.75" thickBot="1">
      <c r="A21" s="7">
        <f>+A19+1</f>
        <v>8</v>
      </c>
      <c r="B21" s="13" t="s">
        <v>32</v>
      </c>
      <c r="C21" s="13" t="s">
        <v>33</v>
      </c>
      <c r="D21" s="31" t="s">
        <v>9</v>
      </c>
      <c r="E21" s="11"/>
      <c r="F21" s="11"/>
      <c r="G21" s="11"/>
      <c r="H21" s="11"/>
      <c r="I21" s="32">
        <f>I11-I19</f>
        <v>15706788.845874857</v>
      </c>
      <c r="J21" s="13"/>
      <c r="K21" s="13"/>
    </row>
    <row r="22" spans="1:11" ht="15.75" thickTop="1">
      <c r="A22" s="7"/>
      <c r="B22" s="4"/>
      <c r="C22" s="13"/>
      <c r="D22" s="31"/>
      <c r="E22" s="11"/>
      <c r="F22" s="11"/>
      <c r="G22" s="11"/>
      <c r="H22" s="11"/>
      <c r="I22" s="4"/>
      <c r="J22" s="13"/>
      <c r="K22" s="13"/>
    </row>
    <row r="23" spans="1:11">
      <c r="A23" s="33">
        <f>+A21+1</f>
        <v>9</v>
      </c>
      <c r="B23" s="34" t="s">
        <v>34</v>
      </c>
      <c r="C23" s="35" t="s">
        <v>35</v>
      </c>
      <c r="D23" s="36">
        <f>+'3-Project True-up'!K39</f>
        <v>2043825.166889865</v>
      </c>
      <c r="E23" s="34"/>
      <c r="F23" s="34" t="s">
        <v>36</v>
      </c>
      <c r="G23" s="37">
        <v>1</v>
      </c>
      <c r="H23" s="34"/>
      <c r="I23" s="38">
        <f>+G23*D23</f>
        <v>2043825.166889865</v>
      </c>
      <c r="K23" s="13"/>
    </row>
    <row r="24" spans="1:11">
      <c r="A24" s="33"/>
      <c r="B24" s="34"/>
      <c r="C24" s="34"/>
      <c r="D24" s="34"/>
      <c r="E24" s="34"/>
      <c r="F24" s="34"/>
      <c r="G24" s="34"/>
      <c r="H24" s="34"/>
      <c r="I24" s="39"/>
      <c r="K24" s="13"/>
    </row>
    <row r="25" spans="1:11" ht="15.75" thickBot="1">
      <c r="A25" s="33">
        <f>+A23+1</f>
        <v>10</v>
      </c>
      <c r="B25" s="34" t="s">
        <v>32</v>
      </c>
      <c r="C25" s="34" t="s">
        <v>37</v>
      </c>
      <c r="D25" s="34"/>
      <c r="E25" s="39"/>
      <c r="F25" s="39"/>
      <c r="G25" s="39"/>
      <c r="H25" s="39"/>
      <c r="I25" s="40">
        <f>+I21+I23</f>
        <v>17750614.012764722</v>
      </c>
      <c r="K25" s="13"/>
    </row>
    <row r="26" spans="1:11" ht="15.75" thickTop="1">
      <c r="A26" s="7"/>
      <c r="B26" s="11"/>
      <c r="C26" s="13"/>
      <c r="D26" s="13"/>
      <c r="E26" s="13"/>
      <c r="F26" s="4"/>
      <c r="G26" s="5"/>
      <c r="H26" s="13"/>
      <c r="I26" s="11"/>
      <c r="J26" s="13"/>
      <c r="K26" s="13"/>
    </row>
    <row r="27" spans="1:11">
      <c r="A27" s="7"/>
      <c r="B27" s="13"/>
      <c r="C27" s="13"/>
      <c r="D27" s="13"/>
      <c r="E27" s="13"/>
      <c r="F27" s="4"/>
      <c r="G27" s="5"/>
      <c r="H27" s="13"/>
      <c r="I27" s="11"/>
      <c r="J27" s="13"/>
      <c r="K27" s="13"/>
    </row>
    <row r="28" spans="1:11">
      <c r="A28" s="7"/>
      <c r="B28" s="11"/>
      <c r="C28" s="13"/>
      <c r="D28" s="13"/>
      <c r="E28" s="13"/>
      <c r="F28" s="13"/>
      <c r="G28" s="5"/>
      <c r="H28" s="13"/>
      <c r="I28" s="11"/>
      <c r="J28" s="13"/>
      <c r="K28" s="13"/>
    </row>
    <row r="29" spans="1:11">
      <c r="A29" s="7"/>
      <c r="B29" s="11"/>
      <c r="C29" s="13"/>
      <c r="D29" s="13"/>
      <c r="E29" s="13"/>
      <c r="F29" s="13"/>
      <c r="G29" s="5"/>
      <c r="H29" s="13"/>
      <c r="I29" s="11"/>
      <c r="J29" s="13"/>
      <c r="K29" s="13"/>
    </row>
    <row r="30" spans="1:11">
      <c r="A30" s="7"/>
      <c r="B30" s="11"/>
      <c r="C30" s="13"/>
      <c r="D30" s="13"/>
      <c r="E30" s="13"/>
      <c r="F30" s="13"/>
      <c r="G30" s="5"/>
      <c r="H30" s="13"/>
      <c r="I30" s="11"/>
      <c r="J30" s="13"/>
      <c r="K30" s="13"/>
    </row>
    <row r="31" spans="1:11">
      <c r="A31" s="7"/>
      <c r="B31" s="5"/>
      <c r="C31" s="13"/>
      <c r="D31" s="13"/>
      <c r="E31" s="13"/>
      <c r="F31" s="13"/>
      <c r="G31" s="13"/>
      <c r="H31" s="13"/>
      <c r="I31" s="11"/>
      <c r="J31" s="13"/>
      <c r="K31" s="13"/>
    </row>
    <row r="32" spans="1:11">
      <c r="A32" s="7"/>
      <c r="B32" s="13"/>
      <c r="C32" s="13"/>
      <c r="D32" s="13"/>
      <c r="E32" s="13"/>
      <c r="F32" s="13"/>
      <c r="G32" s="13"/>
      <c r="H32" s="13"/>
      <c r="I32" s="11"/>
      <c r="J32" s="13"/>
      <c r="K32" s="13"/>
    </row>
    <row r="33" spans="1:11">
      <c r="A33" s="7"/>
      <c r="B33" s="13"/>
      <c r="C33" s="13"/>
      <c r="D33" s="41"/>
      <c r="E33" s="13"/>
      <c r="F33" s="13"/>
      <c r="G33" s="13"/>
      <c r="H33" s="13"/>
      <c r="I33" s="4"/>
      <c r="J33" s="13"/>
      <c r="K33" s="13"/>
    </row>
    <row r="34" spans="1:11">
      <c r="A34" s="7"/>
      <c r="B34" s="13"/>
      <c r="C34" s="13"/>
      <c r="D34" s="41"/>
      <c r="E34" s="13"/>
      <c r="F34" s="13"/>
      <c r="G34" s="13"/>
      <c r="H34" s="13"/>
      <c r="I34" s="4"/>
      <c r="J34" s="13"/>
      <c r="K34" s="13"/>
    </row>
    <row r="35" spans="1:11">
      <c r="A35" s="7"/>
      <c r="B35" s="13"/>
      <c r="C35" s="13"/>
      <c r="D35" s="42"/>
      <c r="E35" s="13"/>
      <c r="F35" s="13"/>
      <c r="G35" s="13"/>
      <c r="H35" s="13"/>
      <c r="I35" s="4"/>
      <c r="J35" s="13"/>
      <c r="K35" s="13"/>
    </row>
    <row r="36" spans="1:11">
      <c r="A36" s="7"/>
      <c r="B36" s="13"/>
      <c r="C36" s="13"/>
      <c r="D36" s="43"/>
      <c r="E36" s="13"/>
      <c r="F36" s="13"/>
      <c r="G36" s="13"/>
      <c r="H36" s="13"/>
      <c r="I36" s="44"/>
      <c r="J36" s="13"/>
      <c r="K36" s="13"/>
    </row>
    <row r="37" spans="1:11">
      <c r="A37" s="7"/>
      <c r="B37" s="13"/>
      <c r="C37" s="45"/>
      <c r="D37" s="41"/>
      <c r="E37" s="13"/>
      <c r="F37" s="13"/>
      <c r="G37" s="13"/>
      <c r="H37" s="13"/>
      <c r="I37" s="46"/>
      <c r="J37" s="13"/>
      <c r="K37" s="13"/>
    </row>
    <row r="38" spans="1:11">
      <c r="A38" s="7"/>
      <c r="B38" s="13"/>
      <c r="C38" s="45"/>
      <c r="D38" s="41"/>
      <c r="E38" s="13"/>
      <c r="F38" s="4"/>
      <c r="G38" s="13"/>
      <c r="H38" s="13"/>
      <c r="I38" s="46"/>
      <c r="J38" s="13"/>
      <c r="K38" s="13"/>
    </row>
    <row r="39" spans="1:11">
      <c r="A39" s="7"/>
      <c r="B39" s="13"/>
      <c r="C39" s="45"/>
      <c r="D39" s="41"/>
      <c r="E39" s="13"/>
      <c r="F39" s="4"/>
      <c r="G39" s="13"/>
      <c r="H39" s="13"/>
      <c r="I39" s="46"/>
      <c r="J39" s="13"/>
      <c r="K39" s="13"/>
    </row>
    <row r="40" spans="1:11">
      <c r="A40" s="7"/>
      <c r="B40" s="13"/>
      <c r="C40" s="13"/>
      <c r="D40" s="13"/>
      <c r="E40" s="13"/>
      <c r="F40" s="4"/>
      <c r="G40" s="13"/>
      <c r="H40" s="13"/>
      <c r="I40" s="4"/>
      <c r="J40" s="13"/>
      <c r="K40" s="13"/>
    </row>
    <row r="41" spans="1:11">
      <c r="A41" s="7"/>
      <c r="B41" s="13"/>
      <c r="C41" s="13"/>
      <c r="D41" s="13"/>
      <c r="E41" s="13"/>
      <c r="F41" s="4"/>
      <c r="G41" s="13"/>
      <c r="H41" s="13"/>
      <c r="I41" s="4"/>
      <c r="J41" s="13"/>
      <c r="K41" s="13"/>
    </row>
    <row r="42" spans="1:11">
      <c r="A42" s="7"/>
      <c r="B42" s="13"/>
      <c r="C42" s="13"/>
      <c r="D42" s="47"/>
      <c r="E42" s="47"/>
      <c r="F42" s="47"/>
      <c r="G42" s="47"/>
      <c r="H42" s="47"/>
      <c r="I42" s="47"/>
      <c r="J42" s="47"/>
      <c r="K42" s="13"/>
    </row>
    <row r="43" spans="1:11">
      <c r="A43" s="7"/>
      <c r="B43" s="13"/>
      <c r="C43" s="13"/>
      <c r="D43" s="47"/>
      <c r="E43" s="47"/>
      <c r="F43" s="47"/>
      <c r="G43" s="47"/>
      <c r="H43" s="47"/>
      <c r="I43" s="47"/>
      <c r="J43" s="47"/>
      <c r="K43" s="13"/>
    </row>
    <row r="44" spans="1:11">
      <c r="A44" s="7"/>
      <c r="B44" s="13"/>
      <c r="C44" s="13"/>
      <c r="D44" s="47"/>
      <c r="E44" s="47"/>
      <c r="F44" s="47"/>
      <c r="G44" s="47"/>
      <c r="H44" s="47"/>
      <c r="I44" s="47"/>
      <c r="J44" s="47"/>
      <c r="K44" s="13"/>
    </row>
    <row r="45" spans="1:11">
      <c r="A45" s="7"/>
      <c r="B45" s="13"/>
      <c r="C45" s="13"/>
      <c r="D45" s="47"/>
      <c r="E45" s="47"/>
      <c r="F45" s="47"/>
      <c r="G45" s="47"/>
      <c r="H45" s="47"/>
      <c r="I45" s="47"/>
      <c r="J45" s="47"/>
      <c r="K45" s="13"/>
    </row>
    <row r="46" spans="1:11">
      <c r="A46" s="7"/>
      <c r="B46" s="13"/>
      <c r="C46" s="13"/>
      <c r="D46" s="47"/>
      <c r="E46" s="47"/>
      <c r="F46" s="47"/>
      <c r="G46" s="47"/>
      <c r="H46" s="47"/>
      <c r="I46" s="47"/>
      <c r="J46" s="47"/>
      <c r="K46" s="13"/>
    </row>
    <row r="47" spans="1:11">
      <c r="A47" s="7"/>
      <c r="B47" s="13"/>
      <c r="C47" s="13"/>
      <c r="D47" s="47"/>
      <c r="E47" s="47"/>
      <c r="F47" s="47"/>
      <c r="G47" s="47"/>
      <c r="H47" s="47"/>
      <c r="I47" s="47"/>
      <c r="J47" s="47"/>
      <c r="K47" s="13"/>
    </row>
    <row r="48" spans="1:11">
      <c r="A48" s="7"/>
      <c r="B48" s="13"/>
      <c r="C48" s="13"/>
      <c r="D48" s="47"/>
      <c r="E48" s="47"/>
      <c r="F48" s="47"/>
      <c r="G48" s="47"/>
      <c r="H48" s="47"/>
      <c r="I48" s="47"/>
      <c r="J48" s="47"/>
      <c r="K48" s="13"/>
    </row>
    <row r="49" spans="1:11">
      <c r="A49" s="7"/>
      <c r="B49" s="13"/>
      <c r="C49" s="13"/>
      <c r="D49" s="47"/>
      <c r="E49" s="47"/>
      <c r="F49" s="47"/>
      <c r="G49" s="47"/>
      <c r="H49" s="47"/>
      <c r="I49" s="47"/>
      <c r="J49" s="47"/>
      <c r="K49" s="13"/>
    </row>
    <row r="50" spans="1:11">
      <c r="A50" s="7"/>
      <c r="B50" s="13"/>
      <c r="C50" s="13"/>
      <c r="D50" s="47"/>
      <c r="E50" s="47"/>
      <c r="F50" s="47"/>
      <c r="G50" s="47"/>
      <c r="H50" s="47"/>
      <c r="I50" s="47"/>
      <c r="J50" s="47"/>
      <c r="K50" s="13"/>
    </row>
    <row r="51" spans="1:11">
      <c r="A51" s="7"/>
      <c r="B51" s="13"/>
      <c r="C51" s="13"/>
      <c r="D51" s="47"/>
      <c r="E51" s="47"/>
      <c r="F51" s="47"/>
      <c r="G51" s="47"/>
      <c r="H51" s="47"/>
      <c r="I51" s="47"/>
      <c r="J51" s="47"/>
      <c r="K51" s="13"/>
    </row>
    <row r="52" spans="1:11">
      <c r="A52" s="4"/>
      <c r="B52" s="13"/>
      <c r="C52" s="13"/>
      <c r="D52" s="13"/>
      <c r="E52" s="13"/>
      <c r="F52" s="13"/>
      <c r="G52" s="13"/>
      <c r="H52" s="13"/>
      <c r="I52" s="48"/>
      <c r="J52" s="13"/>
      <c r="K52" s="49" t="s">
        <v>38</v>
      </c>
    </row>
    <row r="53" spans="1:11">
      <c r="A53" s="4"/>
      <c r="B53" s="13"/>
      <c r="C53" s="13"/>
      <c r="D53" s="13"/>
      <c r="E53" s="13"/>
      <c r="F53" s="13"/>
      <c r="G53" s="13"/>
      <c r="H53" s="13"/>
      <c r="I53" s="13"/>
      <c r="J53" s="13"/>
      <c r="K53" s="13"/>
    </row>
    <row r="54" spans="1:11">
      <c r="A54" s="4"/>
      <c r="B54" s="13" t="s">
        <v>2</v>
      </c>
      <c r="C54" s="13"/>
      <c r="D54" s="18" t="s">
        <v>3</v>
      </c>
      <c r="E54" s="13"/>
      <c r="F54" s="13"/>
      <c r="G54" s="13"/>
      <c r="H54" s="13"/>
      <c r="I54" s="1"/>
      <c r="J54" s="13"/>
      <c r="K54" s="49" t="str">
        <f>K3</f>
        <v>For the 12 months ended 12/31/2020</v>
      </c>
    </row>
    <row r="55" spans="1:11">
      <c r="A55" s="4"/>
      <c r="B55" s="50"/>
      <c r="C55" s="11"/>
      <c r="D55" s="12" t="s">
        <v>4</v>
      </c>
      <c r="E55" s="11"/>
      <c r="F55" s="11"/>
      <c r="G55" s="11"/>
      <c r="H55" s="11"/>
      <c r="I55" s="11"/>
      <c r="J55" s="11"/>
      <c r="K55" s="11"/>
    </row>
    <row r="56" spans="1:11">
      <c r="A56" s="4"/>
      <c r="B56" s="13"/>
      <c r="C56" s="11"/>
      <c r="D56" s="12" t="str">
        <f>+D5</f>
        <v>GridLiance High Plains LLC</v>
      </c>
      <c r="E56" s="11"/>
      <c r="F56" s="11"/>
      <c r="G56" s="11" t="s">
        <v>9</v>
      </c>
      <c r="H56" s="11"/>
      <c r="I56" s="11"/>
      <c r="J56" s="11"/>
      <c r="K56" s="11"/>
    </row>
    <row r="57" spans="1:11">
      <c r="A57" s="51"/>
      <c r="B57" s="51"/>
      <c r="C57" s="51"/>
      <c r="D57" s="51"/>
      <c r="E57" s="51"/>
      <c r="F57" s="51"/>
      <c r="G57" s="51"/>
      <c r="H57" s="51"/>
      <c r="I57" s="51"/>
      <c r="J57" s="51"/>
      <c r="K57" s="51"/>
    </row>
    <row r="58" spans="1:11">
      <c r="A58" s="4"/>
      <c r="B58" s="18" t="s">
        <v>6</v>
      </c>
      <c r="C58" s="18" t="s">
        <v>7</v>
      </c>
      <c r="D58" s="18" t="s">
        <v>8</v>
      </c>
      <c r="E58" s="11" t="s">
        <v>9</v>
      </c>
      <c r="F58" s="11"/>
      <c r="G58" s="17" t="s">
        <v>10</v>
      </c>
      <c r="H58" s="11"/>
      <c r="I58" s="17" t="s">
        <v>11</v>
      </c>
      <c r="J58" s="11"/>
      <c r="K58" s="18"/>
    </row>
    <row r="59" spans="1:11">
      <c r="A59" s="4"/>
      <c r="B59" s="13"/>
      <c r="C59" s="52"/>
      <c r="D59" s="11"/>
      <c r="E59" s="11"/>
      <c r="F59" s="11"/>
      <c r="G59" s="7"/>
      <c r="H59" s="11"/>
      <c r="I59" s="53" t="s">
        <v>39</v>
      </c>
      <c r="J59" s="11"/>
      <c r="K59" s="18"/>
    </row>
    <row r="60" spans="1:11">
      <c r="A60" s="7" t="s">
        <v>12</v>
      </c>
      <c r="B60" s="13"/>
      <c r="C60" s="54" t="s">
        <v>40</v>
      </c>
      <c r="D60" s="53" t="s">
        <v>41</v>
      </c>
      <c r="E60" s="55"/>
      <c r="F60" s="53" t="s">
        <v>42</v>
      </c>
      <c r="G60" s="4"/>
      <c r="H60" s="55"/>
      <c r="I60" s="7" t="s">
        <v>43</v>
      </c>
      <c r="J60" s="11"/>
      <c r="K60" s="18"/>
    </row>
    <row r="61" spans="1:11" ht="15.75" thickBot="1">
      <c r="A61" s="19" t="s">
        <v>14</v>
      </c>
      <c r="B61" s="56" t="s">
        <v>44</v>
      </c>
      <c r="C61" s="11"/>
      <c r="D61" s="11"/>
      <c r="E61" s="11"/>
      <c r="F61" s="11"/>
      <c r="G61" s="11"/>
      <c r="H61" s="11"/>
      <c r="I61" s="11"/>
      <c r="J61" s="11"/>
      <c r="K61" s="11"/>
    </row>
    <row r="62" spans="1:11">
      <c r="A62" s="7"/>
      <c r="B62" s="13" t="s">
        <v>45</v>
      </c>
      <c r="C62" s="11"/>
      <c r="D62" s="11"/>
      <c r="E62" s="11"/>
      <c r="F62" s="11"/>
      <c r="G62" s="11"/>
      <c r="H62" s="11"/>
      <c r="I62" s="11"/>
      <c r="J62" s="11"/>
      <c r="K62" s="11"/>
    </row>
    <row r="63" spans="1:11">
      <c r="A63" s="7">
        <v>1</v>
      </c>
      <c r="B63" s="13" t="s">
        <v>46</v>
      </c>
      <c r="C63" s="24" t="s">
        <v>47</v>
      </c>
      <c r="D63" s="57">
        <v>0</v>
      </c>
      <c r="E63" s="11"/>
      <c r="F63" s="11" t="s">
        <v>48</v>
      </c>
      <c r="G63" s="58" t="s">
        <v>9</v>
      </c>
      <c r="H63" s="11"/>
      <c r="I63" s="26">
        <v>0</v>
      </c>
      <c r="J63" s="11"/>
      <c r="K63" s="11"/>
    </row>
    <row r="64" spans="1:11">
      <c r="A64" s="7">
        <f>+A63+1</f>
        <v>2</v>
      </c>
      <c r="B64" s="13" t="s">
        <v>49</v>
      </c>
      <c r="C64" s="24" t="s">
        <v>50</v>
      </c>
      <c r="D64" s="38">
        <f>'4- Rate Base'!C24</f>
        <v>92294602.145676479</v>
      </c>
      <c r="E64" s="11"/>
      <c r="F64" s="11" t="s">
        <v>23</v>
      </c>
      <c r="G64" s="23">
        <f>I189</f>
        <v>1</v>
      </c>
      <c r="H64" s="24"/>
      <c r="I64" s="26">
        <f>+G64*D64</f>
        <v>92294602.145676479</v>
      </c>
      <c r="J64" s="11"/>
      <c r="K64" s="11"/>
    </row>
    <row r="65" spans="1:11">
      <c r="A65" s="7">
        <f t="shared" ref="A65:A104" si="0">+A64+1</f>
        <v>3</v>
      </c>
      <c r="B65" s="13" t="s">
        <v>51</v>
      </c>
      <c r="C65" s="24" t="s">
        <v>52</v>
      </c>
      <c r="D65" s="57">
        <v>0</v>
      </c>
      <c r="E65" s="11"/>
      <c r="F65" s="11" t="s">
        <v>48</v>
      </c>
      <c r="G65" s="23">
        <v>0</v>
      </c>
      <c r="H65" s="24"/>
      <c r="I65" s="26">
        <v>0</v>
      </c>
      <c r="J65" s="11"/>
      <c r="K65" s="11"/>
    </row>
    <row r="66" spans="1:11">
      <c r="A66" s="7">
        <f t="shared" si="0"/>
        <v>4</v>
      </c>
      <c r="B66" s="13" t="s">
        <v>53</v>
      </c>
      <c r="C66" s="24" t="s">
        <v>54</v>
      </c>
      <c r="D66" s="26">
        <f>'4- Rate Base'!D24</f>
        <v>0</v>
      </c>
      <c r="E66" s="11"/>
      <c r="F66" s="11" t="s">
        <v>55</v>
      </c>
      <c r="G66" s="36">
        <f>I197</f>
        <v>1</v>
      </c>
      <c r="H66" s="24"/>
      <c r="I66" s="26">
        <f>+G66*D66</f>
        <v>0</v>
      </c>
      <c r="J66" s="11"/>
      <c r="K66" s="11"/>
    </row>
    <row r="67" spans="1:11" ht="15.75" thickBot="1">
      <c r="A67" s="7">
        <f t="shared" si="0"/>
        <v>5</v>
      </c>
      <c r="B67" s="13" t="s">
        <v>56</v>
      </c>
      <c r="C67" s="11" t="s">
        <v>57</v>
      </c>
      <c r="D67" s="59">
        <v>0</v>
      </c>
      <c r="E67" s="11"/>
      <c r="F67" s="11" t="s">
        <v>58</v>
      </c>
      <c r="G67" s="23">
        <f>K201</f>
        <v>1</v>
      </c>
      <c r="H67" s="24"/>
      <c r="I67" s="60">
        <f>+G67*D67</f>
        <v>0</v>
      </c>
      <c r="J67" s="11"/>
      <c r="K67" s="11"/>
    </row>
    <row r="68" spans="1:11" ht="24" customHeight="1">
      <c r="A68" s="7">
        <f t="shared" si="0"/>
        <v>6</v>
      </c>
      <c r="B68" s="5" t="s">
        <v>59</v>
      </c>
      <c r="C68" s="11" t="s">
        <v>60</v>
      </c>
      <c r="D68" s="26">
        <f>SUM(D63:D67)</f>
        <v>92294602.145676479</v>
      </c>
      <c r="E68" s="11"/>
      <c r="F68" s="11" t="s">
        <v>61</v>
      </c>
      <c r="G68" s="61">
        <f>IF(I68&gt;0,I68/D68,0)</f>
        <v>1</v>
      </c>
      <c r="H68" s="24"/>
      <c r="I68" s="26">
        <f>SUM(I63:I67)</f>
        <v>92294602.145676479</v>
      </c>
      <c r="J68" s="11"/>
      <c r="K68" s="62"/>
    </row>
    <row r="69" spans="1:11">
      <c r="A69" s="7"/>
      <c r="B69" s="13"/>
      <c r="C69" s="11"/>
      <c r="D69" s="26"/>
      <c r="E69" s="11"/>
      <c r="F69" s="11"/>
      <c r="G69" s="62"/>
      <c r="H69" s="11"/>
      <c r="I69" s="26"/>
      <c r="J69" s="11"/>
      <c r="K69" s="62"/>
    </row>
    <row r="70" spans="1:11">
      <c r="A70" s="7">
        <f>+A68+1</f>
        <v>7</v>
      </c>
      <c r="B70" s="13" t="s">
        <v>62</v>
      </c>
      <c r="C70" s="11"/>
      <c r="D70" s="26"/>
      <c r="E70" s="11"/>
      <c r="F70" s="11"/>
      <c r="G70" s="11"/>
      <c r="H70" s="11"/>
      <c r="I70" s="26"/>
      <c r="J70" s="11"/>
      <c r="K70" s="11"/>
    </row>
    <row r="71" spans="1:11">
      <c r="A71" s="7">
        <f t="shared" si="0"/>
        <v>8</v>
      </c>
      <c r="B71" s="13" t="s">
        <v>46</v>
      </c>
      <c r="C71" s="11" t="s">
        <v>63</v>
      </c>
      <c r="D71" s="57">
        <v>0</v>
      </c>
      <c r="E71" s="11"/>
      <c r="F71" s="11" t="s">
        <v>48</v>
      </c>
      <c r="G71" s="58" t="s">
        <v>9</v>
      </c>
      <c r="H71" s="11"/>
      <c r="I71" s="26">
        <v>0</v>
      </c>
      <c r="J71" s="11"/>
      <c r="K71" s="11"/>
    </row>
    <row r="72" spans="1:11">
      <c r="A72" s="7">
        <f t="shared" si="0"/>
        <v>9</v>
      </c>
      <c r="B72" s="13" t="s">
        <v>49</v>
      </c>
      <c r="C72" s="11" t="s">
        <v>64</v>
      </c>
      <c r="D72" s="26">
        <f>'4- Rate Base'!I24</f>
        <v>15651697.456114136</v>
      </c>
      <c r="E72" s="11"/>
      <c r="F72" s="11" t="s">
        <v>23</v>
      </c>
      <c r="G72" s="23">
        <f>+G64</f>
        <v>1</v>
      </c>
      <c r="H72" s="24"/>
      <c r="I72" s="26">
        <f>+G72*D72</f>
        <v>15651697.456114136</v>
      </c>
      <c r="J72" s="11"/>
      <c r="K72" s="11"/>
    </row>
    <row r="73" spans="1:11">
      <c r="A73" s="7">
        <f t="shared" si="0"/>
        <v>10</v>
      </c>
      <c r="B73" s="13" t="s">
        <v>51</v>
      </c>
      <c r="C73" s="11" t="s">
        <v>65</v>
      </c>
      <c r="D73" s="57">
        <v>0</v>
      </c>
      <c r="E73" s="11"/>
      <c r="F73" s="11" t="s">
        <v>48</v>
      </c>
      <c r="G73" s="23">
        <f>+G65</f>
        <v>0</v>
      </c>
      <c r="H73" s="24"/>
      <c r="I73" s="26">
        <f>+G73*D73</f>
        <v>0</v>
      </c>
      <c r="J73" s="11"/>
      <c r="K73" s="11"/>
    </row>
    <row r="74" spans="1:11">
      <c r="A74" s="7">
        <f t="shared" si="0"/>
        <v>11</v>
      </c>
      <c r="B74" s="13" t="s">
        <v>53</v>
      </c>
      <c r="C74" s="11" t="s">
        <v>66</v>
      </c>
      <c r="D74" s="38">
        <f>'4- Rate Base'!J24</f>
        <v>0</v>
      </c>
      <c r="E74" s="11"/>
      <c r="F74" s="11" t="s">
        <v>55</v>
      </c>
      <c r="G74" s="36">
        <f>+G66</f>
        <v>1</v>
      </c>
      <c r="H74" s="24"/>
      <c r="I74" s="26">
        <f>+G74*D74</f>
        <v>0</v>
      </c>
      <c r="J74" s="11"/>
      <c r="K74" s="11"/>
    </row>
    <row r="75" spans="1:11" ht="15.75" thickBot="1">
      <c r="A75" s="7">
        <f t="shared" si="0"/>
        <v>12</v>
      </c>
      <c r="B75" s="13" t="s">
        <v>56</v>
      </c>
      <c r="C75" s="11" t="s">
        <v>57</v>
      </c>
      <c r="D75" s="59">
        <v>0</v>
      </c>
      <c r="E75" s="11"/>
      <c r="F75" s="11" t="s">
        <v>58</v>
      </c>
      <c r="G75" s="23">
        <f>+G67</f>
        <v>1</v>
      </c>
      <c r="H75" s="24"/>
      <c r="I75" s="60">
        <f>+G75*D75</f>
        <v>0</v>
      </c>
      <c r="J75" s="11"/>
      <c r="K75" s="11"/>
    </row>
    <row r="76" spans="1:11">
      <c r="A76" s="7">
        <f t="shared" si="0"/>
        <v>13</v>
      </c>
      <c r="B76" s="13" t="s">
        <v>67</v>
      </c>
      <c r="C76" s="11" t="s">
        <v>68</v>
      </c>
      <c r="D76" s="26">
        <f>SUM(D71:D75)</f>
        <v>15651697.456114136</v>
      </c>
      <c r="E76" s="11"/>
      <c r="F76" s="11"/>
      <c r="G76" s="23"/>
      <c r="H76" s="24"/>
      <c r="I76" s="26">
        <f>SUM(I71:I75)</f>
        <v>15651697.456114136</v>
      </c>
      <c r="J76" s="11"/>
      <c r="K76" s="11"/>
    </row>
    <row r="77" spans="1:11">
      <c r="A77" s="7"/>
      <c r="B77" s="4"/>
      <c r="C77" s="11" t="s">
        <v>9</v>
      </c>
      <c r="D77" s="26"/>
      <c r="E77" s="11"/>
      <c r="F77" s="11"/>
      <c r="G77" s="61"/>
      <c r="H77" s="11"/>
      <c r="I77" s="26"/>
      <c r="J77" s="11"/>
      <c r="K77" s="62"/>
    </row>
    <row r="78" spans="1:11">
      <c r="A78" s="7">
        <f>+A76+1</f>
        <v>14</v>
      </c>
      <c r="B78" s="13" t="s">
        <v>69</v>
      </c>
      <c r="C78" s="11"/>
      <c r="D78" s="26"/>
      <c r="E78" s="11"/>
      <c r="F78" s="11"/>
      <c r="G78" s="23"/>
      <c r="H78" s="11"/>
      <c r="I78" s="26"/>
      <c r="J78" s="11"/>
      <c r="K78" s="11"/>
    </row>
    <row r="79" spans="1:11">
      <c r="A79" s="7">
        <f t="shared" si="0"/>
        <v>15</v>
      </c>
      <c r="B79" s="13" t="s">
        <v>46</v>
      </c>
      <c r="C79" s="11" t="str">
        <f>"(line "&amp;A63&amp;" - line "&amp;A71&amp;")"</f>
        <v>(line 1 - line 8)</v>
      </c>
      <c r="D79" s="26">
        <f>D63-D71</f>
        <v>0</v>
      </c>
      <c r="E79" s="24"/>
      <c r="F79" s="24"/>
      <c r="G79" s="61"/>
      <c r="H79" s="24"/>
      <c r="I79" s="26">
        <f>I63-I71</f>
        <v>0</v>
      </c>
      <c r="J79" s="11"/>
      <c r="K79" s="62"/>
    </row>
    <row r="80" spans="1:11">
      <c r="A80" s="7">
        <f t="shared" si="0"/>
        <v>16</v>
      </c>
      <c r="B80" s="13" t="s">
        <v>49</v>
      </c>
      <c r="C80" s="11" t="s">
        <v>70</v>
      </c>
      <c r="D80" s="26">
        <f>D64-D72</f>
        <v>76642904.689562351</v>
      </c>
      <c r="E80" s="24"/>
      <c r="F80" s="24"/>
      <c r="G80" s="23"/>
      <c r="H80" s="24"/>
      <c r="I80" s="26">
        <f>I64-I72</f>
        <v>76642904.689562351</v>
      </c>
      <c r="J80" s="11"/>
      <c r="K80" s="62"/>
    </row>
    <row r="81" spans="1:11">
      <c r="A81" s="7">
        <f t="shared" si="0"/>
        <v>17</v>
      </c>
      <c r="B81" s="13" t="s">
        <v>51</v>
      </c>
      <c r="C81" s="11" t="str">
        <f>"(line "&amp;A65&amp;" - line "&amp;A73&amp;")"</f>
        <v>(line 3 - line 10)</v>
      </c>
      <c r="D81" s="26">
        <f>D65-D73</f>
        <v>0</v>
      </c>
      <c r="E81" s="24"/>
      <c r="F81" s="24"/>
      <c r="G81" s="61"/>
      <c r="H81" s="24"/>
      <c r="I81" s="26">
        <f>I65-I73</f>
        <v>0</v>
      </c>
      <c r="J81" s="11"/>
      <c r="K81" s="62"/>
    </row>
    <row r="82" spans="1:11">
      <c r="A82" s="7">
        <f t="shared" si="0"/>
        <v>18</v>
      </c>
      <c r="B82" s="13" t="s">
        <v>53</v>
      </c>
      <c r="C82" s="11" t="s">
        <v>71</v>
      </c>
      <c r="D82" s="26">
        <f>D66-D74</f>
        <v>0</v>
      </c>
      <c r="E82" s="24"/>
      <c r="F82" s="24"/>
      <c r="G82" s="61"/>
      <c r="H82" s="24"/>
      <c r="I82" s="26">
        <f>I66-I74</f>
        <v>0</v>
      </c>
      <c r="J82" s="11"/>
      <c r="K82" s="62"/>
    </row>
    <row r="83" spans="1:11" ht="15.75" thickBot="1">
      <c r="A83" s="7">
        <f t="shared" si="0"/>
        <v>19</v>
      </c>
      <c r="B83" s="13" t="s">
        <v>56</v>
      </c>
      <c r="C83" s="11" t="str">
        <f>"(line "&amp;A67&amp;" - line "&amp;A75&amp;")"</f>
        <v>(line 5 - line 12)</v>
      </c>
      <c r="D83" s="60">
        <f>D67-D75</f>
        <v>0</v>
      </c>
      <c r="E83" s="24"/>
      <c r="F83" s="24"/>
      <c r="G83" s="61"/>
      <c r="H83" s="24"/>
      <c r="I83" s="60">
        <f>I67-I75</f>
        <v>0</v>
      </c>
      <c r="J83" s="11"/>
      <c r="K83" s="62"/>
    </row>
    <row r="84" spans="1:11">
      <c r="A84" s="7">
        <f t="shared" si="0"/>
        <v>20</v>
      </c>
      <c r="B84" s="13" t="s">
        <v>72</v>
      </c>
      <c r="C84" s="11" t="s">
        <v>73</v>
      </c>
      <c r="D84" s="26">
        <f>SUM(D79:D83)</f>
        <v>76642904.689562351</v>
      </c>
      <c r="E84" s="24"/>
      <c r="F84" s="24" t="s">
        <v>74</v>
      </c>
      <c r="G84" s="61">
        <f>IF(I84&gt;0,I84/D84,0)</f>
        <v>1</v>
      </c>
      <c r="H84" s="24"/>
      <c r="I84" s="26">
        <f>SUM(I79:I83)</f>
        <v>76642904.689562351</v>
      </c>
      <c r="J84" s="11"/>
      <c r="K84" s="11"/>
    </row>
    <row r="85" spans="1:11">
      <c r="A85" s="7"/>
      <c r="B85" s="4"/>
      <c r="C85" s="11"/>
      <c r="D85" s="26"/>
      <c r="E85" s="11"/>
      <c r="F85" s="4"/>
      <c r="G85" s="4"/>
      <c r="H85" s="11"/>
      <c r="I85" s="26"/>
      <c r="J85" s="11"/>
      <c r="K85" s="62"/>
    </row>
    <row r="86" spans="1:11">
      <c r="A86" s="7">
        <f>+A84+1</f>
        <v>21</v>
      </c>
      <c r="B86" s="5" t="s">
        <v>75</v>
      </c>
      <c r="C86" s="11"/>
      <c r="D86" s="26"/>
      <c r="E86" s="11"/>
      <c r="F86" s="11"/>
      <c r="G86" s="11"/>
      <c r="H86" s="11"/>
      <c r="I86" s="26"/>
      <c r="J86" s="11"/>
      <c r="K86" s="11"/>
    </row>
    <row r="87" spans="1:11">
      <c r="A87" s="7">
        <f t="shared" si="0"/>
        <v>22</v>
      </c>
      <c r="B87" s="13" t="s">
        <v>76</v>
      </c>
      <c r="C87" s="11" t="s">
        <v>77</v>
      </c>
      <c r="D87" s="26">
        <f>+'4- Rate Base'!E44</f>
        <v>0</v>
      </c>
      <c r="E87" s="11"/>
      <c r="F87" s="11" t="s">
        <v>48</v>
      </c>
      <c r="G87" s="63" t="s">
        <v>78</v>
      </c>
      <c r="H87" s="24"/>
      <c r="I87" s="26">
        <v>0</v>
      </c>
      <c r="J87" s="11"/>
      <c r="K87" s="62"/>
    </row>
    <row r="88" spans="1:11">
      <c r="A88" s="7">
        <f t="shared" si="0"/>
        <v>23</v>
      </c>
      <c r="B88" s="13" t="s">
        <v>79</v>
      </c>
      <c r="C88" s="11" t="s">
        <v>80</v>
      </c>
      <c r="D88" s="38">
        <f>+'4- Rate Base'!F44</f>
        <v>-2694854.1631239178</v>
      </c>
      <c r="E88" s="11"/>
      <c r="F88" s="11" t="s">
        <v>36</v>
      </c>
      <c r="G88" s="64">
        <v>1</v>
      </c>
      <c r="H88" s="24"/>
      <c r="I88" s="26">
        <f>D88*G88</f>
        <v>-2694854.1631239178</v>
      </c>
      <c r="J88" s="11"/>
      <c r="K88" s="62"/>
    </row>
    <row r="89" spans="1:11">
      <c r="A89" s="7">
        <f t="shared" si="0"/>
        <v>24</v>
      </c>
      <c r="B89" s="13" t="s">
        <v>81</v>
      </c>
      <c r="C89" s="11" t="s">
        <v>82</v>
      </c>
      <c r="D89" s="26">
        <f>+'4- Rate Base'!G44</f>
        <v>0</v>
      </c>
      <c r="E89" s="11"/>
      <c r="F89" s="11" t="s">
        <v>36</v>
      </c>
      <c r="G89" s="64">
        <f>+G88</f>
        <v>1</v>
      </c>
      <c r="H89" s="24"/>
      <c r="I89" s="26">
        <f>D89*G89</f>
        <v>0</v>
      </c>
      <c r="J89" s="11"/>
      <c r="K89" s="62"/>
    </row>
    <row r="90" spans="1:11">
      <c r="A90" s="7">
        <f t="shared" si="0"/>
        <v>25</v>
      </c>
      <c r="B90" s="13" t="s">
        <v>83</v>
      </c>
      <c r="C90" s="11" t="s">
        <v>84</v>
      </c>
      <c r="D90" s="26">
        <f>+'4- Rate Base'!H44</f>
        <v>0</v>
      </c>
      <c r="E90" s="11"/>
      <c r="F90" s="11" t="s">
        <v>36</v>
      </c>
      <c r="G90" s="64">
        <f>+G89</f>
        <v>1</v>
      </c>
      <c r="H90" s="24"/>
      <c r="I90" s="26">
        <f>D90*G90</f>
        <v>0</v>
      </c>
      <c r="J90" s="11"/>
      <c r="K90" s="62"/>
    </row>
    <row r="91" spans="1:11">
      <c r="A91" s="7">
        <f t="shared" si="0"/>
        <v>26</v>
      </c>
      <c r="B91" s="4" t="s">
        <v>85</v>
      </c>
      <c r="C91" s="4" t="s">
        <v>86</v>
      </c>
      <c r="D91" s="26">
        <f>+'4- Rate Base'!I44</f>
        <v>0</v>
      </c>
      <c r="E91" s="11"/>
      <c r="F91" s="11" t="s">
        <v>87</v>
      </c>
      <c r="G91" s="64">
        <f>+G84</f>
        <v>1</v>
      </c>
      <c r="H91" s="24"/>
      <c r="I91" s="26">
        <f>D91*G91</f>
        <v>0</v>
      </c>
      <c r="J91" s="11"/>
      <c r="K91" s="62"/>
    </row>
    <row r="92" spans="1:11">
      <c r="A92" s="7" t="s">
        <v>88</v>
      </c>
      <c r="B92" s="4" t="s">
        <v>89</v>
      </c>
      <c r="C92" s="4" t="s">
        <v>90</v>
      </c>
      <c r="D92" s="26">
        <f>+'4- Rate Base'!I59</f>
        <v>0</v>
      </c>
      <c r="E92" s="11"/>
      <c r="F92" s="11" t="s">
        <v>36</v>
      </c>
      <c r="G92" s="64">
        <f>G93</f>
        <v>1</v>
      </c>
      <c r="H92" s="24"/>
      <c r="I92" s="26">
        <f>+G92*D92</f>
        <v>0</v>
      </c>
      <c r="J92" s="11"/>
      <c r="K92" s="62"/>
    </row>
    <row r="93" spans="1:11">
      <c r="A93" s="7">
        <f>+A91+1</f>
        <v>27</v>
      </c>
      <c r="B93" s="34" t="s">
        <v>91</v>
      </c>
      <c r="C93" s="39" t="s">
        <v>92</v>
      </c>
      <c r="D93" s="26">
        <f>'4- Rate Base'!E24</f>
        <v>0</v>
      </c>
      <c r="E93" s="39"/>
      <c r="F93" s="39" t="s">
        <v>36</v>
      </c>
      <c r="G93" s="64">
        <v>1</v>
      </c>
      <c r="H93" s="39"/>
      <c r="I93" s="26">
        <f>+G93*D93</f>
        <v>0</v>
      </c>
      <c r="K93" s="62"/>
    </row>
    <row r="94" spans="1:11">
      <c r="A94" s="7">
        <f t="shared" si="0"/>
        <v>28</v>
      </c>
      <c r="B94" s="34" t="s">
        <v>93</v>
      </c>
      <c r="C94" s="39" t="s">
        <v>94</v>
      </c>
      <c r="D94" s="26">
        <f>+'4- Rate Base'!C44</f>
        <v>0</v>
      </c>
      <c r="E94" s="39"/>
      <c r="F94" s="39" t="s">
        <v>36</v>
      </c>
      <c r="G94" s="64">
        <v>1</v>
      </c>
      <c r="H94" s="39"/>
      <c r="I94" s="26">
        <f>+G94*D94</f>
        <v>0</v>
      </c>
      <c r="K94" s="62"/>
    </row>
    <row r="95" spans="1:11" ht="15.75" thickBot="1">
      <c r="A95" s="7">
        <f t="shared" si="0"/>
        <v>29</v>
      </c>
      <c r="B95" s="34" t="s">
        <v>95</v>
      </c>
      <c r="C95" s="39" t="s">
        <v>96</v>
      </c>
      <c r="D95" s="60">
        <f>+'4- Rate Base'!D44</f>
        <v>0</v>
      </c>
      <c r="E95" s="39"/>
      <c r="F95" s="39" t="s">
        <v>36</v>
      </c>
      <c r="G95" s="64">
        <v>1</v>
      </c>
      <c r="H95" s="39"/>
      <c r="I95" s="60">
        <f>+G95*D95</f>
        <v>0</v>
      </c>
      <c r="K95" s="62"/>
    </row>
    <row r="96" spans="1:11">
      <c r="A96" s="7">
        <f t="shared" si="0"/>
        <v>30</v>
      </c>
      <c r="B96" s="13" t="s">
        <v>97</v>
      </c>
      <c r="C96" s="11" t="s">
        <v>98</v>
      </c>
      <c r="D96" s="26">
        <f>SUM(D87:D95)</f>
        <v>-2694854.1631239178</v>
      </c>
      <c r="E96" s="11"/>
      <c r="F96" s="11"/>
      <c r="G96" s="24"/>
      <c r="H96" s="24"/>
      <c r="I96" s="26">
        <f>SUM(I87:I95)</f>
        <v>-2694854.1631239178</v>
      </c>
      <c r="J96" s="11"/>
      <c r="K96" s="11"/>
    </row>
    <row r="97" spans="1:11">
      <c r="A97" s="7"/>
      <c r="B97" s="4"/>
      <c r="C97" s="11"/>
      <c r="D97" s="26"/>
      <c r="E97" s="11"/>
      <c r="F97" s="11"/>
      <c r="G97" s="62"/>
      <c r="H97" s="11"/>
      <c r="I97" s="26"/>
      <c r="J97" s="11"/>
      <c r="K97" s="62"/>
    </row>
    <row r="98" spans="1:11">
      <c r="A98" s="7">
        <f>+A96+1</f>
        <v>31</v>
      </c>
      <c r="B98" s="5" t="s">
        <v>99</v>
      </c>
      <c r="C98" s="65" t="s">
        <v>100</v>
      </c>
      <c r="D98" s="26">
        <f>+'4- Rate Base'!F24</f>
        <v>0</v>
      </c>
      <c r="E98" s="11"/>
      <c r="F98" s="11" t="s">
        <v>23</v>
      </c>
      <c r="G98" s="23">
        <f>+G72</f>
        <v>1</v>
      </c>
      <c r="H98" s="24"/>
      <c r="I98" s="26">
        <f>+G98*D98</f>
        <v>0</v>
      </c>
      <c r="J98" s="11"/>
      <c r="K98" s="11"/>
    </row>
    <row r="99" spans="1:11">
      <c r="A99" s="7"/>
      <c r="B99" s="13"/>
      <c r="C99" s="11"/>
      <c r="D99" s="26"/>
      <c r="E99" s="11"/>
      <c r="F99" s="11"/>
      <c r="G99" s="23"/>
      <c r="H99" s="24"/>
      <c r="I99" s="26"/>
      <c r="J99" s="11"/>
      <c r="K99" s="11"/>
    </row>
    <row r="100" spans="1:11">
      <c r="A100" s="7">
        <f>+A98+1</f>
        <v>32</v>
      </c>
      <c r="B100" s="13" t="s">
        <v>101</v>
      </c>
      <c r="C100" s="11" t="s">
        <v>102</v>
      </c>
      <c r="D100" s="26"/>
      <c r="E100" s="11"/>
      <c r="F100" s="11"/>
      <c r="G100" s="23"/>
      <c r="H100" s="24"/>
      <c r="I100" s="26"/>
      <c r="J100" s="11"/>
      <c r="K100" s="11"/>
    </row>
    <row r="101" spans="1:11">
      <c r="A101" s="7">
        <f t="shared" si="0"/>
        <v>33</v>
      </c>
      <c r="B101" s="13" t="s">
        <v>103</v>
      </c>
      <c r="C101" s="4" t="s">
        <v>104</v>
      </c>
      <c r="D101" s="26">
        <f>(D134-D131)/8</f>
        <v>717658.8577717141</v>
      </c>
      <c r="E101" s="11"/>
      <c r="F101" s="11"/>
      <c r="G101" s="23"/>
      <c r="H101" s="24"/>
      <c r="I101" s="26">
        <f>(I134-I131)/8</f>
        <v>717658.8577717141</v>
      </c>
      <c r="J101" s="13"/>
      <c r="K101" s="62"/>
    </row>
    <row r="102" spans="1:11">
      <c r="A102" s="7">
        <f t="shared" si="0"/>
        <v>34</v>
      </c>
      <c r="B102" s="13" t="s">
        <v>105</v>
      </c>
      <c r="C102" s="65" t="s">
        <v>106</v>
      </c>
      <c r="D102" s="26">
        <f>+'4- Rate Base'!G24</f>
        <v>159643.89847028832</v>
      </c>
      <c r="E102" s="11"/>
      <c r="F102" s="11" t="s">
        <v>23</v>
      </c>
      <c r="G102" s="23">
        <f>+G119</f>
        <v>1</v>
      </c>
      <c r="H102" s="24"/>
      <c r="I102" s="26">
        <f>+G102*D102</f>
        <v>159643.89847028832</v>
      </c>
      <c r="J102" s="11" t="s">
        <v>9</v>
      </c>
      <c r="K102" s="62"/>
    </row>
    <row r="103" spans="1:11" ht="15.75" thickBot="1">
      <c r="A103" s="7">
        <f t="shared" si="0"/>
        <v>35</v>
      </c>
      <c r="B103" s="13" t="s">
        <v>107</v>
      </c>
      <c r="C103" s="24" t="s">
        <v>108</v>
      </c>
      <c r="D103" s="60">
        <f>+'4- Rate Base'!H24</f>
        <v>171426.30195201712</v>
      </c>
      <c r="E103" s="11"/>
      <c r="F103" s="11" t="s">
        <v>109</v>
      </c>
      <c r="G103" s="23">
        <f>+G68</f>
        <v>1</v>
      </c>
      <c r="H103" s="24"/>
      <c r="I103" s="60">
        <f>+G103*D103</f>
        <v>171426.30195201712</v>
      </c>
      <c r="J103" s="11"/>
      <c r="K103" s="62"/>
    </row>
    <row r="104" spans="1:11">
      <c r="A104" s="7">
        <f t="shared" si="0"/>
        <v>36</v>
      </c>
      <c r="B104" s="13" t="s">
        <v>110</v>
      </c>
      <c r="C104" s="13" t="s">
        <v>111</v>
      </c>
      <c r="D104" s="26">
        <f>SUM(D101:D103)</f>
        <v>1048729.0581940194</v>
      </c>
      <c r="E104" s="13"/>
      <c r="F104" s="13"/>
      <c r="G104" s="1"/>
      <c r="H104" s="1"/>
      <c r="I104" s="26">
        <f>I101+I102+I103</f>
        <v>1048729.0581940194</v>
      </c>
      <c r="J104" s="13"/>
      <c r="K104" s="13"/>
    </row>
    <row r="105" spans="1:11" ht="10.5" customHeight="1" thickBot="1">
      <c r="A105" s="7"/>
      <c r="B105" s="4"/>
      <c r="C105" s="11"/>
      <c r="D105" s="60"/>
      <c r="E105" s="11"/>
      <c r="F105" s="11"/>
      <c r="G105" s="11"/>
      <c r="H105" s="11"/>
      <c r="I105" s="60"/>
      <c r="J105" s="11"/>
      <c r="K105" s="11"/>
    </row>
    <row r="106" spans="1:11" ht="15.75" thickBot="1">
      <c r="A106" s="7">
        <f>+A104+1</f>
        <v>37</v>
      </c>
      <c r="B106" s="13" t="s">
        <v>112</v>
      </c>
      <c r="C106" s="11" t="s">
        <v>113</v>
      </c>
      <c r="D106" s="66">
        <f>+D104+D98+D96+D84</f>
        <v>74996779.584632456</v>
      </c>
      <c r="E106" s="24"/>
      <c r="F106" s="24"/>
      <c r="G106" s="67"/>
      <c r="H106" s="24"/>
      <c r="I106" s="68">
        <f>+I104+I98+I96+I84</f>
        <v>74996779.584632456</v>
      </c>
      <c r="J106" s="11"/>
      <c r="K106" s="62"/>
    </row>
    <row r="107" spans="1:11" ht="9" customHeight="1" thickTop="1">
      <c r="A107" s="7"/>
      <c r="B107" s="13"/>
      <c r="C107" s="11"/>
      <c r="D107" s="24"/>
      <c r="E107" s="24"/>
      <c r="F107" s="24"/>
      <c r="G107" s="67"/>
      <c r="H107" s="24"/>
      <c r="I107" s="24"/>
      <c r="J107" s="11"/>
      <c r="K107" s="62"/>
    </row>
    <row r="108" spans="1:11">
      <c r="A108" s="7"/>
      <c r="B108" s="13"/>
      <c r="C108" s="11"/>
      <c r="D108" s="24"/>
      <c r="E108" s="24"/>
      <c r="F108" s="24"/>
      <c r="G108" s="67"/>
      <c r="H108" s="24"/>
      <c r="I108" s="24"/>
      <c r="J108" s="11"/>
      <c r="K108" s="62"/>
    </row>
    <row r="109" spans="1:11">
      <c r="A109" s="7"/>
      <c r="B109" s="13"/>
      <c r="C109" s="11"/>
      <c r="D109" s="11"/>
      <c r="E109" s="11"/>
      <c r="F109" s="11"/>
      <c r="G109" s="11"/>
      <c r="H109" s="11"/>
      <c r="I109" s="11"/>
      <c r="J109" s="11"/>
      <c r="K109" s="69" t="s">
        <v>114</v>
      </c>
    </row>
    <row r="110" spans="1:11" ht="7.5" customHeight="1">
      <c r="A110" s="7"/>
      <c r="B110" s="13"/>
      <c r="C110" s="11"/>
      <c r="D110" s="11"/>
      <c r="E110" s="11"/>
      <c r="F110" s="11"/>
      <c r="G110" s="11"/>
      <c r="H110" s="11"/>
      <c r="I110" s="11"/>
      <c r="J110" s="11"/>
      <c r="K110" s="69"/>
    </row>
    <row r="111" spans="1:11">
      <c r="A111" s="7"/>
      <c r="B111" s="13" t="s">
        <v>2</v>
      </c>
      <c r="C111" s="11"/>
      <c r="D111" s="12" t="s">
        <v>3</v>
      </c>
      <c r="E111" s="11"/>
      <c r="F111" s="11"/>
      <c r="G111" s="11"/>
      <c r="H111" s="11"/>
      <c r="I111" s="1"/>
      <c r="J111" s="11"/>
      <c r="K111" s="69" t="str">
        <f>K3</f>
        <v>For the 12 months ended 12/31/2020</v>
      </c>
    </row>
    <row r="112" spans="1:11">
      <c r="A112" s="7"/>
      <c r="B112" s="13"/>
      <c r="C112" s="11"/>
      <c r="D112" s="12" t="s">
        <v>4</v>
      </c>
      <c r="E112" s="11"/>
      <c r="F112" s="11"/>
      <c r="G112" s="11"/>
      <c r="H112" s="11"/>
      <c r="I112" s="11"/>
      <c r="J112" s="11"/>
      <c r="K112" s="11"/>
    </row>
    <row r="113" spans="1:35">
      <c r="A113" s="7"/>
      <c r="B113" s="4"/>
      <c r="C113" s="11"/>
      <c r="D113" s="12" t="str">
        <f>+D56</f>
        <v>GridLiance High Plains LLC</v>
      </c>
      <c r="E113" s="11"/>
      <c r="F113" s="11"/>
      <c r="G113" s="11"/>
      <c r="H113" s="11"/>
      <c r="I113" s="11"/>
      <c r="J113" s="11"/>
      <c r="K113" s="11"/>
    </row>
    <row r="114" spans="1:35" ht="8.25" customHeight="1">
      <c r="A114" s="70"/>
      <c r="B114" s="70"/>
      <c r="C114" s="70"/>
      <c r="D114" s="70"/>
      <c r="E114" s="70"/>
      <c r="F114" s="70"/>
      <c r="G114" s="70"/>
      <c r="H114" s="70"/>
      <c r="I114" s="70"/>
      <c r="J114" s="70"/>
      <c r="K114" s="70"/>
    </row>
    <row r="115" spans="1:35">
      <c r="A115" s="7"/>
      <c r="B115" s="18" t="s">
        <v>6</v>
      </c>
      <c r="C115" s="18" t="s">
        <v>7</v>
      </c>
      <c r="D115" s="18" t="s">
        <v>8</v>
      </c>
      <c r="E115" s="11" t="s">
        <v>9</v>
      </c>
      <c r="F115" s="11"/>
      <c r="G115" s="17" t="s">
        <v>10</v>
      </c>
      <c r="H115" s="11"/>
      <c r="I115" s="17" t="s">
        <v>11</v>
      </c>
      <c r="J115" s="11"/>
      <c r="K115" s="11"/>
    </row>
    <row r="116" spans="1:35">
      <c r="A116" s="7" t="s">
        <v>12</v>
      </c>
      <c r="B116" s="13"/>
      <c r="C116" s="52"/>
      <c r="D116" s="11"/>
      <c r="E116" s="11"/>
      <c r="F116" s="11"/>
      <c r="G116" s="7"/>
      <c r="H116" s="11"/>
      <c r="I116" s="53" t="s">
        <v>39</v>
      </c>
      <c r="J116" s="11"/>
      <c r="K116" s="53"/>
    </row>
    <row r="117" spans="1:35" ht="15.75" thickBot="1">
      <c r="A117" s="19" t="s">
        <v>14</v>
      </c>
      <c r="B117" s="13"/>
      <c r="C117" s="54" t="s">
        <v>40</v>
      </c>
      <c r="D117" s="53" t="s">
        <v>41</v>
      </c>
      <c r="E117" s="55"/>
      <c r="F117" s="53" t="s">
        <v>42</v>
      </c>
      <c r="G117" s="4"/>
      <c r="H117" s="55"/>
      <c r="I117" s="7" t="s">
        <v>43</v>
      </c>
      <c r="J117" s="11"/>
      <c r="K117" s="53"/>
    </row>
    <row r="118" spans="1:35">
      <c r="A118" s="7"/>
      <c r="B118" s="13" t="s">
        <v>115</v>
      </c>
      <c r="C118" s="11"/>
      <c r="D118" s="11"/>
      <c r="E118" s="11"/>
      <c r="F118" s="11"/>
      <c r="G118" s="11"/>
      <c r="H118" s="11"/>
      <c r="I118" s="11"/>
      <c r="J118" s="11"/>
      <c r="K118" s="11"/>
    </row>
    <row r="119" spans="1:35">
      <c r="A119" s="7">
        <v>1</v>
      </c>
      <c r="B119" s="13" t="s">
        <v>116</v>
      </c>
      <c r="C119" s="11" t="s">
        <v>117</v>
      </c>
      <c r="D119" s="26">
        <f>'5-P3 Support'!C24</f>
        <v>2224235.9532719483</v>
      </c>
      <c r="E119" s="11"/>
      <c r="F119" s="11" t="s">
        <v>23</v>
      </c>
      <c r="G119" s="23">
        <f>+I189</f>
        <v>1</v>
      </c>
      <c r="H119" s="24"/>
      <c r="I119" s="38">
        <f t="shared" ref="I119:I129" si="1">+G119*D119</f>
        <v>2224235.9532719483</v>
      </c>
      <c r="J119" s="13"/>
      <c r="K119" s="11"/>
    </row>
    <row r="120" spans="1:35">
      <c r="A120" s="33">
        <f>+A119+1</f>
        <v>2</v>
      </c>
      <c r="B120" s="34" t="s">
        <v>118</v>
      </c>
      <c r="C120" s="11" t="s">
        <v>119</v>
      </c>
      <c r="D120" s="26">
        <f>'5-P3 Support'!D24</f>
        <v>0</v>
      </c>
      <c r="E120" s="39"/>
      <c r="F120" s="39" t="str">
        <f>+F119</f>
        <v>TP</v>
      </c>
      <c r="G120" s="23">
        <f>+G119</f>
        <v>1</v>
      </c>
      <c r="H120" s="39"/>
      <c r="I120" s="26">
        <f>+G120*D120</f>
        <v>0</v>
      </c>
      <c r="K120" s="11"/>
    </row>
    <row r="121" spans="1:35">
      <c r="A121" s="33">
        <f t="shared" ref="A121:A165" si="2">+A120+1</f>
        <v>3</v>
      </c>
      <c r="B121" s="13" t="s">
        <v>120</v>
      </c>
      <c r="C121" s="11" t="s">
        <v>121</v>
      </c>
      <c r="D121" s="26">
        <f>'5-P3 Support'!E24</f>
        <v>0</v>
      </c>
      <c r="E121" s="11"/>
      <c r="F121" s="11" t="str">
        <f>+F120</f>
        <v>TP</v>
      </c>
      <c r="G121" s="23">
        <f>+G120</f>
        <v>1</v>
      </c>
      <c r="H121" s="24"/>
      <c r="I121" s="26">
        <f t="shared" si="1"/>
        <v>0</v>
      </c>
      <c r="J121" s="13"/>
      <c r="K121" s="11"/>
    </row>
    <row r="122" spans="1:35">
      <c r="A122" s="33">
        <f t="shared" si="2"/>
        <v>4</v>
      </c>
      <c r="B122" s="13" t="s">
        <v>122</v>
      </c>
      <c r="C122" s="11" t="s">
        <v>123</v>
      </c>
      <c r="D122" s="38">
        <f>'5-P3 Support'!F24</f>
        <v>3517034.9089017645</v>
      </c>
      <c r="E122" s="11"/>
      <c r="F122" s="11" t="s">
        <v>55</v>
      </c>
      <c r="G122" s="36">
        <f>+G74</f>
        <v>1</v>
      </c>
      <c r="H122" s="24"/>
      <c r="I122" s="26">
        <f t="shared" si="1"/>
        <v>3517034.9089017645</v>
      </c>
      <c r="J122" s="11"/>
      <c r="K122" s="11" t="s">
        <v>9</v>
      </c>
    </row>
    <row r="123" spans="1:35">
      <c r="A123" s="33">
        <f t="shared" si="2"/>
        <v>5</v>
      </c>
      <c r="B123" s="13" t="s">
        <v>124</v>
      </c>
      <c r="C123" s="11" t="s">
        <v>125</v>
      </c>
      <c r="D123" s="26">
        <f>'5-P3 Support'!G24</f>
        <v>0</v>
      </c>
      <c r="E123" s="11"/>
      <c r="F123" s="11" t="s">
        <v>55</v>
      </c>
      <c r="G123" s="23">
        <f>+G122</f>
        <v>1</v>
      </c>
      <c r="H123" s="24"/>
      <c r="I123" s="26">
        <f t="shared" si="1"/>
        <v>0</v>
      </c>
      <c r="J123" s="11"/>
      <c r="K123" s="11"/>
    </row>
    <row r="124" spans="1:35">
      <c r="A124" s="33">
        <f t="shared" si="2"/>
        <v>6</v>
      </c>
      <c r="B124" s="13" t="s">
        <v>126</v>
      </c>
      <c r="C124" s="11" t="s">
        <v>127</v>
      </c>
      <c r="D124" s="26">
        <f>'5-P3 Support'!H24</f>
        <v>0</v>
      </c>
      <c r="E124" s="11"/>
      <c r="F124" s="11" t="s">
        <v>55</v>
      </c>
      <c r="G124" s="23">
        <f>+G123</f>
        <v>1</v>
      </c>
      <c r="H124" s="24"/>
      <c r="I124" s="26">
        <f t="shared" si="1"/>
        <v>0</v>
      </c>
      <c r="J124" s="11"/>
      <c r="K124" s="11"/>
    </row>
    <row r="125" spans="1:35" s="73" customFormat="1">
      <c r="A125" s="33" t="s">
        <v>128</v>
      </c>
      <c r="B125" s="13" t="s">
        <v>129</v>
      </c>
      <c r="C125" s="11" t="s">
        <v>130</v>
      </c>
      <c r="D125" s="71">
        <f>+'7 - PBOP'!I16</f>
        <v>0</v>
      </c>
      <c r="E125" s="72"/>
      <c r="F125" s="11" t="s">
        <v>55</v>
      </c>
      <c r="G125" s="23">
        <f>+G124</f>
        <v>1</v>
      </c>
      <c r="H125" s="24"/>
      <c r="I125" s="26">
        <f>+G125*D125</f>
        <v>0</v>
      </c>
      <c r="J125" s="72"/>
      <c r="K125" s="72"/>
      <c r="M125"/>
      <c r="N125"/>
      <c r="O125"/>
      <c r="P125"/>
      <c r="Q125"/>
      <c r="R125"/>
      <c r="S125"/>
      <c r="T125"/>
      <c r="U125"/>
      <c r="V125"/>
      <c r="W125"/>
      <c r="X125"/>
      <c r="Y125"/>
      <c r="Z125"/>
      <c r="AA125"/>
      <c r="AB125"/>
      <c r="AC125"/>
      <c r="AD125"/>
      <c r="AE125"/>
      <c r="AF125"/>
      <c r="AG125"/>
      <c r="AH125"/>
      <c r="AI125"/>
    </row>
    <row r="126" spans="1:35">
      <c r="A126" s="33">
        <f>+A124+1</f>
        <v>7</v>
      </c>
      <c r="B126" s="13" t="s">
        <v>131</v>
      </c>
      <c r="C126" s="11" t="s">
        <v>132</v>
      </c>
      <c r="D126" s="26">
        <f>'5-P3 Support'!I24</f>
        <v>0</v>
      </c>
      <c r="E126" s="11"/>
      <c r="F126" s="74" t="s">
        <v>23</v>
      </c>
      <c r="G126" s="23">
        <f>+G119</f>
        <v>1</v>
      </c>
      <c r="H126" s="24"/>
      <c r="I126" s="26">
        <f t="shared" si="1"/>
        <v>0</v>
      </c>
      <c r="J126" s="11"/>
      <c r="K126" s="11"/>
    </row>
    <row r="127" spans="1:35" s="73" customFormat="1">
      <c r="A127" s="33" t="s">
        <v>133</v>
      </c>
      <c r="B127" s="13" t="s">
        <v>134</v>
      </c>
      <c r="C127" s="11" t="s">
        <v>135</v>
      </c>
      <c r="D127" s="71">
        <f>+'7 - PBOP'!I13</f>
        <v>0</v>
      </c>
      <c r="E127" s="72"/>
      <c r="F127" s="11" t="s">
        <v>55</v>
      </c>
      <c r="G127" s="23">
        <f>+G125</f>
        <v>1</v>
      </c>
      <c r="H127" s="24"/>
      <c r="I127" s="26">
        <f>+G127*D127</f>
        <v>0</v>
      </c>
      <c r="J127" s="72"/>
      <c r="K127" s="72"/>
      <c r="M127"/>
      <c r="N127"/>
      <c r="O127"/>
      <c r="P127"/>
      <c r="Q127"/>
      <c r="R127"/>
      <c r="S127"/>
      <c r="T127"/>
      <c r="U127"/>
      <c r="V127"/>
      <c r="W127"/>
      <c r="X127"/>
      <c r="Y127"/>
      <c r="Z127"/>
      <c r="AA127"/>
      <c r="AB127"/>
      <c r="AC127"/>
      <c r="AD127"/>
      <c r="AE127"/>
      <c r="AF127"/>
      <c r="AG127"/>
      <c r="AH127"/>
      <c r="AI127"/>
    </row>
    <row r="128" spans="1:35">
      <c r="A128" s="33">
        <f>+A126+1</f>
        <v>8</v>
      </c>
      <c r="B128" s="13" t="s">
        <v>56</v>
      </c>
      <c r="C128" s="11" t="s">
        <v>136</v>
      </c>
      <c r="D128" s="75">
        <v>0</v>
      </c>
      <c r="E128" s="11"/>
      <c r="F128" s="11" t="s">
        <v>58</v>
      </c>
      <c r="G128" s="23">
        <f>+G75</f>
        <v>1</v>
      </c>
      <c r="H128" s="24"/>
      <c r="I128" s="26">
        <f t="shared" si="1"/>
        <v>0</v>
      </c>
      <c r="J128" s="11"/>
      <c r="K128" s="11"/>
    </row>
    <row r="129" spans="1:11">
      <c r="A129" s="33">
        <f t="shared" si="2"/>
        <v>9</v>
      </c>
      <c r="B129" s="13" t="s">
        <v>137</v>
      </c>
      <c r="C129" s="11" t="s">
        <v>138</v>
      </c>
      <c r="D129" s="26">
        <f>'5-P3 Support'!J24</f>
        <v>0</v>
      </c>
      <c r="E129" s="11"/>
      <c r="F129" s="11" t="str">
        <f>+F131</f>
        <v>DA</v>
      </c>
      <c r="G129" s="76">
        <v>1</v>
      </c>
      <c r="H129" s="24"/>
      <c r="I129" s="26">
        <f t="shared" si="1"/>
        <v>0</v>
      </c>
      <c r="J129" s="11"/>
      <c r="K129" s="11"/>
    </row>
    <row r="130" spans="1:11">
      <c r="A130" s="33">
        <f t="shared" si="2"/>
        <v>10</v>
      </c>
      <c r="B130" s="34" t="s">
        <v>139</v>
      </c>
      <c r="C130" s="39"/>
      <c r="D130" s="26"/>
      <c r="E130" s="39"/>
      <c r="F130" s="39"/>
      <c r="G130" s="76"/>
      <c r="H130" s="39"/>
      <c r="I130" s="26"/>
      <c r="K130" s="11"/>
    </row>
    <row r="131" spans="1:11">
      <c r="A131" s="33">
        <f t="shared" si="2"/>
        <v>11</v>
      </c>
      <c r="B131" s="34" t="s">
        <v>140</v>
      </c>
      <c r="C131" s="39" t="s">
        <v>141</v>
      </c>
      <c r="D131" s="26">
        <f>'5-P3 Support'!K24</f>
        <v>0</v>
      </c>
      <c r="E131" s="39"/>
      <c r="F131" s="39" t="s">
        <v>36</v>
      </c>
      <c r="G131" s="76">
        <v>1</v>
      </c>
      <c r="H131" s="39"/>
      <c r="I131" s="26">
        <f>+G131*D131</f>
        <v>0</v>
      </c>
      <c r="K131" s="11"/>
    </row>
    <row r="132" spans="1:11">
      <c r="A132" s="33">
        <f t="shared" si="2"/>
        <v>12</v>
      </c>
      <c r="B132" s="34" t="s">
        <v>142</v>
      </c>
      <c r="C132" s="11" t="s">
        <v>143</v>
      </c>
      <c r="D132" s="26">
        <f>'5-P3 Support'!L24</f>
        <v>0</v>
      </c>
      <c r="E132" s="39"/>
      <c r="F132" s="39" t="s">
        <v>23</v>
      </c>
      <c r="G132" s="76">
        <f>+G119</f>
        <v>1</v>
      </c>
      <c r="H132" s="39"/>
      <c r="I132" s="26">
        <f>+G132*D132</f>
        <v>0</v>
      </c>
      <c r="K132" s="11"/>
    </row>
    <row r="133" spans="1:11" ht="15.75" thickBot="1">
      <c r="A133" s="33">
        <f t="shared" si="2"/>
        <v>13</v>
      </c>
      <c r="B133" s="34" t="s">
        <v>144</v>
      </c>
      <c r="C133" s="39" t="s">
        <v>145</v>
      </c>
      <c r="D133" s="60">
        <f>SUM(D131:D132)</f>
        <v>0</v>
      </c>
      <c r="E133" s="39"/>
      <c r="F133" s="39"/>
      <c r="G133" s="76"/>
      <c r="H133" s="39"/>
      <c r="I133" s="60">
        <f>SUM(I131:I132)</f>
        <v>0</v>
      </c>
      <c r="K133" s="11"/>
    </row>
    <row r="134" spans="1:11">
      <c r="A134" s="33">
        <f t="shared" si="2"/>
        <v>14</v>
      </c>
      <c r="B134" s="77" t="s">
        <v>146</v>
      </c>
      <c r="C134" s="78" t="s">
        <v>147</v>
      </c>
      <c r="D134" s="26">
        <f>+D119-D121-D120+D122-D123-D124-D125+D126+D127+D128+D129+D133</f>
        <v>5741270.8621737128</v>
      </c>
      <c r="E134" s="26"/>
      <c r="F134" s="26"/>
      <c r="G134" s="26"/>
      <c r="H134" s="26"/>
      <c r="I134" s="38">
        <f>+I119-I121-I120+I122-I123-I124-I125+I126+I127+I128+I129+I133</f>
        <v>5741270.8621737128</v>
      </c>
      <c r="J134" s="11"/>
      <c r="K134" s="11"/>
    </row>
    <row r="135" spans="1:11" ht="8.25" customHeight="1">
      <c r="A135" s="33"/>
      <c r="B135" s="4"/>
      <c r="C135" s="11"/>
      <c r="D135" s="26"/>
      <c r="E135" s="26"/>
      <c r="F135" s="26"/>
      <c r="G135" s="26"/>
      <c r="H135" s="26"/>
      <c r="I135" s="26"/>
      <c r="J135" s="11"/>
      <c r="K135" s="11"/>
    </row>
    <row r="136" spans="1:11">
      <c r="A136" s="33">
        <f>+A134+1</f>
        <v>15</v>
      </c>
      <c r="B136" s="13" t="s">
        <v>148</v>
      </c>
      <c r="C136" s="11"/>
      <c r="D136" s="26"/>
      <c r="E136" s="26"/>
      <c r="F136" s="26"/>
      <c r="G136" s="26"/>
      <c r="H136" s="26"/>
      <c r="I136" s="26"/>
      <c r="J136" s="11"/>
      <c r="K136" s="11"/>
    </row>
    <row r="137" spans="1:11">
      <c r="A137" s="33">
        <f t="shared" si="2"/>
        <v>16</v>
      </c>
      <c r="B137" s="13" t="s">
        <v>116</v>
      </c>
      <c r="C137" s="65" t="s">
        <v>149</v>
      </c>
      <c r="D137" s="26">
        <f>'5-P3 Support'!M24</f>
        <v>1839796.5872418911</v>
      </c>
      <c r="E137" s="26"/>
      <c r="F137" s="26" t="s">
        <v>23</v>
      </c>
      <c r="G137" s="26">
        <f>+G98</f>
        <v>1</v>
      </c>
      <c r="H137" s="26"/>
      <c r="I137" s="26">
        <f>+G137*D137</f>
        <v>1839796.5872418911</v>
      </c>
      <c r="J137" s="11"/>
      <c r="K137" s="62"/>
    </row>
    <row r="138" spans="1:11">
      <c r="A138" s="33">
        <f t="shared" si="2"/>
        <v>17</v>
      </c>
      <c r="B138" s="79" t="s">
        <v>53</v>
      </c>
      <c r="C138" s="65" t="s">
        <v>150</v>
      </c>
      <c r="D138" s="26">
        <f>'5-P3 Support'!C45</f>
        <v>0</v>
      </c>
      <c r="E138" s="26"/>
      <c r="F138" s="26" t="s">
        <v>55</v>
      </c>
      <c r="G138" s="26">
        <f>+G122</f>
        <v>1</v>
      </c>
      <c r="H138" s="26"/>
      <c r="I138" s="26">
        <f>+G138*D138</f>
        <v>0</v>
      </c>
      <c r="J138" s="11"/>
      <c r="K138" s="62"/>
    </row>
    <row r="139" spans="1:11">
      <c r="A139" s="33">
        <f t="shared" si="2"/>
        <v>18</v>
      </c>
      <c r="B139" s="13" t="s">
        <v>56</v>
      </c>
      <c r="C139" s="65" t="s">
        <v>151</v>
      </c>
      <c r="D139" s="57">
        <v>0</v>
      </c>
      <c r="E139" s="26"/>
      <c r="F139" s="26" t="s">
        <v>58</v>
      </c>
      <c r="G139" s="26">
        <f>+G128</f>
        <v>1</v>
      </c>
      <c r="H139" s="26"/>
      <c r="I139" s="26">
        <f>+G139*D139</f>
        <v>0</v>
      </c>
      <c r="J139" s="11"/>
      <c r="K139" s="62"/>
    </row>
    <row r="140" spans="1:11" ht="15.75" thickBot="1">
      <c r="A140" s="33">
        <f t="shared" si="2"/>
        <v>19</v>
      </c>
      <c r="B140" s="34" t="s">
        <v>152</v>
      </c>
      <c r="C140" s="11" t="s">
        <v>153</v>
      </c>
      <c r="D140" s="60">
        <f>'5-P3 Support'!D45</f>
        <v>0</v>
      </c>
      <c r="E140" s="26"/>
      <c r="F140" s="26" t="s">
        <v>36</v>
      </c>
      <c r="G140" s="76">
        <v>1</v>
      </c>
      <c r="H140" s="26"/>
      <c r="I140" s="60">
        <f>+G140*D140</f>
        <v>0</v>
      </c>
      <c r="J140" s="11"/>
      <c r="K140" s="62"/>
    </row>
    <row r="141" spans="1:11">
      <c r="A141" s="33">
        <f t="shared" si="2"/>
        <v>20</v>
      </c>
      <c r="B141" s="13" t="s">
        <v>154</v>
      </c>
      <c r="C141" s="11" t="s">
        <v>155</v>
      </c>
      <c r="D141" s="26">
        <f>SUM(D137:D140)</f>
        <v>1839796.5872418911</v>
      </c>
      <c r="E141" s="26"/>
      <c r="F141" s="26"/>
      <c r="G141" s="26"/>
      <c r="H141" s="26"/>
      <c r="I141" s="26">
        <f>SUM(I137:I140)</f>
        <v>1839796.5872418911</v>
      </c>
      <c r="J141" s="11"/>
      <c r="K141" s="11"/>
    </row>
    <row r="142" spans="1:11" ht="8.25" customHeight="1">
      <c r="A142" s="33"/>
      <c r="B142" s="13"/>
      <c r="C142" s="11"/>
      <c r="D142" s="26"/>
      <c r="E142" s="26"/>
      <c r="F142" s="26"/>
      <c r="G142" s="26"/>
      <c r="H142" s="26"/>
      <c r="I142" s="26"/>
      <c r="J142" s="11"/>
      <c r="K142" s="11"/>
    </row>
    <row r="143" spans="1:11">
      <c r="A143" s="33">
        <f>+A141+1</f>
        <v>21</v>
      </c>
      <c r="B143" s="13" t="s">
        <v>156</v>
      </c>
      <c r="C143" s="4" t="s">
        <v>157</v>
      </c>
      <c r="D143" s="26"/>
      <c r="E143" s="26"/>
      <c r="F143" s="26"/>
      <c r="G143" s="26"/>
      <c r="H143" s="26"/>
      <c r="I143" s="26"/>
      <c r="J143" s="11"/>
      <c r="K143" s="11"/>
    </row>
    <row r="144" spans="1:11">
      <c r="A144" s="33">
        <f t="shared" si="2"/>
        <v>22</v>
      </c>
      <c r="B144" s="13" t="s">
        <v>158</v>
      </c>
      <c r="C144" s="4"/>
      <c r="D144" s="26"/>
      <c r="E144" s="26"/>
      <c r="F144" s="26"/>
      <c r="G144" s="26"/>
      <c r="H144" s="26"/>
      <c r="I144" s="26"/>
      <c r="J144" s="11"/>
      <c r="K144" s="62"/>
    </row>
    <row r="145" spans="1:11">
      <c r="A145" s="33">
        <f t="shared" si="2"/>
        <v>23</v>
      </c>
      <c r="B145" s="13" t="s">
        <v>159</v>
      </c>
      <c r="C145" s="11" t="s">
        <v>160</v>
      </c>
      <c r="D145" s="26">
        <f>'5-P3 Support'!E45</f>
        <v>0</v>
      </c>
      <c r="E145" s="26"/>
      <c r="F145" s="26" t="s">
        <v>55</v>
      </c>
      <c r="G145" s="26">
        <f>+G138</f>
        <v>1</v>
      </c>
      <c r="H145" s="26"/>
      <c r="I145" s="26">
        <f>+G145*D145</f>
        <v>0</v>
      </c>
      <c r="J145" s="11"/>
      <c r="K145" s="62"/>
    </row>
    <row r="146" spans="1:11">
      <c r="A146" s="33">
        <f t="shared" si="2"/>
        <v>24</v>
      </c>
      <c r="B146" s="13" t="s">
        <v>161</v>
      </c>
      <c r="C146" s="11" t="s">
        <v>162</v>
      </c>
      <c r="D146" s="26">
        <f>'5-P3 Support'!F45</f>
        <v>0</v>
      </c>
      <c r="E146" s="26"/>
      <c r="F146" s="26" t="s">
        <v>55</v>
      </c>
      <c r="G146" s="26">
        <f>+G145</f>
        <v>1</v>
      </c>
      <c r="H146" s="26"/>
      <c r="I146" s="26">
        <f>+G146*D146</f>
        <v>0</v>
      </c>
      <c r="J146" s="11"/>
      <c r="K146" s="62"/>
    </row>
    <row r="147" spans="1:11">
      <c r="A147" s="33">
        <f t="shared" si="2"/>
        <v>25</v>
      </c>
      <c r="B147" s="13" t="s">
        <v>163</v>
      </c>
      <c r="C147" s="11" t="s">
        <v>9</v>
      </c>
      <c r="D147" s="26"/>
      <c r="E147" s="26"/>
      <c r="F147" s="26"/>
      <c r="G147" s="26"/>
      <c r="H147" s="26"/>
      <c r="I147" s="26"/>
      <c r="J147" s="11"/>
      <c r="K147" s="62"/>
    </row>
    <row r="148" spans="1:11">
      <c r="A148" s="33">
        <f t="shared" si="2"/>
        <v>26</v>
      </c>
      <c r="B148" s="13" t="s">
        <v>164</v>
      </c>
      <c r="C148" s="11" t="s">
        <v>165</v>
      </c>
      <c r="D148" s="26">
        <f>'5-P3 Support'!G45</f>
        <v>1486838.0614342662</v>
      </c>
      <c r="E148" s="26"/>
      <c r="F148" s="26" t="s">
        <v>109</v>
      </c>
      <c r="G148" s="26">
        <f>+G68</f>
        <v>1</v>
      </c>
      <c r="H148" s="26"/>
      <c r="I148" s="26">
        <f>+G148*D148</f>
        <v>1486838.0614342662</v>
      </c>
      <c r="J148" s="11"/>
      <c r="K148" s="62"/>
    </row>
    <row r="149" spans="1:11">
      <c r="A149" s="33">
        <f t="shared" si="2"/>
        <v>27</v>
      </c>
      <c r="B149" s="13" t="s">
        <v>166</v>
      </c>
      <c r="C149" s="11" t="s">
        <v>167</v>
      </c>
      <c r="D149" s="26">
        <f>'5-P3 Support'!H45</f>
        <v>0</v>
      </c>
      <c r="E149" s="26"/>
      <c r="F149" s="26" t="s">
        <v>48</v>
      </c>
      <c r="G149" s="71" t="s">
        <v>78</v>
      </c>
      <c r="H149" s="26"/>
      <c r="I149" s="26">
        <v>0</v>
      </c>
      <c r="J149" s="11"/>
      <c r="K149" s="62"/>
    </row>
    <row r="150" spans="1:11">
      <c r="A150" s="33">
        <f t="shared" si="2"/>
        <v>28</v>
      </c>
      <c r="B150" s="13" t="s">
        <v>168</v>
      </c>
      <c r="C150" s="11" t="s">
        <v>169</v>
      </c>
      <c r="D150" s="26">
        <f>'5-P3 Support'!I45</f>
        <v>0</v>
      </c>
      <c r="E150" s="26"/>
      <c r="F150" s="26" t="s">
        <v>109</v>
      </c>
      <c r="G150" s="26">
        <f>+G148</f>
        <v>1</v>
      </c>
      <c r="H150" s="26"/>
      <c r="I150" s="26">
        <f>+G150*D150</f>
        <v>0</v>
      </c>
      <c r="J150" s="11"/>
      <c r="K150" s="62"/>
    </row>
    <row r="151" spans="1:11" ht="15.75" thickBot="1">
      <c r="A151" s="33">
        <f t="shared" si="2"/>
        <v>29</v>
      </c>
      <c r="B151" s="13" t="s">
        <v>170</v>
      </c>
      <c r="C151" s="11" t="s">
        <v>171</v>
      </c>
      <c r="D151" s="60">
        <f>'5-P3 Support'!J45</f>
        <v>0</v>
      </c>
      <c r="E151" s="26"/>
      <c r="F151" s="26" t="s">
        <v>109</v>
      </c>
      <c r="G151" s="26">
        <f>+G148</f>
        <v>1</v>
      </c>
      <c r="H151" s="26"/>
      <c r="I151" s="60">
        <f>+G151*D151</f>
        <v>0</v>
      </c>
      <c r="J151" s="11"/>
      <c r="K151" s="62"/>
    </row>
    <row r="152" spans="1:11">
      <c r="A152" s="33">
        <f t="shared" si="2"/>
        <v>30</v>
      </c>
      <c r="B152" s="13" t="s">
        <v>172</v>
      </c>
      <c r="C152" s="11" t="s">
        <v>173</v>
      </c>
      <c r="D152" s="26">
        <f>SUM(D145:D151)</f>
        <v>1486838.0614342662</v>
      </c>
      <c r="E152" s="26"/>
      <c r="F152" s="26"/>
      <c r="G152" s="26"/>
      <c r="H152" s="26"/>
      <c r="I152" s="26">
        <f>SUM(I145:I151)</f>
        <v>1486838.0614342662</v>
      </c>
      <c r="J152" s="11"/>
      <c r="K152" s="11"/>
    </row>
    <row r="153" spans="1:11" ht="7.5" customHeight="1">
      <c r="A153" s="33"/>
      <c r="B153" s="13"/>
      <c r="C153" s="11"/>
      <c r="D153" s="11"/>
      <c r="E153" s="11"/>
      <c r="F153" s="11"/>
      <c r="G153" s="30"/>
      <c r="H153" s="11"/>
      <c r="I153" s="11"/>
      <c r="J153" s="11"/>
      <c r="K153" s="11"/>
    </row>
    <row r="154" spans="1:11">
      <c r="A154" s="33">
        <f>+A152+1</f>
        <v>31</v>
      </c>
      <c r="B154" s="13" t="s">
        <v>174</v>
      </c>
      <c r="C154" s="11" t="str">
        <f>"(Note "&amp;A$256&amp;")"</f>
        <v>(Note G)</v>
      </c>
      <c r="D154" s="11"/>
      <c r="E154" s="11"/>
      <c r="F154" s="4"/>
      <c r="G154" s="80"/>
      <c r="H154" s="11"/>
      <c r="I154" s="4"/>
      <c r="J154" s="11"/>
      <c r="K154" s="4"/>
    </row>
    <row r="155" spans="1:11">
      <c r="A155" s="33">
        <f t="shared" si="2"/>
        <v>32</v>
      </c>
      <c r="B155" s="81" t="s">
        <v>175</v>
      </c>
      <c r="C155" s="11" t="s">
        <v>176</v>
      </c>
      <c r="D155" s="935">
        <f>'13 - Income Taxes'!L26</f>
        <v>0.15848853644583333</v>
      </c>
      <c r="E155" s="11"/>
      <c r="F155" s="4"/>
      <c r="G155" s="80"/>
      <c r="H155" s="11"/>
      <c r="I155" s="4"/>
      <c r="J155" s="11"/>
      <c r="K155" s="4"/>
    </row>
    <row r="156" spans="1:11">
      <c r="A156" s="33">
        <f>+A155+1</f>
        <v>33</v>
      </c>
      <c r="B156" s="13"/>
      <c r="D156" s="11"/>
      <c r="E156" s="11"/>
      <c r="F156" s="4"/>
      <c r="G156" s="80"/>
      <c r="H156" s="11"/>
      <c r="I156" s="4"/>
      <c r="J156" s="11"/>
      <c r="K156" s="4"/>
    </row>
    <row r="157" spans="1:11">
      <c r="A157" s="33">
        <f>+A156+1</f>
        <v>34</v>
      </c>
      <c r="B157" s="81" t="str">
        <f>"      1 / (1 - T)  =  (from line "&amp;A155&amp;")"</f>
        <v xml:space="preserve">      1 / (1 - T)  =  (from line 32)</v>
      </c>
      <c r="C157" s="11"/>
      <c r="D157" s="71">
        <f>IF(D155=0,0,1/(1-D155))</f>
        <v>1.1883379410857327</v>
      </c>
      <c r="E157" s="11"/>
      <c r="F157" s="4"/>
      <c r="G157" s="80"/>
      <c r="H157" s="11"/>
      <c r="I157" s="26"/>
      <c r="J157" s="11"/>
      <c r="K157" s="4"/>
    </row>
    <row r="158" spans="1:11">
      <c r="A158" s="33">
        <f t="shared" si="2"/>
        <v>35</v>
      </c>
      <c r="B158" s="13" t="s">
        <v>177</v>
      </c>
      <c r="C158" s="11" t="s">
        <v>178</v>
      </c>
      <c r="D158" s="38">
        <f>-'5-P3 Support'!K45</f>
        <v>0</v>
      </c>
      <c r="E158" s="11"/>
      <c r="F158" s="4"/>
      <c r="G158" s="80"/>
      <c r="H158" s="11"/>
      <c r="I158" s="26"/>
      <c r="J158" s="11"/>
      <c r="K158" s="4"/>
    </row>
    <row r="159" spans="1:11">
      <c r="A159" s="33">
        <f t="shared" si="2"/>
        <v>36</v>
      </c>
      <c r="B159" s="13" t="s">
        <v>179</v>
      </c>
      <c r="C159" s="11" t="s">
        <v>180</v>
      </c>
      <c r="D159" s="26">
        <f>-'5-P3 Support'!L45</f>
        <v>0</v>
      </c>
      <c r="E159" s="11"/>
      <c r="F159" s="4"/>
      <c r="G159" s="26"/>
      <c r="H159" s="11"/>
      <c r="I159" s="26"/>
      <c r="J159" s="11"/>
      <c r="K159" s="4"/>
    </row>
    <row r="160" spans="1:11">
      <c r="A160" s="33">
        <f t="shared" si="2"/>
        <v>37</v>
      </c>
      <c r="B160" s="13" t="s">
        <v>181</v>
      </c>
      <c r="C160" s="11" t="s">
        <v>182</v>
      </c>
      <c r="D160" s="26">
        <f>+'5-P3 Support'!M45</f>
        <v>0</v>
      </c>
      <c r="E160" s="11"/>
      <c r="F160" s="4"/>
      <c r="G160" s="80"/>
      <c r="H160" s="11"/>
      <c r="I160" s="26"/>
      <c r="J160" s="11"/>
      <c r="K160" s="4"/>
    </row>
    <row r="161" spans="1:11">
      <c r="A161" s="33">
        <f t="shared" si="2"/>
        <v>38</v>
      </c>
      <c r="B161" s="81" t="s">
        <v>183</v>
      </c>
      <c r="C161" s="82" t="s">
        <v>184</v>
      </c>
      <c r="D161" s="83">
        <f>+(D155/(1-D155)*(I209+I210)*I106)</f>
        <v>872908.87360086548</v>
      </c>
      <c r="E161" s="24"/>
      <c r="F161" s="24" t="s">
        <v>48</v>
      </c>
      <c r="G161" s="29"/>
      <c r="H161" s="24"/>
      <c r="I161" s="71">
        <f>+D161</f>
        <v>872908.87360086548</v>
      </c>
      <c r="J161" s="11"/>
      <c r="K161" s="25" t="s">
        <v>9</v>
      </c>
    </row>
    <row r="162" spans="1:11">
      <c r="A162" s="33">
        <f t="shared" si="2"/>
        <v>39</v>
      </c>
      <c r="B162" s="4" t="s">
        <v>185</v>
      </c>
      <c r="C162" s="82" t="s">
        <v>186</v>
      </c>
      <c r="D162" s="71">
        <f>+D$157*D158</f>
        <v>0</v>
      </c>
      <c r="E162" s="24"/>
      <c r="F162" s="1" t="s">
        <v>87</v>
      </c>
      <c r="G162" s="23">
        <f>G84</f>
        <v>1</v>
      </c>
      <c r="H162" s="24"/>
      <c r="I162" s="71">
        <f>+G162*D162</f>
        <v>0</v>
      </c>
      <c r="J162" s="11"/>
      <c r="K162" s="25"/>
    </row>
    <row r="163" spans="1:11">
      <c r="A163" s="33">
        <f t="shared" si="2"/>
        <v>40</v>
      </c>
      <c r="B163" s="4" t="s">
        <v>187</v>
      </c>
      <c r="C163" s="82" t="s">
        <v>188</v>
      </c>
      <c r="D163" s="71">
        <f>+D$157*D159</f>
        <v>0</v>
      </c>
      <c r="E163" s="24"/>
      <c r="F163" s="1" t="s">
        <v>87</v>
      </c>
      <c r="G163" s="23">
        <f>G162</f>
        <v>1</v>
      </c>
      <c r="H163" s="24"/>
      <c r="I163" s="71">
        <f>+G163*D163</f>
        <v>0</v>
      </c>
      <c r="J163" s="11"/>
      <c r="K163" s="25"/>
    </row>
    <row r="164" spans="1:11" ht="15.75" thickBot="1">
      <c r="A164" s="33">
        <f t="shared" si="2"/>
        <v>41</v>
      </c>
      <c r="B164" s="4" t="s">
        <v>189</v>
      </c>
      <c r="C164" s="82" t="s">
        <v>190</v>
      </c>
      <c r="D164" s="84">
        <f>+D$157*D160</f>
        <v>0</v>
      </c>
      <c r="E164" s="24"/>
      <c r="F164" s="1" t="s">
        <v>87</v>
      </c>
      <c r="G164" s="23">
        <f>G163</f>
        <v>1</v>
      </c>
      <c r="H164" s="24"/>
      <c r="I164" s="84">
        <f>+G164*D164</f>
        <v>0</v>
      </c>
      <c r="J164" s="11"/>
      <c r="K164" s="25"/>
    </row>
    <row r="165" spans="1:11">
      <c r="A165" s="33">
        <f t="shared" si="2"/>
        <v>42</v>
      </c>
      <c r="B165" s="85" t="s">
        <v>191</v>
      </c>
      <c r="C165" s="4" t="s">
        <v>192</v>
      </c>
      <c r="D165" s="71">
        <f>SUM(D161:D164)</f>
        <v>872908.87360086548</v>
      </c>
      <c r="E165" s="24"/>
      <c r="F165" s="24" t="s">
        <v>9</v>
      </c>
      <c r="G165" s="29" t="s">
        <v>9</v>
      </c>
      <c r="H165" s="24"/>
      <c r="I165" s="71">
        <f>SUM(I161:I164)</f>
        <v>872908.87360086548</v>
      </c>
      <c r="J165" s="11"/>
      <c r="K165" s="11"/>
    </row>
    <row r="166" spans="1:11" ht="6.75" customHeight="1">
      <c r="A166" s="33"/>
      <c r="B166" s="4"/>
      <c r="C166" s="86"/>
      <c r="D166" s="26"/>
      <c r="E166" s="11"/>
      <c r="F166" s="11"/>
      <c r="G166" s="30"/>
      <c r="H166" s="11"/>
      <c r="I166" s="26"/>
      <c r="J166" s="11"/>
      <c r="K166" s="11"/>
    </row>
    <row r="167" spans="1:11">
      <c r="A167" s="33">
        <f>+A165+1</f>
        <v>43</v>
      </c>
      <c r="B167" s="13" t="s">
        <v>193</v>
      </c>
      <c r="J167" s="11"/>
      <c r="K167" s="4"/>
    </row>
    <row r="168" spans="1:11">
      <c r="A168" s="33">
        <f>A167+1</f>
        <v>44</v>
      </c>
      <c r="B168" s="85" t="s">
        <v>194</v>
      </c>
      <c r="C168" s="81" t="s">
        <v>195</v>
      </c>
      <c r="D168" s="26">
        <f>+$I211*D106</f>
        <v>5765974.4614241216</v>
      </c>
      <c r="E168" s="24"/>
      <c r="F168" s="24" t="s">
        <v>48</v>
      </c>
      <c r="G168" s="87"/>
      <c r="H168" s="24"/>
      <c r="I168" s="26">
        <f>+$I211*I106</f>
        <v>5765974.4614241216</v>
      </c>
      <c r="K168" s="62"/>
    </row>
    <row r="169" spans="1:11" ht="8.25" customHeight="1">
      <c r="A169" s="33"/>
      <c r="B169" s="13"/>
      <c r="C169" s="4"/>
      <c r="D169" s="26"/>
      <c r="E169" s="24"/>
      <c r="F169" s="24"/>
      <c r="G169" s="87"/>
      <c r="H169" s="24"/>
      <c r="I169" s="26"/>
      <c r="J169" s="11"/>
      <c r="K169" s="62"/>
    </row>
    <row r="170" spans="1:11" ht="15.75" thickBot="1">
      <c r="A170" s="33">
        <f>A168+1</f>
        <v>45</v>
      </c>
      <c r="B170" s="13" t="s">
        <v>196</v>
      </c>
      <c r="C170" s="11" t="s">
        <v>197</v>
      </c>
      <c r="D170" s="88">
        <f>+D168+D165+D152+D141+D134</f>
        <v>15706788.845874857</v>
      </c>
      <c r="E170" s="24"/>
      <c r="F170" s="24"/>
      <c r="G170" s="24"/>
      <c r="H170" s="24"/>
      <c r="I170" s="88">
        <f>+I168+I165+I152+I141+I134</f>
        <v>15706788.845874857</v>
      </c>
      <c r="J170" s="13"/>
      <c r="K170" s="13"/>
    </row>
    <row r="171" spans="1:11" ht="15.75" thickTop="1">
      <c r="A171" s="33"/>
      <c r="B171" s="13"/>
      <c r="C171" s="11"/>
      <c r="D171" s="24"/>
      <c r="E171" s="24"/>
      <c r="F171" s="24"/>
      <c r="G171" s="24"/>
      <c r="H171" s="24"/>
      <c r="I171" s="26"/>
      <c r="J171" s="13"/>
      <c r="K171" s="13"/>
    </row>
    <row r="172" spans="1:11">
      <c r="A172" s="33"/>
      <c r="B172" s="1"/>
      <c r="C172" s="24"/>
      <c r="D172" s="24"/>
      <c r="E172" s="24"/>
      <c r="F172" s="24"/>
      <c r="G172" s="24"/>
      <c r="H172" s="24"/>
      <c r="I172" s="24"/>
      <c r="J172" s="13"/>
      <c r="K172" s="13"/>
    </row>
    <row r="173" spans="1:11">
      <c r="A173" s="7"/>
      <c r="B173" s="4"/>
      <c r="C173" s="4"/>
      <c r="D173" s="4"/>
      <c r="E173" s="4"/>
      <c r="F173" s="4"/>
      <c r="G173" s="4"/>
      <c r="H173" s="4"/>
      <c r="I173" s="4"/>
      <c r="J173" s="11"/>
      <c r="K173" s="69" t="s">
        <v>198</v>
      </c>
    </row>
    <row r="174" spans="1:11">
      <c r="A174" s="7"/>
      <c r="B174" s="4"/>
      <c r="C174" s="4"/>
      <c r="D174" s="4"/>
      <c r="E174" s="4"/>
      <c r="F174" s="4"/>
      <c r="G174" s="4"/>
      <c r="H174" s="4"/>
      <c r="I174" s="4"/>
      <c r="J174" s="11"/>
      <c r="K174" s="11"/>
    </row>
    <row r="175" spans="1:11">
      <c r="A175" s="7"/>
      <c r="B175" s="13" t="s">
        <v>2</v>
      </c>
      <c r="C175" s="4"/>
      <c r="D175" s="44" t="s">
        <v>3</v>
      </c>
      <c r="E175" s="4"/>
      <c r="F175" s="4"/>
      <c r="G175" s="4"/>
      <c r="H175" s="4"/>
      <c r="I175" s="1"/>
      <c r="J175" s="11"/>
      <c r="K175" s="89" t="str">
        <f>K3</f>
        <v>For the 12 months ended 12/31/2020</v>
      </c>
    </row>
    <row r="176" spans="1:11">
      <c r="A176" s="7"/>
      <c r="B176" s="13"/>
      <c r="C176" s="4"/>
      <c r="D176" s="44" t="s">
        <v>4</v>
      </c>
      <c r="E176" s="4"/>
      <c r="F176" s="4"/>
      <c r="G176" s="4"/>
      <c r="H176" s="4"/>
      <c r="I176" s="4"/>
      <c r="J176" s="11"/>
      <c r="K176" s="11"/>
    </row>
    <row r="177" spans="1:35">
      <c r="A177" s="7"/>
      <c r="B177" s="4"/>
      <c r="C177" s="4"/>
      <c r="D177" s="44" t="str">
        <f>+D113</f>
        <v>GridLiance High Plains LLC</v>
      </c>
      <c r="E177" s="4"/>
      <c r="F177" s="4"/>
      <c r="G177" s="4"/>
      <c r="H177" s="4"/>
      <c r="I177" s="4"/>
      <c r="J177" s="11"/>
      <c r="K177" s="11"/>
    </row>
    <row r="178" spans="1:35">
      <c r="A178" s="70"/>
      <c r="B178" s="70"/>
      <c r="C178" s="70"/>
      <c r="D178" s="70"/>
      <c r="E178" s="70"/>
      <c r="F178" s="70"/>
      <c r="G178" s="70"/>
      <c r="H178" s="70"/>
      <c r="I178" s="70"/>
      <c r="J178" s="70"/>
      <c r="K178" s="70"/>
    </row>
    <row r="179" spans="1:35" s="73" customFormat="1">
      <c r="A179" s="90"/>
      <c r="B179" s="18" t="s">
        <v>6</v>
      </c>
      <c r="C179" s="18" t="s">
        <v>7</v>
      </c>
      <c r="D179" s="18" t="s">
        <v>8</v>
      </c>
      <c r="E179" s="11" t="s">
        <v>9</v>
      </c>
      <c r="F179" s="11"/>
      <c r="G179" s="17" t="s">
        <v>10</v>
      </c>
      <c r="H179" s="11"/>
      <c r="I179" s="17" t="s">
        <v>11</v>
      </c>
      <c r="J179" s="72"/>
      <c r="K179" s="72"/>
      <c r="M179"/>
      <c r="N179"/>
      <c r="O179"/>
      <c r="P179"/>
      <c r="Q179"/>
      <c r="R179"/>
      <c r="S179"/>
      <c r="T179"/>
      <c r="U179"/>
      <c r="V179"/>
      <c r="W179"/>
      <c r="X179"/>
      <c r="Y179"/>
      <c r="Z179"/>
      <c r="AA179"/>
      <c r="AB179"/>
      <c r="AC179"/>
      <c r="AD179"/>
      <c r="AE179"/>
      <c r="AF179"/>
      <c r="AG179"/>
      <c r="AH179"/>
      <c r="AI179"/>
    </row>
    <row r="180" spans="1:35">
      <c r="A180" s="7"/>
      <c r="B180" s="4"/>
      <c r="C180" s="13"/>
      <c r="D180" s="13"/>
      <c r="E180" s="13"/>
      <c r="F180" s="13"/>
      <c r="G180" s="13"/>
      <c r="H180" s="13"/>
      <c r="I180" s="13"/>
      <c r="J180" s="13"/>
      <c r="K180" s="13"/>
    </row>
    <row r="181" spans="1:35">
      <c r="A181" s="7"/>
      <c r="B181" s="4"/>
      <c r="C181" s="56" t="s">
        <v>199</v>
      </c>
      <c r="D181" s="4"/>
      <c r="E181" s="13"/>
      <c r="F181" s="13"/>
      <c r="G181" s="13"/>
      <c r="H181" s="13"/>
      <c r="I181" s="13"/>
      <c r="J181" s="11"/>
      <c r="K181" s="11"/>
    </row>
    <row r="182" spans="1:35">
      <c r="A182" s="7" t="s">
        <v>12</v>
      </c>
      <c r="B182" s="56"/>
      <c r="C182" s="13"/>
      <c r="D182" s="13"/>
      <c r="E182" s="13"/>
      <c r="F182" s="13"/>
      <c r="G182" s="13"/>
      <c r="H182" s="13"/>
      <c r="I182" s="13"/>
      <c r="J182" s="11"/>
      <c r="K182" s="11"/>
    </row>
    <row r="183" spans="1:35" ht="15.75" thickBot="1">
      <c r="A183" s="19" t="s">
        <v>14</v>
      </c>
      <c r="B183" s="5" t="s">
        <v>200</v>
      </c>
      <c r="C183" s="13"/>
      <c r="D183" s="13"/>
      <c r="E183" s="13"/>
      <c r="F183" s="13"/>
      <c r="G183" s="13"/>
      <c r="H183" s="4"/>
      <c r="I183" s="4"/>
      <c r="J183" s="11"/>
      <c r="K183" s="11"/>
    </row>
    <row r="184" spans="1:35">
      <c r="A184" s="7">
        <v>1</v>
      </c>
      <c r="B184" s="5" t="s">
        <v>201</v>
      </c>
      <c r="C184" s="13" t="s">
        <v>202</v>
      </c>
      <c r="D184" s="11"/>
      <c r="E184" s="11"/>
      <c r="F184" s="11"/>
      <c r="G184" s="11"/>
      <c r="H184" s="11"/>
      <c r="I184" s="26">
        <f>D64</f>
        <v>92294602.145676479</v>
      </c>
      <c r="J184" s="11"/>
      <c r="K184" s="11"/>
    </row>
    <row r="185" spans="1:35">
      <c r="A185" s="7">
        <f>+A184+1</f>
        <v>2</v>
      </c>
      <c r="B185" s="5" t="s">
        <v>203</v>
      </c>
      <c r="C185" s="4" t="s">
        <v>204</v>
      </c>
      <c r="D185" s="4"/>
      <c r="E185" s="4"/>
      <c r="F185" s="4"/>
      <c r="G185" s="4"/>
      <c r="H185" s="4"/>
      <c r="I185" s="57">
        <v>0</v>
      </c>
      <c r="J185" s="11"/>
      <c r="K185" s="11"/>
    </row>
    <row r="186" spans="1:35" ht="15.75" thickBot="1">
      <c r="A186" s="7">
        <f>+A185+1</f>
        <v>3</v>
      </c>
      <c r="B186" s="91" t="s">
        <v>205</v>
      </c>
      <c r="C186" s="92" t="s">
        <v>206</v>
      </c>
      <c r="D186" s="1"/>
      <c r="E186" s="11"/>
      <c r="F186" s="11"/>
      <c r="G186" s="12"/>
      <c r="H186" s="11"/>
      <c r="I186" s="59">
        <v>0</v>
      </c>
      <c r="J186" s="11"/>
      <c r="K186" s="11"/>
    </row>
    <row r="187" spans="1:35">
      <c r="A187" s="7">
        <f t="shared" ref="A187:A218" si="3">+A186+1</f>
        <v>4</v>
      </c>
      <c r="B187" s="5" t="s">
        <v>207</v>
      </c>
      <c r="C187" s="13" t="s">
        <v>208</v>
      </c>
      <c r="D187" s="11"/>
      <c r="E187" s="11"/>
      <c r="F187" s="11"/>
      <c r="G187" s="12"/>
      <c r="H187" s="11"/>
      <c r="I187" s="26">
        <f>I184-I185-I186</f>
        <v>92294602.145676479</v>
      </c>
      <c r="J187" s="11"/>
      <c r="K187" s="11"/>
    </row>
    <row r="188" spans="1:35">
      <c r="A188" s="7"/>
      <c r="B188" s="4"/>
      <c r="C188" s="13"/>
      <c r="D188" s="11"/>
      <c r="E188" s="11"/>
      <c r="F188" s="11"/>
      <c r="G188" s="12"/>
      <c r="H188" s="11"/>
      <c r="I188" s="26"/>
      <c r="J188" s="11"/>
      <c r="K188" s="11"/>
    </row>
    <row r="189" spans="1:35">
      <c r="A189" s="7">
        <f>+A187+1</f>
        <v>5</v>
      </c>
      <c r="B189" s="5" t="s">
        <v>209</v>
      </c>
      <c r="C189" s="16" t="s">
        <v>210</v>
      </c>
      <c r="D189" s="16"/>
      <c r="E189" s="16"/>
      <c r="F189" s="16"/>
      <c r="G189" s="17"/>
      <c r="H189" s="11" t="s">
        <v>211</v>
      </c>
      <c r="I189" s="93">
        <f>IF(I184&gt;0,I187/I184,0)</f>
        <v>1</v>
      </c>
      <c r="J189" s="11"/>
      <c r="K189" s="11"/>
    </row>
    <row r="190" spans="1:35">
      <c r="A190" s="7"/>
      <c r="B190" s="4"/>
      <c r="C190" s="4"/>
      <c r="D190" s="4"/>
      <c r="E190" s="4"/>
      <c r="F190" s="4"/>
      <c r="G190" s="4"/>
      <c r="H190" s="4"/>
      <c r="I190" s="4"/>
      <c r="J190" s="4"/>
      <c r="K190" s="4"/>
    </row>
    <row r="191" spans="1:35">
      <c r="A191" s="7">
        <f>+A189+1</f>
        <v>6</v>
      </c>
      <c r="B191" s="13" t="s">
        <v>212</v>
      </c>
      <c r="C191" s="11"/>
      <c r="D191" s="11"/>
      <c r="E191" s="11"/>
      <c r="F191" s="11"/>
      <c r="G191" s="11"/>
      <c r="H191" s="11"/>
      <c r="I191" s="11"/>
      <c r="J191" s="11"/>
      <c r="K191" s="11"/>
    </row>
    <row r="192" spans="1:35" ht="15.75" thickBot="1">
      <c r="A192" s="7"/>
      <c r="B192" s="13"/>
      <c r="C192" s="94" t="s">
        <v>213</v>
      </c>
      <c r="D192" s="95" t="s">
        <v>214</v>
      </c>
      <c r="E192" s="95" t="s">
        <v>23</v>
      </c>
      <c r="F192" s="11"/>
      <c r="G192" s="95" t="s">
        <v>215</v>
      </c>
      <c r="H192" s="11"/>
      <c r="I192" s="11"/>
      <c r="J192" s="11"/>
      <c r="K192" s="11"/>
    </row>
    <row r="193" spans="1:11">
      <c r="A193" s="7">
        <f>+A191+1</f>
        <v>7</v>
      </c>
      <c r="B193" s="13" t="s">
        <v>46</v>
      </c>
      <c r="C193" s="11" t="s">
        <v>216</v>
      </c>
      <c r="D193" s="57">
        <v>0</v>
      </c>
      <c r="E193" s="23">
        <v>0</v>
      </c>
      <c r="F193" s="96"/>
      <c r="G193" s="26">
        <f>D193*E193</f>
        <v>0</v>
      </c>
      <c r="H193" s="24"/>
      <c r="I193" s="24"/>
      <c r="J193" s="11"/>
      <c r="K193" s="11"/>
    </row>
    <row r="194" spans="1:11">
      <c r="A194" s="7">
        <f t="shared" si="3"/>
        <v>8</v>
      </c>
      <c r="B194" s="13" t="s">
        <v>49</v>
      </c>
      <c r="C194" s="11" t="s">
        <v>217</v>
      </c>
      <c r="D194" s="75">
        <v>455030.91000000003</v>
      </c>
      <c r="E194" s="23">
        <f>+I189</f>
        <v>1</v>
      </c>
      <c r="F194" s="96"/>
      <c r="G194" s="26">
        <f>D194*E194</f>
        <v>455030.91000000003</v>
      </c>
      <c r="H194" s="24"/>
      <c r="I194" s="24"/>
      <c r="J194" s="11"/>
      <c r="K194" s="11"/>
    </row>
    <row r="195" spans="1:11">
      <c r="A195" s="7">
        <f t="shared" si="3"/>
        <v>9</v>
      </c>
      <c r="B195" s="13" t="s">
        <v>51</v>
      </c>
      <c r="C195" s="11" t="s">
        <v>218</v>
      </c>
      <c r="D195" s="57">
        <v>0</v>
      </c>
      <c r="E195" s="23">
        <v>0</v>
      </c>
      <c r="F195" s="96"/>
      <c r="G195" s="26">
        <f>D195*E195</f>
        <v>0</v>
      </c>
      <c r="H195" s="24"/>
      <c r="I195" s="97" t="s">
        <v>219</v>
      </c>
      <c r="J195" s="11"/>
      <c r="K195" s="11"/>
    </row>
    <row r="196" spans="1:11" ht="15.75" thickBot="1">
      <c r="A196" s="7">
        <f t="shared" si="3"/>
        <v>10</v>
      </c>
      <c r="B196" s="13" t="s">
        <v>220</v>
      </c>
      <c r="C196" s="11" t="s">
        <v>221</v>
      </c>
      <c r="D196" s="59">
        <v>0</v>
      </c>
      <c r="E196" s="23">
        <v>0</v>
      </c>
      <c r="F196" s="96"/>
      <c r="G196" s="60">
        <f>D196*E196</f>
        <v>0</v>
      </c>
      <c r="H196" s="24"/>
      <c r="I196" s="98" t="s">
        <v>222</v>
      </c>
      <c r="J196" s="11"/>
      <c r="K196" s="11"/>
    </row>
    <row r="197" spans="1:11">
      <c r="A197" s="7">
        <f t="shared" si="3"/>
        <v>11</v>
      </c>
      <c r="B197" s="13" t="s">
        <v>223</v>
      </c>
      <c r="C197" s="11" t="s">
        <v>224</v>
      </c>
      <c r="D197" s="26">
        <f>SUM(D193:D196)</f>
        <v>455030.91000000003</v>
      </c>
      <c r="E197" s="11"/>
      <c r="F197" s="11"/>
      <c r="G197" s="26">
        <f>SUM(G193:G196)</f>
        <v>455030.91000000003</v>
      </c>
      <c r="H197" s="99" t="s">
        <v>225</v>
      </c>
      <c r="I197" s="100">
        <f>IF(G197&gt;0,G197/D197,0)</f>
        <v>1</v>
      </c>
      <c r="J197" s="12" t="s">
        <v>225</v>
      </c>
      <c r="K197" s="11" t="s">
        <v>226</v>
      </c>
    </row>
    <row r="198" spans="1:11">
      <c r="A198" s="7"/>
      <c r="B198" s="13" t="s">
        <v>9</v>
      </c>
      <c r="C198" s="11" t="s">
        <v>9</v>
      </c>
      <c r="D198" s="4"/>
      <c r="E198" s="11"/>
      <c r="F198" s="11"/>
      <c r="G198" s="4"/>
      <c r="H198" s="4"/>
      <c r="I198" s="4"/>
      <c r="J198" s="4"/>
      <c r="K198" s="11"/>
    </row>
    <row r="199" spans="1:11">
      <c r="A199" s="7">
        <f>+A197+1</f>
        <v>12</v>
      </c>
      <c r="B199" s="13" t="s">
        <v>227</v>
      </c>
      <c r="C199" s="11"/>
      <c r="D199" s="52" t="s">
        <v>214</v>
      </c>
      <c r="E199" s="11"/>
      <c r="F199" s="11"/>
      <c r="G199" s="12" t="s">
        <v>228</v>
      </c>
      <c r="H199" s="80"/>
      <c r="I199" s="62" t="s">
        <v>219</v>
      </c>
      <c r="J199" s="11"/>
      <c r="K199" s="11"/>
    </row>
    <row r="200" spans="1:11">
      <c r="A200" s="7">
        <f t="shared" si="3"/>
        <v>13</v>
      </c>
      <c r="B200" s="13" t="s">
        <v>229</v>
      </c>
      <c r="C200" s="11" t="s">
        <v>230</v>
      </c>
      <c r="D200" s="57">
        <f>+D80</f>
        <v>76642904.689562351</v>
      </c>
      <c r="E200" s="11"/>
      <c r="F200" s="4"/>
      <c r="G200" s="7" t="s">
        <v>231</v>
      </c>
      <c r="H200" s="101"/>
      <c r="I200" s="7" t="s">
        <v>232</v>
      </c>
      <c r="J200" s="11"/>
      <c r="K200" s="18" t="s">
        <v>58</v>
      </c>
    </row>
    <row r="201" spans="1:11">
      <c r="A201" s="7">
        <f t="shared" si="3"/>
        <v>14</v>
      </c>
      <c r="B201" s="13" t="s">
        <v>233</v>
      </c>
      <c r="C201" s="11" t="s">
        <v>234</v>
      </c>
      <c r="D201" s="57">
        <v>0</v>
      </c>
      <c r="E201" s="11"/>
      <c r="F201" s="4"/>
      <c r="G201" s="64">
        <f>IF(D203&gt;0,D200/D203,0)</f>
        <v>1</v>
      </c>
      <c r="H201" s="102" t="s">
        <v>235</v>
      </c>
      <c r="I201" s="64">
        <f>I197</f>
        <v>1</v>
      </c>
      <c r="J201" s="102" t="s">
        <v>225</v>
      </c>
      <c r="K201" s="64">
        <f>I201*G201</f>
        <v>1</v>
      </c>
    </row>
    <row r="202" spans="1:11" ht="15.75" thickBot="1">
      <c r="A202" s="7">
        <f t="shared" si="3"/>
        <v>15</v>
      </c>
      <c r="B202" s="92" t="s">
        <v>220</v>
      </c>
      <c r="C202" s="94" t="s">
        <v>236</v>
      </c>
      <c r="D202" s="59">
        <v>0</v>
      </c>
      <c r="E202" s="11"/>
      <c r="F202" s="11"/>
      <c r="G202" s="11" t="s">
        <v>9</v>
      </c>
      <c r="H202" s="11"/>
      <c r="I202" s="11"/>
      <c r="J202" s="11"/>
      <c r="K202" s="11"/>
    </row>
    <row r="203" spans="1:11">
      <c r="A203" s="7">
        <f t="shared" si="3"/>
        <v>16</v>
      </c>
      <c r="B203" s="13" t="s">
        <v>237</v>
      </c>
      <c r="C203" s="11" t="s">
        <v>238</v>
      </c>
      <c r="D203" s="26">
        <f>D200+D201+D202</f>
        <v>76642904.689562351</v>
      </c>
      <c r="E203" s="11"/>
      <c r="F203" s="11"/>
      <c r="G203" s="11"/>
      <c r="H203" s="11"/>
      <c r="I203" s="11"/>
      <c r="J203" s="11"/>
      <c r="K203" s="11"/>
    </row>
    <row r="204" spans="1:11">
      <c r="A204" s="7"/>
      <c r="B204" s="13"/>
      <c r="C204" s="11"/>
      <c r="D204" s="4"/>
      <c r="E204" s="11"/>
      <c r="F204" s="11"/>
      <c r="G204" s="11"/>
      <c r="H204" s="11"/>
      <c r="I204" s="11"/>
      <c r="J204" s="11"/>
      <c r="K204" s="11"/>
    </row>
    <row r="205" spans="1:11" ht="15.75" thickBot="1">
      <c r="A205" s="7">
        <f>+A203+1</f>
        <v>17</v>
      </c>
      <c r="B205" s="5" t="s">
        <v>239</v>
      </c>
      <c r="C205" s="11" t="s">
        <v>240</v>
      </c>
      <c r="D205" s="11"/>
      <c r="E205" s="11"/>
      <c r="F205" s="11"/>
      <c r="G205" s="11"/>
      <c r="H205" s="11"/>
      <c r="I205" s="95" t="s">
        <v>214</v>
      </c>
      <c r="J205" s="11"/>
      <c r="K205" s="11"/>
    </row>
    <row r="206" spans="1:11">
      <c r="A206" s="7">
        <f>+A205+1</f>
        <v>18</v>
      </c>
      <c r="B206" s="13"/>
      <c r="C206" s="11"/>
      <c r="D206" s="11"/>
      <c r="E206" s="11"/>
      <c r="F206" s="11"/>
      <c r="G206" s="12" t="s">
        <v>241</v>
      </c>
      <c r="H206" s="11"/>
      <c r="I206" s="11"/>
      <c r="J206" s="11"/>
      <c r="K206" s="11"/>
    </row>
    <row r="207" spans="1:11" ht="15.75" thickBot="1">
      <c r="A207" s="7">
        <f t="shared" si="3"/>
        <v>19</v>
      </c>
      <c r="B207" s="13"/>
      <c r="C207" s="11"/>
      <c r="D207" s="19" t="s">
        <v>214</v>
      </c>
      <c r="E207" s="19" t="s">
        <v>242</v>
      </c>
      <c r="F207" s="11"/>
      <c r="G207" s="44" t="str">
        <f>"(Notes "&amp;A264&amp;", "&amp;A270&amp;", &amp; "&amp;A271&amp;")"</f>
        <v>(Notes K, Q, &amp; R)</v>
      </c>
      <c r="H207" s="11"/>
      <c r="I207" s="19" t="s">
        <v>243</v>
      </c>
      <c r="J207" s="11"/>
      <c r="K207" s="11"/>
    </row>
    <row r="208" spans="1:11">
      <c r="A208" s="7">
        <f t="shared" si="3"/>
        <v>20</v>
      </c>
      <c r="B208" s="5" t="s">
        <v>244</v>
      </c>
      <c r="C208" s="4" t="s">
        <v>245</v>
      </c>
      <c r="D208" s="103">
        <v>42186047.918201916</v>
      </c>
      <c r="E208" s="104">
        <f>+MAX(D208/D$211,40%)</f>
        <v>0.4</v>
      </c>
      <c r="F208" s="23"/>
      <c r="G208" s="105">
        <f>'5-P3 Support'!I85</f>
        <v>3.7707401883081137E-2</v>
      </c>
      <c r="H208" s="106"/>
      <c r="I208" s="23">
        <f>IF(E208=0,0,E208*G208)</f>
        <v>1.5082960753232455E-2</v>
      </c>
      <c r="J208" s="107" t="s">
        <v>246</v>
      </c>
      <c r="K208" s="4"/>
    </row>
    <row r="209" spans="1:11">
      <c r="A209" s="7">
        <f t="shared" si="3"/>
        <v>21</v>
      </c>
      <c r="B209" s="5" t="s">
        <v>247</v>
      </c>
      <c r="C209" s="4" t="s">
        <v>245</v>
      </c>
      <c r="D209" s="108">
        <v>0</v>
      </c>
      <c r="E209" s="104">
        <v>0</v>
      </c>
      <c r="F209" s="23"/>
      <c r="G209" s="109">
        <v>0</v>
      </c>
      <c r="H209" s="106"/>
      <c r="I209" s="36">
        <f>E209*G209</f>
        <v>0</v>
      </c>
      <c r="J209" s="11"/>
      <c r="K209" s="4"/>
    </row>
    <row r="210" spans="1:11" ht="15.75" thickBot="1">
      <c r="A210" s="7">
        <f t="shared" si="3"/>
        <v>22</v>
      </c>
      <c r="B210" s="5" t="s">
        <v>248</v>
      </c>
      <c r="C210" s="4" t="s">
        <v>249</v>
      </c>
      <c r="D210" s="110">
        <v>64270717.782705076</v>
      </c>
      <c r="E210" s="111">
        <f>+MIN(D210/D$211,60%)</f>
        <v>0.6</v>
      </c>
      <c r="F210" s="48"/>
      <c r="G210" s="106">
        <v>0.10299999999999999</v>
      </c>
      <c r="H210" s="106"/>
      <c r="I210" s="112">
        <f>E210*G210</f>
        <v>6.1799999999999994E-2</v>
      </c>
      <c r="J210" s="11"/>
      <c r="K210" s="4"/>
    </row>
    <row r="211" spans="1:11">
      <c r="A211" s="7">
        <f t="shared" si="3"/>
        <v>23</v>
      </c>
      <c r="B211" s="13" t="s">
        <v>250</v>
      </c>
      <c r="C211" s="4" t="s">
        <v>251</v>
      </c>
      <c r="D211" s="113">
        <f>SUM(D208:D210)</f>
        <v>106456765.70090699</v>
      </c>
      <c r="E211" s="11" t="s">
        <v>9</v>
      </c>
      <c r="F211" s="11"/>
      <c r="G211" s="106"/>
      <c r="H211" s="106"/>
      <c r="I211" s="114">
        <f>SUM(I208:I210)</f>
        <v>7.6882960753232449E-2</v>
      </c>
      <c r="J211" s="107" t="s">
        <v>252</v>
      </c>
      <c r="K211" s="4"/>
    </row>
    <row r="212" spans="1:11">
      <c r="A212" s="7"/>
      <c r="B212" s="4"/>
      <c r="C212" s="4"/>
      <c r="D212" s="115"/>
      <c r="E212" s="11"/>
      <c r="F212" s="11"/>
      <c r="G212" s="11"/>
      <c r="H212" s="11"/>
      <c r="I212" s="106"/>
      <c r="J212" s="4"/>
      <c r="K212" s="4"/>
    </row>
    <row r="213" spans="1:11">
      <c r="A213" s="7">
        <f>+A211+1</f>
        <v>24</v>
      </c>
      <c r="B213" s="5" t="s">
        <v>253</v>
      </c>
      <c r="C213" s="5"/>
      <c r="D213" s="5"/>
      <c r="E213" s="5"/>
      <c r="F213" s="5"/>
      <c r="G213" s="5"/>
      <c r="H213" s="5"/>
      <c r="I213" s="5"/>
      <c r="J213" s="5"/>
      <c r="K213" s="5"/>
    </row>
    <row r="214" spans="1:11" ht="15.75" thickBot="1">
      <c r="A214" s="7"/>
      <c r="B214" s="5"/>
      <c r="C214" s="5"/>
      <c r="D214" s="5"/>
      <c r="E214" s="5"/>
      <c r="F214" s="5"/>
      <c r="G214" s="5"/>
      <c r="H214" s="5"/>
      <c r="I214" s="19"/>
      <c r="J214" s="7"/>
      <c r="K214" s="4"/>
    </row>
    <row r="215" spans="1:11">
      <c r="A215" s="7">
        <f>+A213+1</f>
        <v>25</v>
      </c>
      <c r="B215" s="5" t="s">
        <v>254</v>
      </c>
      <c r="C215" s="5" t="s">
        <v>255</v>
      </c>
      <c r="D215" s="5"/>
      <c r="E215" s="5"/>
      <c r="F215" s="5"/>
      <c r="G215" s="116" t="s">
        <v>9</v>
      </c>
      <c r="H215" s="117"/>
      <c r="I215" s="4"/>
      <c r="J215" s="4"/>
      <c r="K215" s="4"/>
    </row>
    <row r="216" spans="1:11">
      <c r="A216" s="7">
        <f t="shared" si="3"/>
        <v>26</v>
      </c>
      <c r="B216" s="4" t="s">
        <v>256</v>
      </c>
      <c r="C216" s="5" t="s">
        <v>257</v>
      </c>
      <c r="D216" s="5"/>
      <c r="E216" s="4"/>
      <c r="F216" s="5"/>
      <c r="G216" s="4"/>
      <c r="H216" s="117"/>
      <c r="I216" s="118">
        <v>0</v>
      </c>
      <c r="J216" s="119"/>
      <c r="K216" s="4"/>
    </row>
    <row r="217" spans="1:11" ht="15.75" thickBot="1">
      <c r="A217" s="7">
        <f t="shared" si="3"/>
        <v>27</v>
      </c>
      <c r="B217" s="120" t="s">
        <v>258</v>
      </c>
      <c r="C217" s="11" t="s">
        <v>259</v>
      </c>
      <c r="D217" s="4"/>
      <c r="E217" s="5"/>
      <c r="F217" s="5"/>
      <c r="G217" s="5"/>
      <c r="H217" s="5"/>
      <c r="I217" s="121">
        <f>+'5-P3 Support'!C67</f>
        <v>0</v>
      </c>
      <c r="J217" s="119"/>
      <c r="K217" s="4"/>
    </row>
    <row r="218" spans="1:11">
      <c r="A218" s="7">
        <f t="shared" si="3"/>
        <v>28</v>
      </c>
      <c r="B218" s="4" t="s">
        <v>260</v>
      </c>
      <c r="C218" s="13"/>
      <c r="D218" s="4"/>
      <c r="E218" s="5"/>
      <c r="F218" s="5"/>
      <c r="G218" s="5"/>
      <c r="H218" s="5"/>
      <c r="I218" s="122">
        <f>I216-I217</f>
        <v>0</v>
      </c>
      <c r="J218" s="119"/>
      <c r="K218" s="4"/>
    </row>
    <row r="219" spans="1:11">
      <c r="A219" s="7"/>
      <c r="B219" s="4"/>
      <c r="C219" s="13"/>
      <c r="D219" s="4"/>
      <c r="E219" s="5"/>
      <c r="F219" s="5"/>
      <c r="G219" s="5"/>
      <c r="H219" s="5"/>
      <c r="I219" s="123"/>
      <c r="J219" s="4"/>
      <c r="K219" s="4"/>
    </row>
    <row r="220" spans="1:11">
      <c r="A220" s="7">
        <f>+A218+1</f>
        <v>29</v>
      </c>
      <c r="B220" s="5" t="s">
        <v>261</v>
      </c>
      <c r="C220" s="13" t="s">
        <v>262</v>
      </c>
      <c r="D220" s="4"/>
      <c r="E220" s="5"/>
      <c r="F220" s="5"/>
      <c r="G220" s="124"/>
      <c r="H220" s="5"/>
      <c r="I220" s="57">
        <f>+'5-P3 Support'!D67</f>
        <v>0</v>
      </c>
      <c r="J220" s="4"/>
      <c r="K220" s="125"/>
    </row>
    <row r="221" spans="1:11">
      <c r="A221" s="7"/>
      <c r="B221" s="4"/>
      <c r="C221" s="5"/>
      <c r="D221" s="5"/>
      <c r="E221" s="5"/>
      <c r="F221" s="5"/>
      <c r="G221" s="5"/>
      <c r="H221" s="5"/>
      <c r="I221" s="123"/>
      <c r="J221" s="4"/>
      <c r="K221" s="125"/>
    </row>
    <row r="222" spans="1:11">
      <c r="A222" s="7">
        <f>+A220+1</f>
        <v>30</v>
      </c>
      <c r="B222" s="5" t="s">
        <v>263</v>
      </c>
      <c r="C222" s="5" t="s">
        <v>264</v>
      </c>
      <c r="D222" s="5"/>
      <c r="E222" s="5"/>
      <c r="F222" s="5"/>
      <c r="G222" s="5"/>
      <c r="H222" s="5"/>
      <c r="I222" s="4"/>
      <c r="J222" s="4"/>
      <c r="K222" s="125"/>
    </row>
    <row r="223" spans="1:11">
      <c r="A223" s="7">
        <f>+A222+1</f>
        <v>31</v>
      </c>
      <c r="B223" s="126" t="s">
        <v>265</v>
      </c>
      <c r="C223" s="11" t="s">
        <v>266</v>
      </c>
      <c r="D223" s="11"/>
      <c r="E223" s="11"/>
      <c r="F223" s="11"/>
      <c r="G223" s="11"/>
      <c r="H223" s="11"/>
      <c r="I223" s="127">
        <f>+'5-P3 Support'!E67</f>
        <v>0</v>
      </c>
      <c r="J223" s="11"/>
      <c r="K223" s="125"/>
    </row>
    <row r="224" spans="1:11" ht="26.25" thickBot="1">
      <c r="A224" s="7">
        <f>+A223+1</f>
        <v>32</v>
      </c>
      <c r="B224" s="128" t="s">
        <v>267</v>
      </c>
      <c r="C224" s="11" t="s">
        <v>268</v>
      </c>
      <c r="D224" s="5"/>
      <c r="E224" s="5"/>
      <c r="F224" s="5"/>
      <c r="G224" s="5"/>
      <c r="H224" s="5"/>
      <c r="I224" s="129">
        <f>+'5-P3 Support'!F67</f>
        <v>0</v>
      </c>
      <c r="J224" s="4"/>
      <c r="K224" s="130"/>
    </row>
    <row r="225" spans="1:11">
      <c r="A225" s="7">
        <f>+A224+1</f>
        <v>33</v>
      </c>
      <c r="B225" s="1" t="s">
        <v>260</v>
      </c>
      <c r="C225" s="7"/>
      <c r="D225" s="11"/>
      <c r="E225" s="11"/>
      <c r="F225" s="11"/>
      <c r="G225" s="11"/>
      <c r="H225" s="5"/>
      <c r="I225" s="26">
        <f>+I223-I224</f>
        <v>0</v>
      </c>
      <c r="J225" s="11"/>
      <c r="K225" s="11"/>
    </row>
    <row r="226" spans="1:11">
      <c r="A226" s="7"/>
      <c r="B226" s="1"/>
      <c r="C226" s="7"/>
      <c r="D226" s="11"/>
      <c r="E226" s="11"/>
      <c r="F226" s="11"/>
      <c r="G226" s="11"/>
      <c r="H226" s="5"/>
      <c r="I226" s="26"/>
      <c r="J226" s="11"/>
      <c r="K226" s="11"/>
    </row>
    <row r="227" spans="1:11" ht="9.75" customHeight="1">
      <c r="A227" s="7"/>
      <c r="D227" s="11"/>
      <c r="E227" s="11"/>
      <c r="F227" s="11"/>
      <c r="G227" s="11"/>
      <c r="H227" s="5"/>
      <c r="I227" s="26"/>
      <c r="J227" s="11"/>
      <c r="K227" s="11"/>
    </row>
    <row r="228" spans="1:11" ht="5.25" customHeight="1">
      <c r="A228" s="7"/>
      <c r="B228" s="1"/>
      <c r="D228" s="7"/>
      <c r="E228" s="11"/>
      <c r="F228" s="11"/>
      <c r="G228" s="11"/>
      <c r="H228" s="5"/>
      <c r="I228" s="26"/>
      <c r="J228" s="11"/>
      <c r="K228" s="11"/>
    </row>
    <row r="229" spans="1:11" ht="5.25" customHeight="1">
      <c r="A229" s="7"/>
      <c r="B229" s="1"/>
      <c r="C229" s="131"/>
      <c r="D229" s="11"/>
      <c r="E229" s="11"/>
      <c r="F229" s="11"/>
      <c r="H229" s="5"/>
      <c r="I229" s="26"/>
      <c r="J229" s="11"/>
      <c r="K229" s="11"/>
    </row>
    <row r="230" spans="1:11" ht="5.25" customHeight="1">
      <c r="A230" s="7"/>
      <c r="B230" s="1"/>
      <c r="C230" s="132"/>
      <c r="D230" s="132"/>
      <c r="E230" s="11"/>
      <c r="F230" s="11"/>
      <c r="H230" s="5"/>
      <c r="I230" s="26"/>
      <c r="J230" s="11"/>
      <c r="K230" s="11"/>
    </row>
    <row r="231" spans="1:11" ht="6.75" customHeight="1">
      <c r="A231" s="7"/>
      <c r="B231" s="1"/>
      <c r="C231" s="133"/>
      <c r="D231" s="26"/>
      <c r="E231" s="26"/>
      <c r="F231" s="26"/>
      <c r="G231" s="26"/>
      <c r="H231" s="5"/>
      <c r="I231" s="26"/>
      <c r="J231" s="11"/>
      <c r="K231" s="11"/>
    </row>
    <row r="232" spans="1:11" ht="6.75" customHeight="1">
      <c r="A232" s="7"/>
      <c r="B232" s="4"/>
      <c r="C232" s="133"/>
      <c r="D232" s="113"/>
      <c r="E232" s="26"/>
      <c r="F232" s="26"/>
      <c r="G232" s="26"/>
      <c r="H232" s="5"/>
      <c r="I232" s="26"/>
      <c r="J232" s="11"/>
      <c r="K232" s="11"/>
    </row>
    <row r="233" spans="1:11" ht="6.75" customHeight="1">
      <c r="A233" s="7"/>
      <c r="B233" s="1"/>
      <c r="C233" s="7"/>
      <c r="D233" s="11"/>
      <c r="E233" s="11"/>
      <c r="F233" s="11"/>
      <c r="G233" s="11"/>
      <c r="H233" s="5"/>
      <c r="I233" s="26"/>
      <c r="J233" s="11"/>
      <c r="K233" s="11"/>
    </row>
    <row r="234" spans="1:11" ht="6.75" customHeight="1">
      <c r="A234" s="7"/>
      <c r="B234" s="1"/>
      <c r="C234" s="7"/>
      <c r="D234" s="11"/>
      <c r="E234" s="11"/>
      <c r="F234" s="11"/>
      <c r="G234" s="11"/>
      <c r="H234" s="5"/>
      <c r="I234" s="26"/>
      <c r="J234" s="11"/>
      <c r="K234" s="11"/>
    </row>
    <row r="235" spans="1:11" ht="6.75" customHeight="1">
      <c r="A235" s="7"/>
      <c r="B235" s="1"/>
      <c r="C235" s="7"/>
      <c r="D235" s="11"/>
      <c r="E235" s="11"/>
      <c r="F235" s="11"/>
      <c r="G235" s="11"/>
      <c r="H235" s="5"/>
      <c r="I235" s="26"/>
      <c r="J235" s="11"/>
      <c r="K235" s="11"/>
    </row>
    <row r="236" spans="1:11" ht="6.75" customHeight="1">
      <c r="A236" s="7"/>
      <c r="B236" s="1"/>
      <c r="C236" s="7"/>
      <c r="D236" s="11"/>
      <c r="E236" s="11"/>
      <c r="F236" s="11"/>
      <c r="G236" s="11"/>
      <c r="H236" s="5"/>
      <c r="I236" s="26"/>
      <c r="J236" s="11"/>
      <c r="K236" s="11"/>
    </row>
    <row r="237" spans="1:11" ht="6.75" customHeight="1">
      <c r="A237" s="7"/>
      <c r="B237" s="6"/>
      <c r="C237" s="7"/>
      <c r="D237" s="11"/>
      <c r="E237" s="11"/>
      <c r="F237" s="11"/>
      <c r="G237" s="11"/>
      <c r="H237" s="5"/>
      <c r="I237" s="123"/>
      <c r="J237" s="11"/>
      <c r="K237" s="11"/>
    </row>
    <row r="238" spans="1:11">
      <c r="A238" s="7"/>
      <c r="B238" s="6"/>
      <c r="C238" s="7"/>
      <c r="D238" s="11"/>
      <c r="E238" s="11"/>
      <c r="F238" s="11"/>
      <c r="G238" s="11"/>
      <c r="H238" s="5"/>
      <c r="I238" s="123"/>
      <c r="J238" s="11"/>
      <c r="K238" s="11"/>
    </row>
    <row r="239" spans="1:11">
      <c r="A239" s="7"/>
      <c r="B239" s="13"/>
      <c r="C239" s="13"/>
      <c r="D239" s="11"/>
      <c r="E239" s="11"/>
      <c r="F239" s="11"/>
      <c r="G239" s="11"/>
      <c r="H239" s="13"/>
      <c r="I239" s="11"/>
      <c r="J239" s="13"/>
      <c r="K239" s="69" t="s">
        <v>269</v>
      </c>
    </row>
    <row r="240" spans="1:11">
      <c r="A240" s="7"/>
      <c r="B240" s="13"/>
      <c r="C240" s="13"/>
      <c r="D240" s="11"/>
      <c r="E240" s="11"/>
      <c r="F240" s="11"/>
      <c r="G240" s="11"/>
      <c r="H240" s="13"/>
      <c r="I240" s="11"/>
      <c r="J240" s="13"/>
      <c r="K240" s="11"/>
    </row>
    <row r="241" spans="1:11">
      <c r="A241" s="7"/>
      <c r="B241" s="6" t="s">
        <v>2</v>
      </c>
      <c r="C241" s="7"/>
      <c r="D241" s="12" t="s">
        <v>3</v>
      </c>
      <c r="E241" s="11"/>
      <c r="F241" s="11"/>
      <c r="G241" s="11"/>
      <c r="H241" s="5"/>
      <c r="I241" s="1"/>
      <c r="J241" s="4"/>
      <c r="K241" s="134" t="str">
        <f>K3</f>
        <v>For the 12 months ended 12/31/2020</v>
      </c>
    </row>
    <row r="242" spans="1:11">
      <c r="A242" s="7"/>
      <c r="B242" s="6"/>
      <c r="C242" s="7"/>
      <c r="D242" s="12" t="s">
        <v>4</v>
      </c>
      <c r="E242" s="11"/>
      <c r="F242" s="11"/>
      <c r="G242" s="11"/>
      <c r="H242" s="5"/>
      <c r="I242" s="135"/>
      <c r="J242" s="4"/>
      <c r="K242" s="11"/>
    </row>
    <row r="243" spans="1:11">
      <c r="A243" s="7"/>
      <c r="B243" s="6"/>
      <c r="C243" s="7"/>
      <c r="D243" s="12" t="str">
        <f>+D177</f>
        <v>GridLiance High Plains LLC</v>
      </c>
      <c r="E243" s="11"/>
      <c r="F243" s="11"/>
      <c r="G243" s="11"/>
      <c r="H243" s="5"/>
      <c r="I243" s="135"/>
      <c r="J243" s="4"/>
      <c r="K243" s="11"/>
    </row>
    <row r="244" spans="1:11">
      <c r="A244" s="70"/>
      <c r="B244" s="70"/>
      <c r="C244" s="70"/>
      <c r="D244" s="70"/>
      <c r="E244" s="70"/>
      <c r="F244" s="70"/>
      <c r="G244" s="70"/>
      <c r="H244" s="70"/>
      <c r="I244" s="70"/>
      <c r="J244" s="70"/>
      <c r="K244" s="70"/>
    </row>
    <row r="245" spans="1:11">
      <c r="A245" s="7"/>
      <c r="B245" s="6"/>
      <c r="C245" s="7"/>
      <c r="D245" s="11"/>
      <c r="E245" s="11"/>
      <c r="F245" s="11"/>
      <c r="G245" s="11"/>
      <c r="H245" s="5"/>
      <c r="I245" s="135"/>
      <c r="J245" s="4"/>
      <c r="K245" s="11"/>
    </row>
    <row r="246" spans="1:11">
      <c r="A246" s="7"/>
      <c r="B246" s="5" t="s">
        <v>270</v>
      </c>
      <c r="C246" s="7"/>
      <c r="D246" s="11"/>
      <c r="E246" s="11"/>
      <c r="F246" s="11"/>
      <c r="G246" s="11"/>
      <c r="H246" s="5"/>
      <c r="I246" s="11"/>
      <c r="J246" s="5"/>
      <c r="K246" s="11"/>
    </row>
    <row r="247" spans="1:11">
      <c r="A247" s="7"/>
      <c r="B247" s="136" t="s">
        <v>271</v>
      </c>
      <c r="C247" s="7"/>
      <c r="D247" s="11"/>
      <c r="E247" s="11"/>
      <c r="F247" s="11"/>
      <c r="G247" s="11"/>
      <c r="H247" s="5"/>
      <c r="I247" s="11"/>
      <c r="J247" s="5"/>
      <c r="K247" s="11"/>
    </row>
    <row r="248" spans="1:11">
      <c r="A248" s="7" t="s">
        <v>272</v>
      </c>
      <c r="B248" s="5"/>
      <c r="C248" s="5"/>
      <c r="D248" s="11"/>
      <c r="E248" s="11"/>
      <c r="F248" s="11"/>
      <c r="G248" s="11"/>
      <c r="H248" s="5"/>
      <c r="I248" s="11"/>
      <c r="J248" s="5"/>
      <c r="K248" s="11"/>
    </row>
    <row r="249" spans="1:11" ht="15.75" thickBot="1">
      <c r="A249" s="19" t="s">
        <v>273</v>
      </c>
      <c r="B249" s="137"/>
      <c r="C249" s="137"/>
      <c r="D249" s="138"/>
      <c r="E249" s="138"/>
      <c r="F249" s="138"/>
      <c r="G249" s="138"/>
      <c r="H249" s="139"/>
      <c r="I249" s="138"/>
      <c r="J249" s="139"/>
      <c r="K249" s="138"/>
    </row>
    <row r="250" spans="1:11">
      <c r="A250" s="139" t="s">
        <v>274</v>
      </c>
      <c r="B250" s="140" t="s">
        <v>275</v>
      </c>
      <c r="C250" s="140"/>
      <c r="D250" s="140"/>
      <c r="E250" s="140"/>
      <c r="F250" s="140"/>
      <c r="G250" s="140"/>
      <c r="H250" s="140"/>
      <c r="I250" s="140"/>
      <c r="J250" s="140"/>
      <c r="K250" s="140"/>
    </row>
    <row r="251" spans="1:11" ht="29.25" customHeight="1">
      <c r="A251" s="139" t="s">
        <v>276</v>
      </c>
      <c r="B251" s="140" t="s">
        <v>277</v>
      </c>
      <c r="C251" s="140"/>
      <c r="D251" s="140"/>
      <c r="E251" s="140"/>
      <c r="F251" s="140"/>
      <c r="G251" s="140"/>
      <c r="H251" s="140"/>
      <c r="I251" s="140"/>
      <c r="J251" s="140"/>
      <c r="K251" s="140"/>
    </row>
    <row r="252" spans="1:11">
      <c r="A252" s="139" t="s">
        <v>278</v>
      </c>
      <c r="B252" s="140" t="s">
        <v>279</v>
      </c>
      <c r="C252" s="140"/>
      <c r="D252" s="140"/>
      <c r="E252" s="140"/>
      <c r="F252" s="140"/>
      <c r="G252" s="140"/>
      <c r="H252" s="140"/>
      <c r="I252" s="140"/>
      <c r="J252" s="140"/>
      <c r="K252" s="140"/>
    </row>
    <row r="253" spans="1:11" ht="29.25" customHeight="1">
      <c r="A253" s="139" t="s">
        <v>280</v>
      </c>
      <c r="B253" s="140" t="s">
        <v>281</v>
      </c>
      <c r="C253" s="140"/>
      <c r="D253" s="140"/>
      <c r="E253" s="140"/>
      <c r="F253" s="140"/>
      <c r="G253" s="140"/>
      <c r="H253" s="140"/>
      <c r="I253" s="140"/>
      <c r="J253" s="140"/>
      <c r="K253" s="140"/>
    </row>
    <row r="254" spans="1:11" ht="29.25" customHeight="1">
      <c r="A254" s="139" t="s">
        <v>282</v>
      </c>
      <c r="B254" s="140" t="s">
        <v>283</v>
      </c>
      <c r="C254" s="140"/>
      <c r="D254" s="140"/>
      <c r="E254" s="140"/>
      <c r="F254" s="140"/>
      <c r="G254" s="140"/>
      <c r="H254" s="140"/>
      <c r="I254" s="140"/>
      <c r="J254" s="140"/>
      <c r="K254" s="140"/>
    </row>
    <row r="255" spans="1:11" ht="30" customHeight="1">
      <c r="A255" s="139" t="s">
        <v>284</v>
      </c>
      <c r="B255" s="140" t="s">
        <v>285</v>
      </c>
      <c r="C255" s="140"/>
      <c r="D255" s="140"/>
      <c r="E255" s="140"/>
      <c r="F255" s="140"/>
      <c r="G255" s="140"/>
      <c r="H255" s="140"/>
      <c r="I255" s="140"/>
      <c r="J255" s="140"/>
      <c r="K255" s="140"/>
    </row>
    <row r="256" spans="1:11" ht="45.75" customHeight="1">
      <c r="A256" s="140" t="s">
        <v>286</v>
      </c>
      <c r="B256" s="140" t="s">
        <v>287</v>
      </c>
      <c r="C256" s="140"/>
      <c r="D256" s="140"/>
      <c r="E256" s="140"/>
      <c r="F256" s="140"/>
      <c r="G256" s="140"/>
      <c r="H256" s="140"/>
      <c r="I256" s="140"/>
      <c r="J256" s="140"/>
      <c r="K256" s="140"/>
    </row>
    <row r="257" spans="1:11">
      <c r="A257" s="140"/>
      <c r="B257" s="141" t="s">
        <v>288</v>
      </c>
      <c r="C257" s="141" t="s">
        <v>289</v>
      </c>
      <c r="D257" s="142" t="s">
        <v>290</v>
      </c>
      <c r="E257" s="141" t="s">
        <v>291</v>
      </c>
      <c r="F257" s="141"/>
      <c r="G257" s="141"/>
      <c r="H257" s="141"/>
      <c r="I257" s="141"/>
      <c r="J257" s="141"/>
      <c r="K257" s="141"/>
    </row>
    <row r="258" spans="1:11">
      <c r="A258" s="140"/>
      <c r="B258" s="141"/>
      <c r="C258" s="141" t="s">
        <v>292</v>
      </c>
      <c r="D258" s="142" t="s">
        <v>290</v>
      </c>
      <c r="E258" s="141" t="s">
        <v>293</v>
      </c>
      <c r="F258" s="141"/>
      <c r="G258" s="141"/>
      <c r="H258" s="141"/>
      <c r="I258" s="141"/>
      <c r="J258" s="141"/>
      <c r="K258" s="141"/>
    </row>
    <row r="259" spans="1:11">
      <c r="A259" s="140"/>
      <c r="B259" s="141"/>
      <c r="C259" s="141" t="s">
        <v>294</v>
      </c>
      <c r="D259" s="142" t="s">
        <v>290</v>
      </c>
      <c r="E259" s="141" t="s">
        <v>295</v>
      </c>
      <c r="F259" s="141"/>
      <c r="G259" s="141"/>
      <c r="H259" s="141"/>
      <c r="I259" s="141"/>
      <c r="J259" s="141"/>
      <c r="K259" s="141"/>
    </row>
    <row r="260" spans="1:11">
      <c r="A260" s="140"/>
      <c r="B260" s="141"/>
      <c r="C260" s="141"/>
      <c r="D260" s="143"/>
      <c r="E260" s="141"/>
      <c r="F260" s="141"/>
      <c r="G260" s="141"/>
      <c r="H260" s="141"/>
      <c r="I260" s="141"/>
      <c r="J260" s="141"/>
      <c r="K260" s="141"/>
    </row>
    <row r="261" spans="1:11" ht="19.5" customHeight="1">
      <c r="A261" s="139" t="s">
        <v>296</v>
      </c>
      <c r="B261" s="140" t="s">
        <v>297</v>
      </c>
      <c r="C261" s="140"/>
      <c r="D261" s="140"/>
      <c r="E261" s="140"/>
      <c r="F261" s="140"/>
      <c r="G261" s="140"/>
      <c r="H261" s="140"/>
      <c r="I261" s="140"/>
      <c r="J261" s="140"/>
      <c r="K261" s="140"/>
    </row>
    <row r="262" spans="1:11" ht="31.5" customHeight="1">
      <c r="A262" s="139" t="s">
        <v>298</v>
      </c>
      <c r="B262" s="140" t="s">
        <v>299</v>
      </c>
      <c r="C262" s="140"/>
      <c r="D262" s="140"/>
      <c r="E262" s="140"/>
      <c r="F262" s="140"/>
      <c r="G262" s="140"/>
      <c r="H262" s="140"/>
      <c r="I262" s="140"/>
      <c r="J262" s="140"/>
      <c r="K262" s="140"/>
    </row>
    <row r="263" spans="1:11">
      <c r="A263" s="139" t="s">
        <v>300</v>
      </c>
      <c r="B263" s="140" t="s">
        <v>301</v>
      </c>
      <c r="C263" s="140"/>
      <c r="D263" s="140"/>
      <c r="E263" s="140"/>
      <c r="F263" s="140"/>
      <c r="G263" s="140"/>
      <c r="H263" s="140"/>
      <c r="I263" s="140"/>
      <c r="J263" s="140"/>
      <c r="K263" s="140"/>
    </row>
    <row r="264" spans="1:11" ht="21" customHeight="1">
      <c r="A264" s="139" t="s">
        <v>302</v>
      </c>
      <c r="B264" s="140" t="s">
        <v>303</v>
      </c>
      <c r="C264" s="140"/>
      <c r="D264" s="140"/>
      <c r="E264" s="140"/>
      <c r="F264" s="140"/>
      <c r="G264" s="140"/>
      <c r="H264" s="140"/>
      <c r="I264" s="140"/>
      <c r="J264" s="140"/>
      <c r="K264" s="140"/>
    </row>
    <row r="265" spans="1:11">
      <c r="A265" s="139" t="s">
        <v>304</v>
      </c>
      <c r="B265" s="140" t="s">
        <v>305</v>
      </c>
      <c r="C265" s="140"/>
      <c r="D265" s="140"/>
      <c r="E265" s="140"/>
      <c r="F265" s="140"/>
      <c r="G265" s="140"/>
      <c r="H265" s="140"/>
      <c r="I265" s="140"/>
      <c r="J265" s="140"/>
      <c r="K265" s="140"/>
    </row>
    <row r="266" spans="1:11">
      <c r="A266" s="139" t="s">
        <v>306</v>
      </c>
      <c r="B266" s="140" t="s">
        <v>307</v>
      </c>
      <c r="C266" s="140"/>
      <c r="D266" s="140"/>
      <c r="E266" s="140"/>
      <c r="F266" s="140"/>
      <c r="G266" s="140"/>
      <c r="H266" s="140"/>
      <c r="I266" s="140"/>
      <c r="J266" s="140"/>
      <c r="K266" s="140"/>
    </row>
    <row r="267" spans="1:11">
      <c r="A267" s="139" t="s">
        <v>308</v>
      </c>
      <c r="B267" s="140" t="s">
        <v>309</v>
      </c>
      <c r="C267" s="140"/>
      <c r="D267" s="140"/>
      <c r="E267" s="140"/>
      <c r="F267" s="140"/>
      <c r="G267" s="140"/>
      <c r="H267" s="140"/>
      <c r="I267" s="140"/>
      <c r="J267" s="140"/>
      <c r="K267" s="140"/>
    </row>
    <row r="268" spans="1:11" ht="33.75" customHeight="1">
      <c r="A268" s="139" t="s">
        <v>310</v>
      </c>
      <c r="B268" s="144" t="s">
        <v>311</v>
      </c>
      <c r="C268" s="145"/>
      <c r="D268" s="145"/>
      <c r="E268" s="145"/>
      <c r="F268" s="145"/>
      <c r="G268" s="145"/>
      <c r="H268" s="145"/>
      <c r="I268" s="145"/>
      <c r="J268" s="145"/>
      <c r="K268" s="145"/>
    </row>
    <row r="269" spans="1:11">
      <c r="A269" s="146" t="s">
        <v>312</v>
      </c>
      <c r="B269" s="147" t="s">
        <v>275</v>
      </c>
      <c r="C269" s="148"/>
      <c r="D269" s="148"/>
      <c r="E269" s="148"/>
      <c r="F269" s="148"/>
      <c r="G269" s="148"/>
      <c r="H269" s="148"/>
      <c r="I269" s="148"/>
      <c r="J269" s="148"/>
      <c r="K269" s="148"/>
    </row>
    <row r="270" spans="1:11" ht="44.25" customHeight="1">
      <c r="A270" s="149" t="s">
        <v>313</v>
      </c>
      <c r="B270" s="150" t="s">
        <v>314</v>
      </c>
      <c r="C270" s="150"/>
      <c r="D270" s="150"/>
      <c r="E270" s="150"/>
      <c r="F270" s="150"/>
      <c r="G270" s="150"/>
      <c r="H270" s="150"/>
      <c r="I270" s="150"/>
      <c r="J270" s="150"/>
      <c r="K270" s="150"/>
    </row>
    <row r="271" spans="1:11" ht="31.15" customHeight="1">
      <c r="A271" s="149" t="s">
        <v>315</v>
      </c>
      <c r="B271" s="151" t="s">
        <v>316</v>
      </c>
      <c r="C271" s="151"/>
      <c r="D271" s="151"/>
      <c r="E271" s="151"/>
      <c r="F271" s="151"/>
      <c r="G271" s="151"/>
      <c r="H271" s="151"/>
      <c r="I271" s="151"/>
      <c r="J271" s="151"/>
      <c r="K271" s="151"/>
    </row>
    <row r="272" spans="1:11" ht="18.75" customHeight="1">
      <c r="A272" s="149" t="s">
        <v>317</v>
      </c>
      <c r="B272" s="152" t="s">
        <v>318</v>
      </c>
      <c r="C272" s="152"/>
      <c r="D272" s="152"/>
      <c r="E272" s="152"/>
      <c r="F272" s="152"/>
      <c r="G272" s="152"/>
      <c r="H272" s="152"/>
      <c r="I272" s="152"/>
      <c r="J272" s="152"/>
      <c r="K272" s="152"/>
    </row>
    <row r="273" spans="1:35" s="73" customFormat="1" ht="28.5" customHeight="1">
      <c r="A273" s="149" t="s">
        <v>319</v>
      </c>
      <c r="B273" s="153" t="s">
        <v>320</v>
      </c>
      <c r="C273" s="153"/>
      <c r="D273" s="153"/>
      <c r="E273" s="153"/>
      <c r="F273" s="153"/>
      <c r="G273" s="153"/>
      <c r="H273" s="153"/>
      <c r="I273" s="153"/>
      <c r="J273" s="153"/>
      <c r="K273" s="153"/>
      <c r="M273"/>
      <c r="N273"/>
      <c r="O273"/>
      <c r="P273"/>
      <c r="Q273"/>
      <c r="R273"/>
      <c r="S273"/>
      <c r="T273"/>
      <c r="U273"/>
      <c r="V273"/>
      <c r="W273"/>
      <c r="X273"/>
      <c r="Y273"/>
      <c r="Z273"/>
      <c r="AA273"/>
      <c r="AB273"/>
      <c r="AC273"/>
      <c r="AD273"/>
      <c r="AE273"/>
      <c r="AF273"/>
      <c r="AG273"/>
      <c r="AH273"/>
      <c r="AI273"/>
    </row>
    <row r="274" spans="1:35" s="73" customFormat="1">
      <c r="A274" s="149" t="s">
        <v>321</v>
      </c>
      <c r="B274" s="154" t="s">
        <v>322</v>
      </c>
      <c r="C274" s="154"/>
      <c r="D274" s="154"/>
      <c r="E274" s="154"/>
      <c r="F274" s="154"/>
      <c r="G274" s="154"/>
      <c r="H274" s="141"/>
      <c r="I274" s="155"/>
      <c r="J274" s="156"/>
      <c r="K274" s="156"/>
      <c r="M274"/>
      <c r="N274"/>
      <c r="O274"/>
      <c r="P274"/>
      <c r="Q274"/>
      <c r="R274"/>
      <c r="S274"/>
      <c r="T274"/>
      <c r="U274"/>
      <c r="V274"/>
      <c r="W274"/>
      <c r="X274"/>
      <c r="Y274"/>
      <c r="Z274"/>
      <c r="AA274"/>
      <c r="AB274"/>
      <c r="AC274"/>
      <c r="AD274"/>
      <c r="AE274"/>
      <c r="AF274"/>
      <c r="AG274"/>
      <c r="AH274"/>
      <c r="AI274"/>
    </row>
    <row r="275" spans="1:35" s="73" customFormat="1">
      <c r="A275" s="157" t="s">
        <v>323</v>
      </c>
      <c r="B275" s="157" t="s">
        <v>324</v>
      </c>
      <c r="C275" s="157"/>
      <c r="D275" s="157"/>
      <c r="E275" s="157"/>
      <c r="F275" s="157"/>
      <c r="G275" s="157"/>
      <c r="H275" s="157"/>
      <c r="I275" s="157"/>
      <c r="J275" s="157"/>
      <c r="K275" s="157"/>
      <c r="M275"/>
      <c r="N275"/>
      <c r="O275"/>
      <c r="P275"/>
      <c r="Q275"/>
      <c r="R275"/>
      <c r="S275"/>
      <c r="T275"/>
      <c r="U275"/>
      <c r="V275"/>
      <c r="W275"/>
      <c r="X275"/>
      <c r="Y275"/>
      <c r="Z275"/>
      <c r="AA275"/>
      <c r="AB275"/>
      <c r="AC275"/>
      <c r="AD275"/>
      <c r="AE275"/>
      <c r="AF275"/>
      <c r="AG275"/>
      <c r="AH275"/>
      <c r="AI275"/>
    </row>
    <row r="276" spans="1:35">
      <c r="A276" s="3" t="s">
        <v>325</v>
      </c>
      <c r="B276" s="3" t="s">
        <v>326</v>
      </c>
    </row>
    <row r="277" spans="1:35" ht="15.75">
      <c r="A277" s="158" t="s">
        <v>327</v>
      </c>
      <c r="B277" s="3" t="s">
        <v>328</v>
      </c>
    </row>
  </sheetData>
  <mergeCells count="26">
    <mergeCell ref="B273:K273"/>
    <mergeCell ref="B267:K267"/>
    <mergeCell ref="B268:K268"/>
    <mergeCell ref="B269:K269"/>
    <mergeCell ref="B270:K270"/>
    <mergeCell ref="B271:K271"/>
    <mergeCell ref="B272:K272"/>
    <mergeCell ref="B261:K261"/>
    <mergeCell ref="B262:K262"/>
    <mergeCell ref="B263:K263"/>
    <mergeCell ref="B264:K264"/>
    <mergeCell ref="B265:K265"/>
    <mergeCell ref="B266:K266"/>
    <mergeCell ref="B251:K251"/>
    <mergeCell ref="B252:K252"/>
    <mergeCell ref="B253:K253"/>
    <mergeCell ref="B254:K254"/>
    <mergeCell ref="B255:K255"/>
    <mergeCell ref="A256:A260"/>
    <mergeCell ref="B256:K256"/>
    <mergeCell ref="A57:K57"/>
    <mergeCell ref="A114:K114"/>
    <mergeCell ref="A178:K178"/>
    <mergeCell ref="A244:K244"/>
    <mergeCell ref="B249:C249"/>
    <mergeCell ref="B250:K250"/>
  </mergeCells>
  <pageMargins left="0.25" right="0.25" top="0.7" bottom="0.6" header="0.3" footer="0.3"/>
  <pageSetup scale="59" fitToHeight="0" orientation="landscape" r:id="rId1"/>
  <rowBreaks count="4" manualBreakCount="4">
    <brk id="51" max="10" man="1"/>
    <brk id="108" max="16383" man="1"/>
    <brk id="170" max="10" man="1"/>
    <brk id="230"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A6735-AC29-4D2B-B0F9-85423B54B7EE}">
  <sheetPr>
    <tabColor rgb="FF92D050"/>
  </sheetPr>
  <dimension ref="A1:H88"/>
  <sheetViews>
    <sheetView workbookViewId="0">
      <selection activeCell="A39" sqref="A39:G39"/>
    </sheetView>
  </sheetViews>
  <sheetFormatPr defaultRowHeight="15"/>
  <cols>
    <col min="1" max="1" width="6.44140625" customWidth="1"/>
    <col min="2" max="2" width="51.44140625" customWidth="1"/>
    <col min="3" max="3" width="22.109375" customWidth="1"/>
    <col min="4" max="4" width="16.33203125" customWidth="1"/>
    <col min="5" max="5" width="11.88671875" customWidth="1"/>
    <col min="6" max="6" width="13.88671875" customWidth="1"/>
    <col min="7" max="7" width="13.109375" customWidth="1"/>
    <col min="8" max="8" width="77.6640625" customWidth="1"/>
  </cols>
  <sheetData>
    <row r="1" spans="1:8">
      <c r="A1" s="367"/>
      <c r="B1" s="522" t="s">
        <v>834</v>
      </c>
      <c r="C1" s="522"/>
      <c r="D1" s="522"/>
      <c r="E1" s="522"/>
      <c r="F1" s="522"/>
      <c r="G1" s="522"/>
      <c r="H1" s="522"/>
    </row>
    <row r="2" spans="1:8">
      <c r="A2" s="367"/>
      <c r="B2" s="525"/>
      <c r="C2" s="525"/>
      <c r="D2" s="525"/>
      <c r="E2" s="525" t="s">
        <v>835</v>
      </c>
      <c r="F2" s="525"/>
      <c r="G2" s="525"/>
      <c r="H2" s="525"/>
    </row>
    <row r="3" spans="1:8">
      <c r="A3" s="367"/>
      <c r="B3" s="522" t="str">
        <f>'4b - ADIT Projection Proration'!A3</f>
        <v>For the 12 months ended 12/31/2020</v>
      </c>
      <c r="C3" s="522"/>
      <c r="D3" s="522"/>
      <c r="E3" s="522"/>
      <c r="F3" s="522"/>
      <c r="G3" s="522"/>
      <c r="H3" s="522"/>
    </row>
    <row r="4" spans="1:8">
      <c r="A4" s="367"/>
      <c r="B4" s="523"/>
      <c r="C4" s="522"/>
      <c r="D4" s="522"/>
      <c r="E4" s="522"/>
      <c r="F4" s="522"/>
      <c r="G4" s="522"/>
      <c r="H4" s="524"/>
    </row>
    <row r="5" spans="1:8">
      <c r="A5" s="367"/>
      <c r="B5" s="526"/>
      <c r="C5" s="526"/>
      <c r="D5" s="526"/>
      <c r="E5" s="526"/>
      <c r="F5" s="526"/>
      <c r="G5" s="526"/>
      <c r="H5" s="526"/>
    </row>
    <row r="6" spans="1:8">
      <c r="A6" s="367"/>
      <c r="B6" s="530"/>
      <c r="C6" s="526"/>
      <c r="D6" s="525"/>
      <c r="E6" s="525"/>
      <c r="F6" s="526"/>
      <c r="G6" s="525"/>
      <c r="H6" s="526"/>
    </row>
    <row r="7" spans="1:8">
      <c r="A7" s="367"/>
      <c r="B7" s="530"/>
      <c r="C7" s="526"/>
      <c r="D7" s="526"/>
      <c r="E7" s="526"/>
      <c r="F7" s="526"/>
      <c r="G7" s="526"/>
      <c r="H7" s="526"/>
    </row>
    <row r="8" spans="1:8" ht="25.5">
      <c r="A8" s="557" t="s">
        <v>387</v>
      </c>
      <c r="B8" s="558" t="s">
        <v>836</v>
      </c>
      <c r="C8" s="559"/>
      <c r="D8" s="559"/>
      <c r="E8" s="560" t="s">
        <v>784</v>
      </c>
      <c r="F8" s="560" t="s">
        <v>785</v>
      </c>
      <c r="G8" s="558" t="s">
        <v>786</v>
      </c>
      <c r="H8" s="559"/>
    </row>
    <row r="9" spans="1:8">
      <c r="A9" s="367"/>
      <c r="B9" s="531"/>
      <c r="C9" s="526"/>
      <c r="D9" s="526"/>
      <c r="E9" s="526"/>
      <c r="F9" s="526"/>
      <c r="G9" s="526"/>
      <c r="H9" s="526"/>
    </row>
    <row r="10" spans="1:8">
      <c r="A10" s="367">
        <v>1</v>
      </c>
      <c r="B10" s="526" t="s">
        <v>788</v>
      </c>
      <c r="C10" s="526"/>
      <c r="D10" s="526"/>
      <c r="E10" s="26">
        <f>+E55</f>
        <v>-2411206.2085722177</v>
      </c>
      <c r="F10" s="26">
        <f>+F55</f>
        <v>0</v>
      </c>
      <c r="G10" s="26">
        <f>+G55</f>
        <v>0</v>
      </c>
      <c r="H10" s="526" t="s">
        <v>837</v>
      </c>
    </row>
    <row r="11" spans="1:8">
      <c r="A11" s="367">
        <f>+A10+1</f>
        <v>2</v>
      </c>
      <c r="B11" s="526" t="s">
        <v>800</v>
      </c>
      <c r="C11" s="526"/>
      <c r="D11" s="526"/>
      <c r="E11" s="26">
        <f>+E79</f>
        <v>0</v>
      </c>
      <c r="F11" s="26">
        <f>+F79</f>
        <v>0</v>
      </c>
      <c r="G11" s="26">
        <f>+G79</f>
        <v>0</v>
      </c>
      <c r="H11" s="526" t="s">
        <v>838</v>
      </c>
    </row>
    <row r="12" spans="1:8">
      <c r="A12" s="367">
        <f t="shared" ref="A12:A13" si="0">+A11+1</f>
        <v>3</v>
      </c>
      <c r="B12" s="526" t="s">
        <v>805</v>
      </c>
      <c r="C12" s="526"/>
      <c r="D12" s="526"/>
      <c r="E12" s="26">
        <f>E33</f>
        <v>0</v>
      </c>
      <c r="F12" s="26">
        <f>F33</f>
        <v>0</v>
      </c>
      <c r="G12" s="26">
        <f>G33</f>
        <v>0</v>
      </c>
      <c r="H12" s="526" t="s">
        <v>839</v>
      </c>
    </row>
    <row r="13" spans="1:8">
      <c r="A13" s="367">
        <f t="shared" si="0"/>
        <v>4</v>
      </c>
      <c r="B13" s="526" t="s">
        <v>840</v>
      </c>
      <c r="C13" s="526"/>
      <c r="D13" s="526"/>
      <c r="E13" s="26">
        <f>SUM(E10:E12)</f>
        <v>-2411206.2085722177</v>
      </c>
      <c r="F13" s="26">
        <f>SUM(F10:F12)</f>
        <v>0</v>
      </c>
      <c r="G13" s="26">
        <f>SUM(G10:G12)</f>
        <v>0</v>
      </c>
      <c r="H13" s="561" t="s">
        <v>841</v>
      </c>
    </row>
    <row r="14" spans="1:8">
      <c r="A14" s="367"/>
      <c r="B14" s="526"/>
      <c r="C14" s="526"/>
      <c r="D14" s="561"/>
      <c r="E14" s="526"/>
      <c r="F14" s="526"/>
      <c r="G14" s="526"/>
      <c r="H14" s="26"/>
    </row>
    <row r="15" spans="1:8">
      <c r="A15" s="367"/>
      <c r="B15" s="526"/>
      <c r="C15" s="526"/>
      <c r="D15" s="526"/>
      <c r="E15" s="526"/>
      <c r="F15" s="526"/>
      <c r="G15" s="526"/>
      <c r="H15" s="533"/>
    </row>
    <row r="16" spans="1:8">
      <c r="A16" s="367"/>
      <c r="B16" s="562" t="s">
        <v>842</v>
      </c>
      <c r="C16" s="562"/>
      <c r="D16" s="562"/>
      <c r="E16" s="562"/>
      <c r="F16" s="562"/>
      <c r="G16" s="562"/>
      <c r="H16" s="562"/>
    </row>
    <row r="17" spans="1:8">
      <c r="A17" s="367"/>
      <c r="B17" s="530"/>
      <c r="C17" s="526"/>
      <c r="D17" s="525"/>
      <c r="E17" s="525"/>
      <c r="F17" s="525"/>
      <c r="G17" s="525"/>
      <c r="H17" s="526"/>
    </row>
    <row r="18" spans="1:8">
      <c r="A18" s="367"/>
      <c r="B18" s="525" t="s">
        <v>431</v>
      </c>
      <c r="C18" s="525" t="s">
        <v>433</v>
      </c>
      <c r="D18" s="525" t="s">
        <v>278</v>
      </c>
      <c r="E18" s="525" t="s">
        <v>280</v>
      </c>
      <c r="F18" s="525" t="s">
        <v>282</v>
      </c>
      <c r="G18" s="525" t="s">
        <v>284</v>
      </c>
      <c r="H18" s="525" t="s">
        <v>286</v>
      </c>
    </row>
    <row r="19" spans="1:8" ht="25.5">
      <c r="A19" s="367"/>
      <c r="B19" s="530" t="s">
        <v>805</v>
      </c>
      <c r="C19" s="563" t="s">
        <v>20</v>
      </c>
      <c r="D19" s="563" t="s">
        <v>843</v>
      </c>
      <c r="E19" s="563" t="s">
        <v>784</v>
      </c>
      <c r="F19" s="563" t="s">
        <v>785</v>
      </c>
      <c r="G19" s="563" t="s">
        <v>786</v>
      </c>
      <c r="H19" s="563" t="s">
        <v>844</v>
      </c>
    </row>
    <row r="20" spans="1:8">
      <c r="A20" s="367">
        <f>+A13+1</f>
        <v>5</v>
      </c>
      <c r="B20" s="564"/>
      <c r="C20" s="565"/>
      <c r="D20" s="566"/>
      <c r="E20" s="566"/>
      <c r="F20" s="566"/>
      <c r="G20" s="566"/>
      <c r="H20" s="567"/>
    </row>
    <row r="21" spans="1:8">
      <c r="A21" s="367">
        <f>+A20+1</f>
        <v>6</v>
      </c>
      <c r="B21" s="568"/>
      <c r="C21" s="565"/>
      <c r="D21" s="566"/>
      <c r="E21" s="566"/>
      <c r="F21" s="566"/>
      <c r="G21" s="566"/>
      <c r="H21" s="567"/>
    </row>
    <row r="22" spans="1:8">
      <c r="A22" s="367">
        <f t="shared" ref="A22:A33" si="1">+A21+1</f>
        <v>7</v>
      </c>
      <c r="B22" s="568"/>
      <c r="C22" s="565"/>
      <c r="D22" s="566"/>
      <c r="E22" s="566"/>
      <c r="F22" s="566"/>
      <c r="G22" s="566"/>
      <c r="H22" s="567"/>
    </row>
    <row r="23" spans="1:8">
      <c r="A23" s="367">
        <f t="shared" si="1"/>
        <v>8</v>
      </c>
      <c r="B23" s="568"/>
      <c r="C23" s="565"/>
      <c r="D23" s="566"/>
      <c r="E23" s="566"/>
      <c r="F23" s="566"/>
      <c r="G23" s="566"/>
      <c r="H23" s="567"/>
    </row>
    <row r="24" spans="1:8">
      <c r="A24" s="367">
        <f t="shared" si="1"/>
        <v>9</v>
      </c>
      <c r="B24" s="568"/>
      <c r="C24" s="565"/>
      <c r="D24" s="566"/>
      <c r="E24" s="566"/>
      <c r="F24" s="566"/>
      <c r="G24" s="566"/>
      <c r="H24" s="567"/>
    </row>
    <row r="25" spans="1:8">
      <c r="A25" s="367">
        <f t="shared" si="1"/>
        <v>10</v>
      </c>
      <c r="B25" s="568"/>
      <c r="C25" s="565"/>
      <c r="D25" s="566"/>
      <c r="E25" s="566"/>
      <c r="F25" s="566"/>
      <c r="G25" s="566"/>
      <c r="H25" s="567"/>
    </row>
    <row r="26" spans="1:8">
      <c r="A26" s="367">
        <f t="shared" si="1"/>
        <v>11</v>
      </c>
      <c r="B26" s="568"/>
      <c r="C26" s="565"/>
      <c r="D26" s="566"/>
      <c r="E26" s="566"/>
      <c r="F26" s="566"/>
      <c r="G26" s="566"/>
      <c r="H26" s="567"/>
    </row>
    <row r="27" spans="1:8">
      <c r="A27" s="367">
        <f t="shared" si="1"/>
        <v>12</v>
      </c>
      <c r="B27" s="568"/>
      <c r="C27" s="565"/>
      <c r="D27" s="569"/>
      <c r="E27" s="566"/>
      <c r="F27" s="566"/>
      <c r="G27" s="566"/>
      <c r="H27" s="567"/>
    </row>
    <row r="28" spans="1:8">
      <c r="A28" s="367">
        <f t="shared" si="1"/>
        <v>13</v>
      </c>
      <c r="B28" s="568"/>
      <c r="C28" s="565"/>
      <c r="D28" s="566"/>
      <c r="E28" s="566"/>
      <c r="F28" s="566"/>
      <c r="G28" s="566"/>
      <c r="H28" s="567"/>
    </row>
    <row r="29" spans="1:8">
      <c r="A29" s="367">
        <f t="shared" si="1"/>
        <v>14</v>
      </c>
      <c r="B29" s="570" t="s">
        <v>20</v>
      </c>
      <c r="C29" s="571"/>
      <c r="D29" s="571"/>
      <c r="E29" s="571"/>
      <c r="F29" s="571"/>
      <c r="G29" s="571"/>
      <c r="H29" s="572" t="s">
        <v>845</v>
      </c>
    </row>
    <row r="30" spans="1:8">
      <c r="A30" s="367">
        <f t="shared" si="1"/>
        <v>15</v>
      </c>
      <c r="B30" s="573" t="s">
        <v>846</v>
      </c>
      <c r="C30" s="574">
        <f>SUBTOTAL(9,C20:C29)</f>
        <v>0</v>
      </c>
      <c r="D30" s="574">
        <f>SUM(D20:D29)</f>
        <v>0</v>
      </c>
      <c r="E30" s="574">
        <f>SUM(E20:E29)</f>
        <v>0</v>
      </c>
      <c r="F30" s="574">
        <f>SUM(F20:F29)</f>
        <v>0</v>
      </c>
      <c r="G30" s="574">
        <f>SUM(G20:G29)</f>
        <v>0</v>
      </c>
      <c r="H30" s="575"/>
    </row>
    <row r="31" spans="1:8">
      <c r="A31" s="367">
        <f t="shared" si="1"/>
        <v>16</v>
      </c>
      <c r="B31" s="576" t="s">
        <v>847</v>
      </c>
      <c r="C31" s="577"/>
      <c r="D31" s="577"/>
      <c r="E31" s="577"/>
      <c r="F31" s="578"/>
      <c r="G31" s="579"/>
      <c r="H31" s="567"/>
    </row>
    <row r="32" spans="1:8">
      <c r="A32" s="367">
        <f t="shared" si="1"/>
        <v>17</v>
      </c>
      <c r="B32" s="580" t="s">
        <v>848</v>
      </c>
      <c r="C32" s="581"/>
      <c r="D32" s="581"/>
      <c r="E32" s="581"/>
      <c r="F32" s="581"/>
      <c r="G32" s="581"/>
      <c r="H32" s="582"/>
    </row>
    <row r="33" spans="1:8" ht="15.75" thickBot="1">
      <c r="A33" s="367">
        <f t="shared" si="1"/>
        <v>18</v>
      </c>
      <c r="B33" s="583" t="s">
        <v>20</v>
      </c>
      <c r="C33" s="584">
        <f>+C30-C31-C32</f>
        <v>0</v>
      </c>
      <c r="D33" s="584">
        <f>+D30-D31-D32</f>
        <v>0</v>
      </c>
      <c r="E33" s="584">
        <f>+E30-E31-E32</f>
        <v>0</v>
      </c>
      <c r="F33" s="584">
        <f>+F30-F31-F32</f>
        <v>0</v>
      </c>
      <c r="G33" s="584">
        <f>+G30-G31-G32</f>
        <v>0</v>
      </c>
      <c r="H33" s="585"/>
    </row>
    <row r="34" spans="1:8" ht="15.75" thickTop="1">
      <c r="A34" s="367"/>
      <c r="B34" s="526" t="s">
        <v>849</v>
      </c>
      <c r="C34" s="561"/>
      <c r="D34" s="586"/>
      <c r="E34" s="525"/>
      <c r="F34" s="526"/>
      <c r="G34" s="587"/>
      <c r="H34" s="526"/>
    </row>
    <row r="35" spans="1:8">
      <c r="A35" s="367"/>
      <c r="B35" s="588" t="s">
        <v>850</v>
      </c>
      <c r="C35" s="588"/>
      <c r="D35" s="588"/>
      <c r="E35" s="588"/>
      <c r="F35" s="588"/>
      <c r="G35" s="588"/>
      <c r="H35" s="526"/>
    </row>
    <row r="36" spans="1:8">
      <c r="A36" s="367"/>
      <c r="B36" s="530" t="s">
        <v>851</v>
      </c>
      <c r="C36" s="526"/>
      <c r="D36" s="526"/>
      <c r="E36" s="526"/>
      <c r="F36" s="525"/>
      <c r="G36" s="525"/>
      <c r="H36" s="526"/>
    </row>
    <row r="37" spans="1:8">
      <c r="A37" s="367"/>
      <c r="B37" s="530" t="s">
        <v>852</v>
      </c>
      <c r="C37" s="526"/>
      <c r="D37" s="526"/>
      <c r="E37" s="526"/>
      <c r="F37" s="525"/>
      <c r="G37" s="525"/>
      <c r="H37" s="526"/>
    </row>
    <row r="38" spans="1:8">
      <c r="A38" s="367"/>
      <c r="B38" s="530" t="s">
        <v>853</v>
      </c>
      <c r="C38" s="526"/>
      <c r="D38" s="526"/>
      <c r="E38" s="526"/>
      <c r="F38" s="525"/>
      <c r="G38" s="525"/>
      <c r="H38" s="526"/>
    </row>
    <row r="39" spans="1:8" ht="27.75" customHeight="1">
      <c r="A39" s="367"/>
      <c r="B39" s="588" t="s">
        <v>854</v>
      </c>
      <c r="C39" s="588"/>
      <c r="D39" s="588"/>
      <c r="E39" s="588"/>
      <c r="F39" s="588"/>
      <c r="G39" s="588"/>
      <c r="H39" s="589"/>
    </row>
    <row r="40" spans="1:8">
      <c r="A40" s="367"/>
      <c r="B40" s="589"/>
      <c r="C40" s="589"/>
      <c r="D40" s="589"/>
      <c r="E40" s="589"/>
      <c r="F40" s="589"/>
      <c r="G40" s="589"/>
      <c r="H40" s="589"/>
    </row>
    <row r="41" spans="1:8">
      <c r="A41" s="367"/>
      <c r="B41" s="526"/>
      <c r="C41" s="526"/>
      <c r="D41" s="526"/>
      <c r="E41" s="526"/>
      <c r="F41" s="526"/>
      <c r="G41" s="526"/>
      <c r="H41" s="526"/>
    </row>
    <row r="42" spans="1:8">
      <c r="A42" s="367"/>
      <c r="B42" s="525" t="s">
        <v>431</v>
      </c>
      <c r="C42" s="525" t="s">
        <v>433</v>
      </c>
      <c r="D42" s="525" t="s">
        <v>278</v>
      </c>
      <c r="E42" s="525" t="s">
        <v>280</v>
      </c>
      <c r="F42" s="525" t="s">
        <v>282</v>
      </c>
      <c r="G42" s="525" t="s">
        <v>284</v>
      </c>
      <c r="H42" s="525" t="s">
        <v>286</v>
      </c>
    </row>
    <row r="43" spans="1:8" ht="25.5">
      <c r="A43" s="367"/>
      <c r="B43" s="526" t="s">
        <v>855</v>
      </c>
      <c r="C43" s="563" t="s">
        <v>20</v>
      </c>
      <c r="D43" s="563" t="s">
        <v>843</v>
      </c>
      <c r="E43" s="563" t="s">
        <v>784</v>
      </c>
      <c r="F43" s="563" t="s">
        <v>785</v>
      </c>
      <c r="G43" s="563" t="s">
        <v>786</v>
      </c>
      <c r="H43" s="563" t="s">
        <v>844</v>
      </c>
    </row>
    <row r="44" spans="1:8">
      <c r="A44" s="367">
        <f>+A33+1</f>
        <v>19</v>
      </c>
      <c r="B44" s="568"/>
      <c r="C44" s="565"/>
      <c r="D44" s="566"/>
      <c r="E44" s="566"/>
      <c r="F44" s="566"/>
      <c r="G44" s="566"/>
      <c r="H44" s="567"/>
    </row>
    <row r="45" spans="1:8">
      <c r="A45" s="367">
        <f>+A44+1</f>
        <v>20</v>
      </c>
      <c r="B45" s="568"/>
      <c r="C45" s="565"/>
      <c r="D45" s="566"/>
      <c r="E45" s="566"/>
      <c r="F45" s="566"/>
      <c r="G45" s="566"/>
      <c r="H45" s="567"/>
    </row>
    <row r="46" spans="1:8">
      <c r="A46" s="367">
        <f t="shared" ref="A46:A55" si="2">+A45+1</f>
        <v>21</v>
      </c>
      <c r="B46" s="568"/>
      <c r="C46" s="565"/>
      <c r="D46" s="566"/>
      <c r="E46" s="566"/>
      <c r="F46" s="566"/>
      <c r="G46" s="566"/>
      <c r="H46" s="567"/>
    </row>
    <row r="47" spans="1:8">
      <c r="A47" s="367">
        <f t="shared" si="2"/>
        <v>22</v>
      </c>
      <c r="B47" s="568"/>
      <c r="C47" s="566"/>
      <c r="D47" s="566"/>
      <c r="E47" s="566"/>
      <c r="F47" s="566"/>
      <c r="G47" s="566"/>
      <c r="H47" s="567"/>
    </row>
    <row r="48" spans="1:8">
      <c r="A48" s="367">
        <f t="shared" si="2"/>
        <v>23</v>
      </c>
      <c r="B48" s="568"/>
      <c r="C48" s="566"/>
      <c r="D48" s="566"/>
      <c r="E48" s="566"/>
      <c r="F48" s="566"/>
      <c r="G48" s="566"/>
      <c r="H48" s="567"/>
    </row>
    <row r="49" spans="1:8">
      <c r="A49" s="367">
        <f t="shared" si="2"/>
        <v>24</v>
      </c>
      <c r="B49" s="590"/>
      <c r="C49" s="591"/>
      <c r="D49" s="591"/>
      <c r="E49" s="591"/>
      <c r="F49" s="591"/>
      <c r="G49" s="591"/>
      <c r="H49" s="567"/>
    </row>
    <row r="50" spans="1:8">
      <c r="A50" s="367">
        <f t="shared" si="2"/>
        <v>25</v>
      </c>
      <c r="B50" s="592"/>
      <c r="C50" s="591"/>
      <c r="D50" s="591"/>
      <c r="E50" s="591"/>
      <c r="F50" s="591"/>
      <c r="G50" s="591"/>
      <c r="H50" s="567"/>
    </row>
    <row r="51" spans="1:8">
      <c r="A51" s="367">
        <f t="shared" si="2"/>
        <v>26</v>
      </c>
      <c r="B51" s="570" t="s">
        <v>20</v>
      </c>
      <c r="C51" s="591"/>
      <c r="D51" s="591"/>
      <c r="E51" s="591">
        <v>-2411206.2085722177</v>
      </c>
      <c r="F51" s="591"/>
      <c r="G51" s="591"/>
      <c r="H51" s="567"/>
    </row>
    <row r="52" spans="1:8">
      <c r="A52" s="367">
        <f t="shared" si="2"/>
        <v>27</v>
      </c>
      <c r="B52" s="593" t="s">
        <v>856</v>
      </c>
      <c r="C52" s="574">
        <f>SUBTOTAL(9,C44:C51)</f>
        <v>0</v>
      </c>
      <c r="D52" s="574">
        <f>SUM(D44:D51)</f>
        <v>0</v>
      </c>
      <c r="E52" s="574">
        <f>SUM(E44:E51)</f>
        <v>-2411206.2085722177</v>
      </c>
      <c r="F52" s="574">
        <f>SUM(F44:F51)</f>
        <v>0</v>
      </c>
      <c r="G52" s="574">
        <f>SUM(G44:G51)</f>
        <v>0</v>
      </c>
      <c r="H52" s="575"/>
    </row>
    <row r="53" spans="1:8">
      <c r="A53" s="367">
        <f t="shared" si="2"/>
        <v>28</v>
      </c>
      <c r="B53" s="593" t="s">
        <v>847</v>
      </c>
      <c r="C53" s="577"/>
      <c r="D53" s="577"/>
      <c r="E53" s="577"/>
      <c r="F53" s="577"/>
      <c r="G53" s="577"/>
      <c r="H53" s="567"/>
    </row>
    <row r="54" spans="1:8">
      <c r="A54" s="367">
        <f t="shared" si="2"/>
        <v>29</v>
      </c>
      <c r="B54" s="594" t="s">
        <v>848</v>
      </c>
      <c r="C54" s="581"/>
      <c r="D54" s="581"/>
      <c r="E54" s="581"/>
      <c r="F54" s="581"/>
      <c r="G54" s="581"/>
      <c r="H54" s="582"/>
    </row>
    <row r="55" spans="1:8" ht="15.75" thickBot="1">
      <c r="A55" s="367">
        <f t="shared" si="2"/>
        <v>30</v>
      </c>
      <c r="B55" s="583" t="s">
        <v>20</v>
      </c>
      <c r="C55" s="584">
        <f>+C52-C53-C54</f>
        <v>0</v>
      </c>
      <c r="D55" s="584">
        <f>+D52-D53-D54</f>
        <v>0</v>
      </c>
      <c r="E55" s="595">
        <f>+E52-E53-E54</f>
        <v>-2411206.2085722177</v>
      </c>
      <c r="F55" s="584">
        <f>+F52-F53-F54</f>
        <v>0</v>
      </c>
      <c r="G55" s="595">
        <f>+G52-G53-G54</f>
        <v>0</v>
      </c>
      <c r="H55" s="585"/>
    </row>
    <row r="56" spans="1:8" ht="15.75" thickTop="1">
      <c r="A56" s="367"/>
      <c r="B56" s="526" t="s">
        <v>857</v>
      </c>
      <c r="C56" s="526"/>
      <c r="D56" s="525"/>
      <c r="E56" s="586"/>
      <c r="F56" s="526"/>
      <c r="G56" s="589"/>
      <c r="H56" s="526"/>
    </row>
    <row r="57" spans="1:8">
      <c r="A57" s="367"/>
      <c r="B57" s="588" t="s">
        <v>850</v>
      </c>
      <c r="C57" s="588"/>
      <c r="D57" s="588"/>
      <c r="E57" s="588"/>
      <c r="F57" s="588"/>
      <c r="G57" s="588"/>
      <c r="H57" s="526"/>
    </row>
    <row r="58" spans="1:8">
      <c r="A58" s="367"/>
      <c r="B58" s="530" t="s">
        <v>851</v>
      </c>
      <c r="C58" s="526"/>
      <c r="D58" s="526"/>
      <c r="E58" s="526"/>
      <c r="F58" s="525"/>
      <c r="G58" s="525"/>
      <c r="H58" s="526"/>
    </row>
    <row r="59" spans="1:8">
      <c r="A59" s="367"/>
      <c r="B59" s="530" t="s">
        <v>852</v>
      </c>
      <c r="C59" s="526"/>
      <c r="D59" s="526"/>
      <c r="E59" s="526"/>
      <c r="F59" s="525"/>
      <c r="G59" s="525"/>
      <c r="H59" s="526"/>
    </row>
    <row r="60" spans="1:8">
      <c r="A60" s="367"/>
      <c r="B60" s="530" t="s">
        <v>853</v>
      </c>
      <c r="C60" s="526"/>
      <c r="D60" s="526"/>
      <c r="E60" s="526"/>
      <c r="F60" s="525"/>
      <c r="G60" s="525"/>
      <c r="H60" s="526"/>
    </row>
    <row r="61" spans="1:8" ht="28.5" customHeight="1">
      <c r="A61" s="367"/>
      <c r="B61" s="588" t="s">
        <v>854</v>
      </c>
      <c r="C61" s="588"/>
      <c r="D61" s="588"/>
      <c r="E61" s="588"/>
      <c r="F61" s="588"/>
      <c r="G61" s="588"/>
      <c r="H61" s="589"/>
    </row>
    <row r="62" spans="1:8">
      <c r="A62" s="367"/>
      <c r="B62" s="530"/>
      <c r="C62" s="526"/>
      <c r="D62" s="526"/>
      <c r="E62" s="526"/>
      <c r="F62" s="526"/>
      <c r="G62" s="526"/>
      <c r="H62" s="589"/>
    </row>
    <row r="63" spans="1:8">
      <c r="A63" s="367"/>
      <c r="B63" s="530"/>
      <c r="C63" s="526"/>
      <c r="D63" s="526"/>
      <c r="E63" s="526"/>
      <c r="F63" s="526"/>
      <c r="G63" s="526"/>
      <c r="H63" s="589"/>
    </row>
    <row r="64" spans="1:8">
      <c r="A64" s="367"/>
      <c r="B64" s="525" t="s">
        <v>431</v>
      </c>
      <c r="C64" s="525" t="s">
        <v>433</v>
      </c>
      <c r="D64" s="525" t="s">
        <v>278</v>
      </c>
      <c r="E64" s="525" t="s">
        <v>280</v>
      </c>
      <c r="F64" s="525" t="s">
        <v>282</v>
      </c>
      <c r="G64" s="525" t="s">
        <v>284</v>
      </c>
      <c r="H64" s="525" t="s">
        <v>286</v>
      </c>
    </row>
    <row r="65" spans="1:8" ht="25.5">
      <c r="A65" s="367"/>
      <c r="B65" s="526" t="s">
        <v>858</v>
      </c>
      <c r="C65" s="563" t="s">
        <v>20</v>
      </c>
      <c r="D65" s="563" t="s">
        <v>843</v>
      </c>
      <c r="E65" s="563" t="s">
        <v>784</v>
      </c>
      <c r="F65" s="563" t="s">
        <v>785</v>
      </c>
      <c r="G65" s="563" t="s">
        <v>786</v>
      </c>
      <c r="H65" s="563" t="s">
        <v>844</v>
      </c>
    </row>
    <row r="66" spans="1:8">
      <c r="A66" s="367">
        <f>+A55+1</f>
        <v>31</v>
      </c>
      <c r="B66" s="596"/>
      <c r="C66" s="565"/>
      <c r="D66" s="566"/>
      <c r="E66" s="566"/>
      <c r="F66" s="566"/>
      <c r="G66" s="566"/>
      <c r="H66" s="567"/>
    </row>
    <row r="67" spans="1:8">
      <c r="A67" s="367">
        <f>+A66+1</f>
        <v>32</v>
      </c>
      <c r="B67" s="568"/>
      <c r="C67" s="565"/>
      <c r="D67" s="566"/>
      <c r="E67" s="566"/>
      <c r="F67" s="566"/>
      <c r="G67" s="566"/>
      <c r="H67" s="567"/>
    </row>
    <row r="68" spans="1:8">
      <c r="A68" s="367">
        <f t="shared" ref="A68:A79" si="3">+A67+1</f>
        <v>33</v>
      </c>
      <c r="B68" s="568"/>
      <c r="C68" s="565"/>
      <c r="D68" s="566"/>
      <c r="E68" s="566"/>
      <c r="F68" s="566"/>
      <c r="G68" s="566"/>
      <c r="H68" s="567"/>
    </row>
    <row r="69" spans="1:8">
      <c r="A69" s="367">
        <f t="shared" si="3"/>
        <v>34</v>
      </c>
      <c r="B69" s="568"/>
      <c r="C69" s="565"/>
      <c r="D69" s="566"/>
      <c r="E69" s="566"/>
      <c r="F69" s="566"/>
      <c r="G69" s="566"/>
      <c r="H69" s="567"/>
    </row>
    <row r="70" spans="1:8">
      <c r="A70" s="367">
        <f t="shared" si="3"/>
        <v>35</v>
      </c>
      <c r="B70" s="568"/>
      <c r="C70" s="566"/>
      <c r="D70" s="591"/>
      <c r="E70" s="566"/>
      <c r="F70" s="566"/>
      <c r="G70" s="566"/>
      <c r="H70" s="567"/>
    </row>
    <row r="71" spans="1:8">
      <c r="A71" s="367">
        <f t="shared" si="3"/>
        <v>36</v>
      </c>
      <c r="B71" s="568"/>
      <c r="C71" s="566"/>
      <c r="D71" s="591"/>
      <c r="E71" s="566"/>
      <c r="F71" s="566"/>
      <c r="G71" s="566"/>
      <c r="H71" s="567"/>
    </row>
    <row r="72" spans="1:8">
      <c r="A72" s="367">
        <f t="shared" si="3"/>
        <v>37</v>
      </c>
      <c r="B72" s="568"/>
      <c r="C72" s="566"/>
      <c r="D72" s="591"/>
      <c r="E72" s="566"/>
      <c r="F72" s="566"/>
      <c r="G72" s="566"/>
      <c r="H72" s="567"/>
    </row>
    <row r="73" spans="1:8">
      <c r="A73" s="367">
        <f t="shared" si="3"/>
        <v>38</v>
      </c>
      <c r="B73" s="568"/>
      <c r="C73" s="566"/>
      <c r="D73" s="569"/>
      <c r="E73" s="566"/>
      <c r="F73" s="566"/>
      <c r="G73" s="566"/>
      <c r="H73" s="567"/>
    </row>
    <row r="74" spans="1:8">
      <c r="A74" s="367">
        <f t="shared" si="3"/>
        <v>39</v>
      </c>
      <c r="B74" s="568"/>
      <c r="C74" s="566"/>
      <c r="D74" s="566"/>
      <c r="E74" s="566"/>
      <c r="F74" s="566"/>
      <c r="G74" s="566"/>
      <c r="H74" s="567"/>
    </row>
    <row r="75" spans="1:8">
      <c r="A75" s="367">
        <f t="shared" si="3"/>
        <v>40</v>
      </c>
      <c r="B75" s="570" t="s">
        <v>20</v>
      </c>
      <c r="C75" s="597"/>
      <c r="D75" s="597"/>
      <c r="E75" s="597"/>
      <c r="F75" s="597"/>
      <c r="G75" s="597"/>
      <c r="H75" s="572" t="s">
        <v>845</v>
      </c>
    </row>
    <row r="76" spans="1:8">
      <c r="A76" s="367">
        <f t="shared" si="3"/>
        <v>41</v>
      </c>
      <c r="B76" s="573" t="s">
        <v>859</v>
      </c>
      <c r="C76" s="574">
        <f>SUBTOTAL(9,C66:C75)</f>
        <v>0</v>
      </c>
      <c r="D76" s="574">
        <f>SUM(D66:D75)</f>
        <v>0</v>
      </c>
      <c r="E76" s="574">
        <f>SUM(E66:E75)</f>
        <v>0</v>
      </c>
      <c r="F76" s="574">
        <f>SUM(F66:F75)</f>
        <v>0</v>
      </c>
      <c r="G76" s="574">
        <f>SUM(G66:G75)</f>
        <v>0</v>
      </c>
      <c r="H76" s="567"/>
    </row>
    <row r="77" spans="1:8">
      <c r="A77" s="367">
        <f t="shared" si="3"/>
        <v>42</v>
      </c>
      <c r="B77" s="573" t="s">
        <v>847</v>
      </c>
      <c r="C77" s="578"/>
      <c r="D77" s="578"/>
      <c r="E77" s="578"/>
      <c r="F77" s="578"/>
      <c r="G77" s="578"/>
      <c r="H77" s="567"/>
    </row>
    <row r="78" spans="1:8">
      <c r="A78" s="367">
        <f t="shared" si="3"/>
        <v>43</v>
      </c>
      <c r="B78" s="598" t="s">
        <v>848</v>
      </c>
      <c r="C78" s="599"/>
      <c r="D78" s="599"/>
      <c r="E78" s="599"/>
      <c r="F78" s="599"/>
      <c r="G78" s="599"/>
      <c r="H78" s="582"/>
    </row>
    <row r="79" spans="1:8" ht="15.75" thickBot="1">
      <c r="A79" s="367">
        <f t="shared" si="3"/>
        <v>44</v>
      </c>
      <c r="B79" s="583" t="s">
        <v>20</v>
      </c>
      <c r="C79" s="600">
        <f>+C76-C77-C78</f>
        <v>0</v>
      </c>
      <c r="D79" s="600">
        <f>+D76-D77-D78</f>
        <v>0</v>
      </c>
      <c r="E79" s="600">
        <f>+E76-E77-E78</f>
        <v>0</v>
      </c>
      <c r="F79" s="600">
        <f>+F76-F77-F78</f>
        <v>0</v>
      </c>
      <c r="G79" s="600">
        <f>+G76-G77-G78</f>
        <v>0</v>
      </c>
      <c r="H79" s="585"/>
    </row>
    <row r="80" spans="1:8" ht="15.75" thickTop="1">
      <c r="A80" s="367"/>
      <c r="B80" s="526" t="s">
        <v>860</v>
      </c>
      <c r="C80" s="526"/>
      <c r="D80" s="526"/>
      <c r="E80" s="525"/>
      <c r="F80" s="525"/>
      <c r="G80" s="526"/>
      <c r="H80" s="601"/>
    </row>
    <row r="81" spans="1:8">
      <c r="A81" s="367"/>
      <c r="B81" s="588" t="s">
        <v>850</v>
      </c>
      <c r="C81" s="588"/>
      <c r="D81" s="588"/>
      <c r="E81" s="588"/>
      <c r="F81" s="588"/>
      <c r="G81" s="588"/>
      <c r="H81" s="526"/>
    </row>
    <row r="82" spans="1:8">
      <c r="A82" s="367"/>
      <c r="B82" s="530" t="s">
        <v>851</v>
      </c>
      <c r="C82" s="526"/>
      <c r="D82" s="526"/>
      <c r="E82" s="526"/>
      <c r="F82" s="525"/>
      <c r="G82" s="525"/>
      <c r="H82" s="526"/>
    </row>
    <row r="83" spans="1:8">
      <c r="A83" s="367"/>
      <c r="B83" s="530" t="s">
        <v>852</v>
      </c>
      <c r="C83" s="526"/>
      <c r="D83" s="526"/>
      <c r="E83" s="526"/>
      <c r="F83" s="525"/>
      <c r="G83" s="525"/>
      <c r="H83" s="526"/>
    </row>
    <row r="84" spans="1:8">
      <c r="A84" s="367"/>
      <c r="B84" s="530" t="s">
        <v>853</v>
      </c>
      <c r="C84" s="526"/>
      <c r="D84" s="526"/>
      <c r="E84" s="526"/>
      <c r="F84" s="525"/>
      <c r="G84" s="525"/>
      <c r="H84" s="526"/>
    </row>
    <row r="85" spans="1:8" ht="27" customHeight="1">
      <c r="A85" s="367"/>
      <c r="B85" s="588" t="s">
        <v>854</v>
      </c>
      <c r="C85" s="588"/>
      <c r="D85" s="588"/>
      <c r="E85" s="588"/>
      <c r="F85" s="588"/>
      <c r="G85" s="588"/>
      <c r="H85" s="526"/>
    </row>
    <row r="86" spans="1:8">
      <c r="A86" s="367"/>
    </row>
    <row r="87" spans="1:8">
      <c r="A87" s="367"/>
    </row>
    <row r="88" spans="1:8">
      <c r="A88" s="367"/>
    </row>
  </sheetData>
  <mergeCells count="10">
    <mergeCell ref="B57:G57"/>
    <mergeCell ref="B61:G61"/>
    <mergeCell ref="B81:G81"/>
    <mergeCell ref="B85:G85"/>
    <mergeCell ref="B1:H1"/>
    <mergeCell ref="B3:H3"/>
    <mergeCell ref="B4:H4"/>
    <mergeCell ref="B16:H16"/>
    <mergeCell ref="B35:G35"/>
    <mergeCell ref="B39:G3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E4186-4923-4848-98D0-2BF072183392}">
  <sheetPr>
    <tabColor rgb="FF92D050"/>
  </sheetPr>
  <dimension ref="A1:H85"/>
  <sheetViews>
    <sheetView workbookViewId="0">
      <selection activeCell="D12" sqref="D12"/>
    </sheetView>
  </sheetViews>
  <sheetFormatPr defaultRowHeight="15"/>
  <cols>
    <col min="1" max="1" width="7.109375" customWidth="1"/>
    <col min="2" max="2" width="49.33203125" customWidth="1"/>
    <col min="3" max="3" width="22.109375" customWidth="1"/>
    <col min="4" max="4" width="15.109375" customWidth="1"/>
    <col min="5" max="5" width="12.5546875" customWidth="1"/>
    <col min="6" max="6" width="11.5546875" customWidth="1"/>
    <col min="7" max="7" width="14.88671875" customWidth="1"/>
    <col min="8" max="8" width="79.44140625" customWidth="1"/>
  </cols>
  <sheetData>
    <row r="1" spans="1:8">
      <c r="B1" s="522" t="s">
        <v>861</v>
      </c>
      <c r="C1" s="522"/>
      <c r="D1" s="522"/>
      <c r="E1" s="522"/>
      <c r="F1" s="522"/>
      <c r="G1" s="522"/>
      <c r="H1" s="522"/>
    </row>
    <row r="2" spans="1:8">
      <c r="B2" s="525"/>
      <c r="C2" s="525"/>
      <c r="D2" s="525"/>
      <c r="E2" s="525" t="s">
        <v>835</v>
      </c>
      <c r="F2" s="525"/>
      <c r="G2" s="525"/>
      <c r="H2" s="525"/>
    </row>
    <row r="3" spans="1:8">
      <c r="B3" s="522" t="str">
        <f>'4c - ADIT BOY'!B3:H3</f>
        <v>For the 12 months ended 12/31/2020</v>
      </c>
      <c r="C3" s="602"/>
      <c r="D3" s="602"/>
      <c r="E3" s="602"/>
      <c r="F3" s="602"/>
      <c r="G3" s="602"/>
      <c r="H3" s="602"/>
    </row>
    <row r="4" spans="1:8">
      <c r="B4" s="523"/>
      <c r="C4" s="522"/>
      <c r="D4" s="522"/>
      <c r="E4" s="522"/>
      <c r="F4" s="522"/>
      <c r="G4" s="522"/>
      <c r="H4" s="524"/>
    </row>
    <row r="5" spans="1:8">
      <c r="B5" s="530"/>
      <c r="C5" s="526"/>
      <c r="D5" s="526"/>
      <c r="E5" s="526"/>
      <c r="F5" s="526"/>
      <c r="G5" s="526"/>
      <c r="H5" s="526"/>
    </row>
    <row r="6" spans="1:8">
      <c r="B6" s="530"/>
      <c r="C6" s="526"/>
      <c r="D6" s="525"/>
      <c r="E6" s="525"/>
      <c r="F6" s="526"/>
      <c r="G6" s="525"/>
      <c r="H6" s="526"/>
    </row>
    <row r="7" spans="1:8">
      <c r="B7" s="530"/>
      <c r="C7" s="526"/>
      <c r="D7" s="525"/>
      <c r="E7" s="525"/>
      <c r="F7" s="525"/>
      <c r="G7" s="525"/>
      <c r="H7" s="526"/>
    </row>
    <row r="8" spans="1:8" ht="25.5">
      <c r="A8" s="557" t="s">
        <v>387</v>
      </c>
      <c r="B8" s="558" t="s">
        <v>836</v>
      </c>
      <c r="C8" s="559"/>
      <c r="D8" s="559"/>
      <c r="E8" s="560" t="s">
        <v>784</v>
      </c>
      <c r="F8" s="560" t="s">
        <v>785</v>
      </c>
      <c r="G8" s="560" t="s">
        <v>786</v>
      </c>
      <c r="H8" s="559"/>
    </row>
    <row r="9" spans="1:8">
      <c r="A9" s="367"/>
      <c r="B9" s="530"/>
      <c r="C9" s="526"/>
      <c r="D9" s="526"/>
      <c r="E9" s="526"/>
      <c r="F9" s="526"/>
      <c r="G9" s="526"/>
      <c r="H9" s="526"/>
    </row>
    <row r="10" spans="1:8">
      <c r="A10" s="367">
        <v>1</v>
      </c>
      <c r="B10" s="526" t="s">
        <v>855</v>
      </c>
      <c r="C10" s="526"/>
      <c r="D10" s="526"/>
      <c r="E10" s="23">
        <f>+E55</f>
        <v>-3023516.7265300541</v>
      </c>
      <c r="F10" s="23">
        <f>+F55</f>
        <v>0</v>
      </c>
      <c r="G10" s="23">
        <f>+G55</f>
        <v>0</v>
      </c>
      <c r="H10" s="526" t="s">
        <v>837</v>
      </c>
    </row>
    <row r="11" spans="1:8">
      <c r="A11" s="367">
        <f>+A10+1</f>
        <v>2</v>
      </c>
      <c r="B11" s="526" t="s">
        <v>800</v>
      </c>
      <c r="C11" s="526"/>
      <c r="D11" s="526"/>
      <c r="E11" s="23">
        <f>+E79</f>
        <v>0</v>
      </c>
      <c r="F11" s="23">
        <f>+F79</f>
        <v>0</v>
      </c>
      <c r="G11" s="23">
        <f>+G79</f>
        <v>0</v>
      </c>
      <c r="H11" s="526" t="s">
        <v>838</v>
      </c>
    </row>
    <row r="12" spans="1:8">
      <c r="A12" s="367">
        <f t="shared" ref="A12:A13" si="0">+A11+1</f>
        <v>3</v>
      </c>
      <c r="B12" s="526" t="s">
        <v>805</v>
      </c>
      <c r="C12" s="526"/>
      <c r="D12" s="526"/>
      <c r="E12" s="23">
        <f>E33</f>
        <v>0</v>
      </c>
      <c r="F12" s="23">
        <f>F33</f>
        <v>0</v>
      </c>
      <c r="G12" s="23">
        <f>G33</f>
        <v>0</v>
      </c>
      <c r="H12" s="526" t="s">
        <v>839</v>
      </c>
    </row>
    <row r="13" spans="1:8">
      <c r="A13" s="367">
        <f t="shared" si="0"/>
        <v>4</v>
      </c>
      <c r="B13" s="526" t="s">
        <v>840</v>
      </c>
      <c r="C13" s="526"/>
      <c r="D13" s="526"/>
      <c r="E13" s="23">
        <f>SUM(E10:E12)</f>
        <v>-3023516.7265300541</v>
      </c>
      <c r="F13" s="23">
        <f>SUM(F10:F12)</f>
        <v>0</v>
      </c>
      <c r="G13" s="23">
        <f>SUM(G10:G12)</f>
        <v>0</v>
      </c>
      <c r="H13" s="561" t="s">
        <v>841</v>
      </c>
    </row>
    <row r="14" spans="1:8">
      <c r="A14" s="367"/>
      <c r="B14" s="526"/>
      <c r="C14" s="526"/>
      <c r="D14" s="561"/>
      <c r="E14" s="526"/>
      <c r="F14" s="526"/>
      <c r="G14" s="526"/>
      <c r="H14" s="26"/>
    </row>
    <row r="15" spans="1:8">
      <c r="A15" s="367"/>
      <c r="B15" s="526"/>
      <c r="C15" s="526"/>
      <c r="D15" s="526"/>
      <c r="E15" s="526"/>
      <c r="F15" s="526"/>
      <c r="G15" s="526"/>
      <c r="H15" s="533"/>
    </row>
    <row r="16" spans="1:8">
      <c r="A16" s="367"/>
      <c r="B16" s="562" t="s">
        <v>862</v>
      </c>
      <c r="C16" s="562"/>
      <c r="D16" s="562"/>
      <c r="E16" s="562"/>
      <c r="F16" s="562"/>
      <c r="G16" s="562"/>
      <c r="H16" s="562"/>
    </row>
    <row r="17" spans="1:8">
      <c r="A17" s="367"/>
      <c r="B17" s="530"/>
      <c r="C17" s="526"/>
      <c r="D17" s="526"/>
      <c r="E17" s="526"/>
      <c r="F17" s="526"/>
      <c r="G17" s="526"/>
      <c r="H17" s="526"/>
    </row>
    <row r="18" spans="1:8">
      <c r="A18" s="367"/>
      <c r="B18" s="525" t="s">
        <v>431</v>
      </c>
      <c r="C18" s="525" t="s">
        <v>433</v>
      </c>
      <c r="D18" s="525" t="s">
        <v>278</v>
      </c>
      <c r="E18" s="525" t="s">
        <v>280</v>
      </c>
      <c r="F18" s="525" t="s">
        <v>282</v>
      </c>
      <c r="G18" s="525" t="s">
        <v>284</v>
      </c>
      <c r="H18" s="525" t="s">
        <v>286</v>
      </c>
    </row>
    <row r="19" spans="1:8" ht="25.5">
      <c r="A19" s="367"/>
      <c r="B19" s="530" t="s">
        <v>805</v>
      </c>
      <c r="C19" s="563" t="s">
        <v>20</v>
      </c>
      <c r="D19" s="563" t="s">
        <v>843</v>
      </c>
      <c r="E19" s="563" t="s">
        <v>784</v>
      </c>
      <c r="F19" s="563" t="s">
        <v>785</v>
      </c>
      <c r="G19" s="563" t="s">
        <v>786</v>
      </c>
      <c r="H19" s="563" t="s">
        <v>844</v>
      </c>
    </row>
    <row r="20" spans="1:8">
      <c r="A20" s="367">
        <f>+A13+1</f>
        <v>5</v>
      </c>
      <c r="B20" s="564"/>
      <c r="C20" s="565"/>
      <c r="D20" s="566"/>
      <c r="E20" s="566"/>
      <c r="F20" s="566"/>
      <c r="G20" s="566"/>
      <c r="H20" s="567"/>
    </row>
    <row r="21" spans="1:8">
      <c r="A21" s="367">
        <f>+A20+1</f>
        <v>6</v>
      </c>
      <c r="B21" s="568"/>
      <c r="C21" s="565"/>
      <c r="D21" s="566"/>
      <c r="E21" s="566"/>
      <c r="F21" s="566"/>
      <c r="G21" s="566"/>
      <c r="H21" s="567"/>
    </row>
    <row r="22" spans="1:8">
      <c r="A22" s="367">
        <f t="shared" ref="A22:A33" si="1">+A21+1</f>
        <v>7</v>
      </c>
      <c r="B22" s="568"/>
      <c r="C22" s="565"/>
      <c r="D22" s="566"/>
      <c r="E22" s="566"/>
      <c r="F22" s="566"/>
      <c r="G22" s="566"/>
      <c r="H22" s="567"/>
    </row>
    <row r="23" spans="1:8">
      <c r="A23" s="367">
        <f t="shared" si="1"/>
        <v>8</v>
      </c>
      <c r="B23" s="568"/>
      <c r="C23" s="565"/>
      <c r="D23" s="566"/>
      <c r="E23" s="566"/>
      <c r="F23" s="566"/>
      <c r="G23" s="566"/>
      <c r="H23" s="567"/>
    </row>
    <row r="24" spans="1:8">
      <c r="A24" s="367">
        <f t="shared" si="1"/>
        <v>9</v>
      </c>
      <c r="B24" s="568"/>
      <c r="C24" s="565"/>
      <c r="D24" s="566"/>
      <c r="E24" s="566"/>
      <c r="F24" s="566"/>
      <c r="G24" s="566"/>
      <c r="H24" s="567"/>
    </row>
    <row r="25" spans="1:8">
      <c r="A25" s="367">
        <f t="shared" si="1"/>
        <v>10</v>
      </c>
      <c r="B25" s="568"/>
      <c r="C25" s="565"/>
      <c r="D25" s="566"/>
      <c r="E25" s="566"/>
      <c r="F25" s="566"/>
      <c r="G25" s="566"/>
      <c r="H25" s="567"/>
    </row>
    <row r="26" spans="1:8">
      <c r="A26" s="367">
        <f t="shared" si="1"/>
        <v>11</v>
      </c>
      <c r="B26" s="568"/>
      <c r="C26" s="565"/>
      <c r="D26" s="566"/>
      <c r="E26" s="566"/>
      <c r="F26" s="566"/>
      <c r="G26" s="566"/>
      <c r="H26" s="567"/>
    </row>
    <row r="27" spans="1:8">
      <c r="A27" s="367">
        <f t="shared" si="1"/>
        <v>12</v>
      </c>
      <c r="B27" s="568"/>
      <c r="C27" s="565"/>
      <c r="D27" s="569"/>
      <c r="E27" s="566"/>
      <c r="F27" s="566"/>
      <c r="G27" s="566"/>
      <c r="H27" s="567"/>
    </row>
    <row r="28" spans="1:8">
      <c r="A28" s="367">
        <f t="shared" si="1"/>
        <v>13</v>
      </c>
      <c r="B28" s="568"/>
      <c r="C28" s="565"/>
      <c r="D28" s="566"/>
      <c r="E28" s="566"/>
      <c r="F28" s="566"/>
      <c r="G28" s="566"/>
      <c r="H28" s="567"/>
    </row>
    <row r="29" spans="1:8">
      <c r="A29" s="367">
        <f t="shared" si="1"/>
        <v>14</v>
      </c>
      <c r="B29" s="570" t="s">
        <v>20</v>
      </c>
      <c r="C29" s="571"/>
      <c r="D29" s="571"/>
      <c r="E29" s="571"/>
      <c r="F29" s="571"/>
      <c r="G29" s="571"/>
      <c r="H29" s="572" t="s">
        <v>845</v>
      </c>
    </row>
    <row r="30" spans="1:8">
      <c r="A30" s="367">
        <f t="shared" si="1"/>
        <v>15</v>
      </c>
      <c r="B30" s="573" t="s">
        <v>863</v>
      </c>
      <c r="C30" s="574">
        <f>SUBTOTAL(9,C20:C29)</f>
        <v>0</v>
      </c>
      <c r="D30" s="574">
        <f>SUM(D20:D29)</f>
        <v>0</v>
      </c>
      <c r="E30" s="574">
        <f>SUM(E20:E29)</f>
        <v>0</v>
      </c>
      <c r="F30" s="574">
        <f>SUM(F20:F29)</f>
        <v>0</v>
      </c>
      <c r="G30" s="574">
        <f>SUM(G20:G29)</f>
        <v>0</v>
      </c>
      <c r="H30" s="575"/>
    </row>
    <row r="31" spans="1:8">
      <c r="A31" s="367">
        <f t="shared" si="1"/>
        <v>16</v>
      </c>
      <c r="B31" s="576" t="s">
        <v>847</v>
      </c>
      <c r="C31" s="577"/>
      <c r="D31" s="577"/>
      <c r="E31" s="577"/>
      <c r="F31" s="578"/>
      <c r="G31" s="579"/>
      <c r="H31" s="567"/>
    </row>
    <row r="32" spans="1:8">
      <c r="A32" s="367">
        <f t="shared" si="1"/>
        <v>17</v>
      </c>
      <c r="B32" s="580" t="s">
        <v>848</v>
      </c>
      <c r="C32" s="581"/>
      <c r="D32" s="581"/>
      <c r="E32" s="581"/>
      <c r="F32" s="581"/>
      <c r="G32" s="581"/>
      <c r="H32" s="582"/>
    </row>
    <row r="33" spans="1:8" ht="15.75" thickBot="1">
      <c r="A33" s="367">
        <f t="shared" si="1"/>
        <v>18</v>
      </c>
      <c r="B33" s="583" t="s">
        <v>20</v>
      </c>
      <c r="C33" s="584">
        <f>+C30-C31-C32</f>
        <v>0</v>
      </c>
      <c r="D33" s="584">
        <f>+D30-D31-D32</f>
        <v>0</v>
      </c>
      <c r="E33" s="584">
        <f>+E30-E31-E32</f>
        <v>0</v>
      </c>
      <c r="F33" s="584">
        <f>+F30-F31-F32</f>
        <v>0</v>
      </c>
      <c r="G33" s="584">
        <f>+G30-G31-G32</f>
        <v>0</v>
      </c>
      <c r="H33" s="585"/>
    </row>
    <row r="34" spans="1:8" ht="15.75" thickTop="1">
      <c r="A34" s="367"/>
      <c r="B34" s="526" t="s">
        <v>849</v>
      </c>
      <c r="C34" s="561"/>
      <c r="D34" s="586"/>
      <c r="E34" s="525"/>
      <c r="F34" s="526"/>
      <c r="G34" s="587"/>
      <c r="H34" s="526"/>
    </row>
    <row r="35" spans="1:8">
      <c r="A35" s="367"/>
      <c r="B35" s="588" t="s">
        <v>850</v>
      </c>
      <c r="C35" s="588"/>
      <c r="D35" s="588"/>
      <c r="E35" s="588"/>
      <c r="F35" s="588"/>
      <c r="G35" s="588"/>
      <c r="H35" s="526"/>
    </row>
    <row r="36" spans="1:8">
      <c r="A36" s="367"/>
      <c r="B36" s="530" t="s">
        <v>851</v>
      </c>
      <c r="C36" s="526"/>
      <c r="D36" s="526"/>
      <c r="E36" s="526"/>
      <c r="F36" s="525"/>
      <c r="G36" s="525"/>
      <c r="H36" s="526"/>
    </row>
    <row r="37" spans="1:8">
      <c r="A37" s="367"/>
      <c r="B37" s="530" t="s">
        <v>852</v>
      </c>
      <c r="C37" s="526"/>
      <c r="D37" s="526"/>
      <c r="E37" s="526"/>
      <c r="F37" s="525"/>
      <c r="G37" s="525"/>
      <c r="H37" s="526"/>
    </row>
    <row r="38" spans="1:8">
      <c r="A38" s="367"/>
      <c r="B38" s="530" t="s">
        <v>853</v>
      </c>
      <c r="C38" s="526"/>
      <c r="D38" s="526"/>
      <c r="E38" s="526"/>
      <c r="F38" s="525"/>
      <c r="G38" s="525"/>
      <c r="H38" s="526"/>
    </row>
    <row r="39" spans="1:8" ht="30.75" customHeight="1">
      <c r="A39" s="367"/>
      <c r="B39" s="588" t="s">
        <v>864</v>
      </c>
      <c r="C39" s="588"/>
      <c r="D39" s="588"/>
      <c r="E39" s="588"/>
      <c r="F39" s="588"/>
      <c r="G39" s="588"/>
      <c r="H39" s="589"/>
    </row>
    <row r="40" spans="1:8">
      <c r="A40" s="367"/>
      <c r="B40" s="589"/>
      <c r="C40" s="589"/>
      <c r="D40" s="589"/>
      <c r="E40" s="589"/>
      <c r="F40" s="589"/>
      <c r="G40" s="589"/>
      <c r="H40" s="589"/>
    </row>
    <row r="41" spans="1:8">
      <c r="A41" s="367"/>
      <c r="B41" s="526"/>
      <c r="C41" s="526"/>
      <c r="D41" s="526"/>
      <c r="E41" s="526"/>
      <c r="F41" s="526"/>
      <c r="G41" s="526"/>
      <c r="H41" s="526"/>
    </row>
    <row r="42" spans="1:8">
      <c r="A42" s="367"/>
      <c r="B42" s="525" t="s">
        <v>431</v>
      </c>
      <c r="C42" s="525" t="s">
        <v>433</v>
      </c>
      <c r="D42" s="525" t="s">
        <v>278</v>
      </c>
      <c r="E42" s="525" t="s">
        <v>280</v>
      </c>
      <c r="F42" s="525" t="s">
        <v>282</v>
      </c>
      <c r="G42" s="525" t="s">
        <v>284</v>
      </c>
      <c r="H42" s="525" t="s">
        <v>286</v>
      </c>
    </row>
    <row r="43" spans="1:8" ht="25.5">
      <c r="A43" s="367"/>
      <c r="B43" s="530" t="s">
        <v>788</v>
      </c>
      <c r="C43" s="563" t="s">
        <v>20</v>
      </c>
      <c r="D43" s="563" t="s">
        <v>843</v>
      </c>
      <c r="E43" s="563" t="s">
        <v>784</v>
      </c>
      <c r="F43" s="563" t="s">
        <v>785</v>
      </c>
      <c r="G43" s="563" t="s">
        <v>786</v>
      </c>
      <c r="H43" s="563" t="s">
        <v>844</v>
      </c>
    </row>
    <row r="44" spans="1:8">
      <c r="A44" s="367">
        <f>+A33+1</f>
        <v>19</v>
      </c>
      <c r="B44" s="568"/>
      <c r="C44" s="565"/>
      <c r="D44" s="566"/>
      <c r="E44" s="566"/>
      <c r="F44" s="566"/>
      <c r="G44" s="566"/>
      <c r="H44" s="567"/>
    </row>
    <row r="45" spans="1:8">
      <c r="A45" s="367">
        <f>+A44+1</f>
        <v>20</v>
      </c>
      <c r="B45" s="568"/>
      <c r="C45" s="565"/>
      <c r="D45" s="566"/>
      <c r="E45" s="566"/>
      <c r="F45" s="566"/>
      <c r="G45" s="566"/>
      <c r="H45" s="567"/>
    </row>
    <row r="46" spans="1:8">
      <c r="A46" s="367">
        <f t="shared" ref="A46:A55" si="2">+A45+1</f>
        <v>21</v>
      </c>
      <c r="B46" s="568"/>
      <c r="C46" s="565"/>
      <c r="D46" s="566"/>
      <c r="E46" s="566"/>
      <c r="F46" s="566"/>
      <c r="G46" s="566"/>
      <c r="H46" s="567"/>
    </row>
    <row r="47" spans="1:8">
      <c r="A47" s="367">
        <f t="shared" si="2"/>
        <v>22</v>
      </c>
      <c r="B47" s="568"/>
      <c r="C47" s="565"/>
      <c r="D47" s="566"/>
      <c r="E47" s="566"/>
      <c r="F47" s="566"/>
      <c r="G47" s="566"/>
      <c r="H47" s="567"/>
    </row>
    <row r="48" spans="1:8">
      <c r="A48" s="367">
        <f t="shared" si="2"/>
        <v>23</v>
      </c>
      <c r="B48" s="568"/>
      <c r="C48" s="566"/>
      <c r="D48" s="566"/>
      <c r="E48" s="566"/>
      <c r="F48" s="566"/>
      <c r="G48" s="566"/>
      <c r="H48" s="567"/>
    </row>
    <row r="49" spans="1:8">
      <c r="A49" s="367">
        <f t="shared" si="2"/>
        <v>24</v>
      </c>
      <c r="B49" s="568"/>
      <c r="C49" s="566"/>
      <c r="D49" s="566"/>
      <c r="E49" s="566"/>
      <c r="F49" s="566"/>
      <c r="G49" s="566"/>
      <c r="H49" s="567"/>
    </row>
    <row r="50" spans="1:8">
      <c r="A50" s="367">
        <f t="shared" si="2"/>
        <v>25</v>
      </c>
      <c r="B50" s="590"/>
      <c r="C50" s="591"/>
      <c r="D50" s="591"/>
      <c r="E50" s="591"/>
      <c r="F50" s="591"/>
      <c r="G50" s="591"/>
      <c r="H50" s="567"/>
    </row>
    <row r="51" spans="1:8">
      <c r="A51" s="367">
        <f t="shared" si="2"/>
        <v>26</v>
      </c>
      <c r="B51" s="570" t="s">
        <v>20</v>
      </c>
      <c r="C51" s="603"/>
      <c r="D51" s="603"/>
      <c r="E51" s="603">
        <v>-3023516.7265300541</v>
      </c>
      <c r="F51" s="603"/>
      <c r="G51" s="603"/>
      <c r="H51" s="572" t="s">
        <v>845</v>
      </c>
    </row>
    <row r="52" spans="1:8">
      <c r="A52" s="367">
        <f t="shared" si="2"/>
        <v>27</v>
      </c>
      <c r="B52" s="593" t="s">
        <v>865</v>
      </c>
      <c r="C52" s="574">
        <f>SUBTOTAL(9,C44:C51)</f>
        <v>0</v>
      </c>
      <c r="D52" s="574">
        <f>SUM(D44:D51)</f>
        <v>0</v>
      </c>
      <c r="E52" s="574">
        <f>SUM(E44:E51)</f>
        <v>-3023516.7265300541</v>
      </c>
      <c r="F52" s="574">
        <f>SUM(F44:F51)</f>
        <v>0</v>
      </c>
      <c r="G52" s="574">
        <f>SUM(G44:G51)</f>
        <v>0</v>
      </c>
      <c r="H52" s="575"/>
    </row>
    <row r="53" spans="1:8">
      <c r="A53" s="367">
        <f t="shared" si="2"/>
        <v>28</v>
      </c>
      <c r="B53" s="593" t="s">
        <v>847</v>
      </c>
      <c r="C53" s="577"/>
      <c r="D53" s="577"/>
      <c r="E53" s="577"/>
      <c r="F53" s="577"/>
      <c r="G53" s="577"/>
      <c r="H53" s="567"/>
    </row>
    <row r="54" spans="1:8">
      <c r="A54" s="367">
        <f t="shared" si="2"/>
        <v>29</v>
      </c>
      <c r="B54" s="594" t="s">
        <v>848</v>
      </c>
      <c r="C54" s="581"/>
      <c r="D54" s="581"/>
      <c r="E54" s="581"/>
      <c r="F54" s="581"/>
      <c r="G54" s="581"/>
      <c r="H54" s="582"/>
    </row>
    <row r="55" spans="1:8" ht="15.75" thickBot="1">
      <c r="A55" s="367">
        <f t="shared" si="2"/>
        <v>30</v>
      </c>
      <c r="B55" s="583" t="s">
        <v>20</v>
      </c>
      <c r="C55" s="584">
        <f>+C52-C53-C54</f>
        <v>0</v>
      </c>
      <c r="D55" s="584">
        <f>+D52-D53-D54</f>
        <v>0</v>
      </c>
      <c r="E55" s="584">
        <f>+E52-E53-E54</f>
        <v>-3023516.7265300541</v>
      </c>
      <c r="F55" s="584">
        <f>+F52-F53-F54</f>
        <v>0</v>
      </c>
      <c r="G55" s="584">
        <f>+G52-G53-G54</f>
        <v>0</v>
      </c>
      <c r="H55" s="585"/>
    </row>
    <row r="56" spans="1:8" ht="15.75" thickTop="1">
      <c r="A56" s="367"/>
      <c r="B56" s="526" t="s">
        <v>857</v>
      </c>
      <c r="C56" s="526"/>
      <c r="D56" s="525"/>
      <c r="E56" s="586"/>
      <c r="F56" s="526"/>
      <c r="G56" s="589"/>
      <c r="H56" s="526"/>
    </row>
    <row r="57" spans="1:8">
      <c r="A57" s="367"/>
      <c r="B57" s="588" t="s">
        <v>850</v>
      </c>
      <c r="C57" s="588"/>
      <c r="D57" s="588"/>
      <c r="E57" s="588"/>
      <c r="F57" s="588"/>
      <c r="G57" s="588"/>
      <c r="H57" s="526"/>
    </row>
    <row r="58" spans="1:8">
      <c r="A58" s="367"/>
      <c r="B58" s="530" t="s">
        <v>851</v>
      </c>
      <c r="C58" s="526"/>
      <c r="D58" s="526"/>
      <c r="E58" s="526"/>
      <c r="F58" s="525"/>
      <c r="G58" s="525"/>
      <c r="H58" s="526"/>
    </row>
    <row r="59" spans="1:8">
      <c r="A59" s="367"/>
      <c r="B59" s="530" t="s">
        <v>852</v>
      </c>
      <c r="C59" s="526"/>
      <c r="D59" s="526"/>
      <c r="E59" s="526"/>
      <c r="F59" s="525"/>
      <c r="G59" s="525"/>
      <c r="H59" s="526"/>
    </row>
    <row r="60" spans="1:8">
      <c r="A60" s="367"/>
      <c r="B60" s="530" t="s">
        <v>853</v>
      </c>
      <c r="C60" s="526"/>
      <c r="D60" s="526"/>
      <c r="E60" s="526"/>
      <c r="F60" s="525"/>
      <c r="G60" s="525"/>
      <c r="H60" s="526"/>
    </row>
    <row r="61" spans="1:8" ht="28.5" customHeight="1">
      <c r="A61" s="367"/>
      <c r="B61" s="588" t="s">
        <v>854</v>
      </c>
      <c r="C61" s="588"/>
      <c r="D61" s="588"/>
      <c r="E61" s="588"/>
      <c r="F61" s="588"/>
      <c r="G61" s="588"/>
      <c r="H61" s="589"/>
    </row>
    <row r="62" spans="1:8">
      <c r="A62" s="367"/>
      <c r="B62" s="530"/>
      <c r="C62" s="526"/>
      <c r="D62" s="526"/>
      <c r="E62" s="526"/>
      <c r="F62" s="526"/>
      <c r="G62" s="526"/>
      <c r="H62" s="589"/>
    </row>
    <row r="63" spans="1:8">
      <c r="A63" s="367"/>
      <c r="B63" s="530"/>
      <c r="C63" s="526"/>
      <c r="D63" s="526"/>
      <c r="E63" s="526"/>
      <c r="F63" s="526"/>
      <c r="G63" s="526"/>
      <c r="H63" s="589"/>
    </row>
    <row r="64" spans="1:8">
      <c r="A64" s="367"/>
      <c r="B64" s="525" t="s">
        <v>431</v>
      </c>
      <c r="C64" s="525" t="s">
        <v>433</v>
      </c>
      <c r="D64" s="525" t="s">
        <v>278</v>
      </c>
      <c r="E64" s="525" t="s">
        <v>280</v>
      </c>
      <c r="F64" s="525" t="s">
        <v>282</v>
      </c>
      <c r="G64" s="525" t="s">
        <v>284</v>
      </c>
      <c r="H64" s="525" t="s">
        <v>286</v>
      </c>
    </row>
    <row r="65" spans="1:8" ht="25.5">
      <c r="A65" s="367"/>
      <c r="B65" s="530" t="s">
        <v>800</v>
      </c>
      <c r="C65" s="563" t="s">
        <v>20</v>
      </c>
      <c r="D65" s="563" t="s">
        <v>843</v>
      </c>
      <c r="E65" s="563" t="s">
        <v>784</v>
      </c>
      <c r="F65" s="563" t="s">
        <v>785</v>
      </c>
      <c r="G65" s="563" t="s">
        <v>786</v>
      </c>
      <c r="H65" s="563" t="s">
        <v>844</v>
      </c>
    </row>
    <row r="66" spans="1:8">
      <c r="A66" s="367">
        <f>+A55+1</f>
        <v>31</v>
      </c>
      <c r="B66" s="596"/>
      <c r="C66" s="565"/>
      <c r="D66" s="566"/>
      <c r="E66" s="566"/>
      <c r="F66" s="566"/>
      <c r="G66" s="566"/>
      <c r="H66" s="567"/>
    </row>
    <row r="67" spans="1:8">
      <c r="A67" s="367">
        <f>+A66+1</f>
        <v>32</v>
      </c>
      <c r="B67" s="568"/>
      <c r="C67" s="565"/>
      <c r="D67" s="566"/>
      <c r="E67" s="566"/>
      <c r="F67" s="566"/>
      <c r="G67" s="566"/>
      <c r="H67" s="567"/>
    </row>
    <row r="68" spans="1:8">
      <c r="A68" s="367">
        <f t="shared" ref="A68:A79" si="3">+A67+1</f>
        <v>33</v>
      </c>
      <c r="B68" s="568"/>
      <c r="C68" s="565"/>
      <c r="D68" s="566"/>
      <c r="E68" s="566"/>
      <c r="F68" s="566"/>
      <c r="G68" s="566"/>
      <c r="H68" s="567"/>
    </row>
    <row r="69" spans="1:8">
      <c r="A69" s="367">
        <f t="shared" si="3"/>
        <v>34</v>
      </c>
      <c r="B69" s="568"/>
      <c r="C69" s="565"/>
      <c r="D69" s="566"/>
      <c r="E69" s="566"/>
      <c r="F69" s="566"/>
      <c r="G69" s="566"/>
      <c r="H69" s="567"/>
    </row>
    <row r="70" spans="1:8">
      <c r="A70" s="367">
        <f t="shared" si="3"/>
        <v>35</v>
      </c>
      <c r="B70" s="568"/>
      <c r="C70" s="566"/>
      <c r="D70" s="591"/>
      <c r="E70" s="566"/>
      <c r="F70" s="566"/>
      <c r="G70" s="566"/>
      <c r="H70" s="567"/>
    </row>
    <row r="71" spans="1:8">
      <c r="A71" s="367">
        <f t="shared" si="3"/>
        <v>36</v>
      </c>
      <c r="B71" s="568"/>
      <c r="C71" s="566"/>
      <c r="D71" s="591"/>
      <c r="E71" s="566"/>
      <c r="F71" s="566"/>
      <c r="G71" s="566"/>
      <c r="H71" s="567"/>
    </row>
    <row r="72" spans="1:8">
      <c r="A72" s="367">
        <f t="shared" si="3"/>
        <v>37</v>
      </c>
      <c r="B72" s="568"/>
      <c r="C72" s="566"/>
      <c r="D72" s="591"/>
      <c r="E72" s="566"/>
      <c r="F72" s="566"/>
      <c r="G72" s="566"/>
      <c r="H72" s="567"/>
    </row>
    <row r="73" spans="1:8">
      <c r="A73" s="367">
        <f t="shared" si="3"/>
        <v>38</v>
      </c>
      <c r="B73" s="568"/>
      <c r="C73" s="566"/>
      <c r="D73" s="569"/>
      <c r="E73" s="566"/>
      <c r="F73" s="566"/>
      <c r="G73" s="566"/>
      <c r="H73" s="567"/>
    </row>
    <row r="74" spans="1:8">
      <c r="A74" s="367">
        <f t="shared" si="3"/>
        <v>39</v>
      </c>
      <c r="B74" s="568"/>
      <c r="C74" s="566"/>
      <c r="D74" s="566"/>
      <c r="E74" s="566"/>
      <c r="F74" s="566"/>
      <c r="G74" s="566"/>
      <c r="H74" s="567"/>
    </row>
    <row r="75" spans="1:8">
      <c r="A75" s="367">
        <f t="shared" si="3"/>
        <v>40</v>
      </c>
      <c r="B75" s="570" t="s">
        <v>20</v>
      </c>
      <c r="C75" s="597"/>
      <c r="D75" s="597"/>
      <c r="E75" s="597"/>
      <c r="F75" s="597"/>
      <c r="G75" s="597"/>
      <c r="H75" s="572" t="s">
        <v>845</v>
      </c>
    </row>
    <row r="76" spans="1:8">
      <c r="A76" s="367">
        <f t="shared" si="3"/>
        <v>41</v>
      </c>
      <c r="B76" s="573" t="s">
        <v>866</v>
      </c>
      <c r="C76" s="574">
        <f>SUBTOTAL(9,C66:C75)</f>
        <v>0</v>
      </c>
      <c r="D76" s="574">
        <f>SUM(D66:D75)</f>
        <v>0</v>
      </c>
      <c r="E76" s="574">
        <f>SUM(E66:E75)</f>
        <v>0</v>
      </c>
      <c r="F76" s="574">
        <f>SUM(F66:F75)</f>
        <v>0</v>
      </c>
      <c r="G76" s="574">
        <f>SUM(G66:G75)</f>
        <v>0</v>
      </c>
      <c r="H76" s="567"/>
    </row>
    <row r="77" spans="1:8">
      <c r="A77" s="367">
        <f t="shared" si="3"/>
        <v>42</v>
      </c>
      <c r="B77" s="573" t="s">
        <v>847</v>
      </c>
      <c r="C77" s="578"/>
      <c r="D77" s="578"/>
      <c r="E77" s="578"/>
      <c r="F77" s="578"/>
      <c r="G77" s="578"/>
      <c r="H77" s="567"/>
    </row>
    <row r="78" spans="1:8">
      <c r="A78" s="367">
        <f t="shared" si="3"/>
        <v>43</v>
      </c>
      <c r="B78" s="598" t="s">
        <v>848</v>
      </c>
      <c r="C78" s="599"/>
      <c r="D78" s="599"/>
      <c r="E78" s="599"/>
      <c r="F78" s="599"/>
      <c r="G78" s="599"/>
      <c r="H78" s="582"/>
    </row>
    <row r="79" spans="1:8" ht="15.75" thickBot="1">
      <c r="A79" s="367">
        <f t="shared" si="3"/>
        <v>44</v>
      </c>
      <c r="B79" s="583" t="s">
        <v>20</v>
      </c>
      <c r="C79" s="600">
        <f>+C76-C77-C78</f>
        <v>0</v>
      </c>
      <c r="D79" s="600">
        <f>+D76-D77-D78</f>
        <v>0</v>
      </c>
      <c r="E79" s="600">
        <f>+E76-E77-E78</f>
        <v>0</v>
      </c>
      <c r="F79" s="600">
        <f>+F76-F77-F78</f>
        <v>0</v>
      </c>
      <c r="G79" s="600">
        <f>+G76-G77-G78</f>
        <v>0</v>
      </c>
      <c r="H79" s="585"/>
    </row>
    <row r="80" spans="1:8" ht="15.75" thickTop="1">
      <c r="B80" s="526" t="s">
        <v>860</v>
      </c>
      <c r="C80" s="526"/>
      <c r="D80" s="526"/>
      <c r="E80" s="525"/>
      <c r="F80" s="525"/>
      <c r="G80" s="526"/>
      <c r="H80" s="601"/>
    </row>
    <row r="81" spans="2:8">
      <c r="B81" s="588" t="s">
        <v>850</v>
      </c>
      <c r="C81" s="588"/>
      <c r="D81" s="588"/>
      <c r="E81" s="588"/>
      <c r="F81" s="588"/>
      <c r="G81" s="588"/>
      <c r="H81" s="526"/>
    </row>
    <row r="82" spans="2:8">
      <c r="B82" s="530" t="s">
        <v>851</v>
      </c>
      <c r="C82" s="526"/>
      <c r="D82" s="526"/>
      <c r="E82" s="526"/>
      <c r="F82" s="525"/>
      <c r="G82" s="525"/>
      <c r="H82" s="526"/>
    </row>
    <row r="83" spans="2:8">
      <c r="B83" s="530" t="s">
        <v>852</v>
      </c>
      <c r="C83" s="526"/>
      <c r="D83" s="526"/>
      <c r="E83" s="526"/>
      <c r="F83" s="525"/>
      <c r="G83" s="525"/>
      <c r="H83" s="526"/>
    </row>
    <row r="84" spans="2:8">
      <c r="B84" s="530" t="s">
        <v>853</v>
      </c>
      <c r="C84" s="526"/>
      <c r="D84" s="526"/>
      <c r="E84" s="526"/>
      <c r="F84" s="525"/>
      <c r="G84" s="525"/>
      <c r="H84" s="526"/>
    </row>
    <row r="85" spans="2:8" ht="27" customHeight="1">
      <c r="B85" s="588" t="s">
        <v>854</v>
      </c>
      <c r="C85" s="588"/>
      <c r="D85" s="588"/>
      <c r="E85" s="588"/>
      <c r="F85" s="588"/>
      <c r="G85" s="588"/>
      <c r="H85" s="526"/>
    </row>
  </sheetData>
  <mergeCells count="10">
    <mergeCell ref="B57:G57"/>
    <mergeCell ref="B61:G61"/>
    <mergeCell ref="B81:G81"/>
    <mergeCell ref="B85:G85"/>
    <mergeCell ref="B1:H1"/>
    <mergeCell ref="B3:H3"/>
    <mergeCell ref="B4:H4"/>
    <mergeCell ref="B16:H16"/>
    <mergeCell ref="B35:G35"/>
    <mergeCell ref="B39:G3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96AB3-5312-41EC-AD5D-9B55A76E8443}">
  <sheetPr>
    <tabColor rgb="FF92D050"/>
  </sheetPr>
  <dimension ref="A1:J35"/>
  <sheetViews>
    <sheetView workbookViewId="0">
      <selection activeCell="G16" sqref="G16"/>
    </sheetView>
  </sheetViews>
  <sheetFormatPr defaultRowHeight="15"/>
  <cols>
    <col min="1" max="1" width="5.6640625" customWidth="1"/>
    <col min="2" max="2" width="29.6640625" customWidth="1"/>
    <col min="3" max="3" width="10.6640625" customWidth="1"/>
    <col min="4" max="4" width="9.88671875" customWidth="1"/>
    <col min="5" max="5" width="16.33203125" customWidth="1"/>
    <col min="6" max="6" width="12.109375" customWidth="1"/>
    <col min="7" max="7" width="11.88671875" customWidth="1"/>
    <col min="8" max="8" width="14.109375" customWidth="1"/>
    <col min="9" max="9" width="17.109375" customWidth="1"/>
    <col min="10" max="10" width="38.44140625" bestFit="1" customWidth="1"/>
  </cols>
  <sheetData>
    <row r="1" spans="1:10">
      <c r="A1" s="522" t="s">
        <v>867</v>
      </c>
      <c r="B1" s="522"/>
      <c r="C1" s="522"/>
      <c r="D1" s="522"/>
      <c r="E1" s="522"/>
      <c r="F1" s="522"/>
      <c r="G1" s="522"/>
      <c r="H1" s="522"/>
      <c r="I1" s="522"/>
      <c r="J1" s="522"/>
    </row>
    <row r="2" spans="1:10">
      <c r="A2" s="523" t="s">
        <v>5</v>
      </c>
      <c r="B2" s="522" t="e">
        <v>#REF!</v>
      </c>
      <c r="C2" s="522" t="e">
        <v>#REF!</v>
      </c>
      <c r="D2" s="522">
        <v>0</v>
      </c>
      <c r="E2" s="522">
        <v>0</v>
      </c>
      <c r="F2" s="522">
        <v>0</v>
      </c>
      <c r="G2" s="522" t="s">
        <v>4</v>
      </c>
      <c r="H2" s="522">
        <v>0</v>
      </c>
      <c r="I2" s="522">
        <v>0</v>
      </c>
      <c r="J2" s="522">
        <v>0</v>
      </c>
    </row>
    <row r="3" spans="1:10">
      <c r="A3" s="522" t="str">
        <f>'4d - ADIT EOY'!B3</f>
        <v>For the 12 months ended 12/31/2020</v>
      </c>
      <c r="B3" s="522"/>
      <c r="C3" s="522"/>
      <c r="D3" s="522"/>
      <c r="E3" s="522"/>
      <c r="F3" s="522"/>
      <c r="G3" s="522"/>
      <c r="H3" s="524"/>
      <c r="I3" s="524"/>
      <c r="J3" s="522"/>
    </row>
    <row r="4" spans="1:10">
      <c r="A4" s="525"/>
      <c r="B4" s="525"/>
      <c r="C4" s="525"/>
      <c r="D4" s="525"/>
      <c r="E4" s="525"/>
      <c r="F4" s="525"/>
      <c r="G4" s="525"/>
      <c r="H4" s="525"/>
      <c r="I4" s="525"/>
      <c r="J4" s="525"/>
    </row>
    <row r="5" spans="1:10">
      <c r="A5" s="526"/>
      <c r="B5" s="525" t="s">
        <v>538</v>
      </c>
      <c r="C5" s="525" t="s">
        <v>539</v>
      </c>
      <c r="D5" s="525" t="s">
        <v>540</v>
      </c>
      <c r="E5" s="525" t="s">
        <v>541</v>
      </c>
      <c r="F5" s="525" t="s">
        <v>563</v>
      </c>
      <c r="G5" s="525" t="s">
        <v>564</v>
      </c>
      <c r="H5" s="525" t="s">
        <v>565</v>
      </c>
      <c r="I5" s="527" t="s">
        <v>566</v>
      </c>
      <c r="J5" s="525"/>
    </row>
    <row r="6" spans="1:10" ht="25.5">
      <c r="A6" s="528" t="s">
        <v>780</v>
      </c>
      <c r="B6" s="529" t="s">
        <v>781</v>
      </c>
      <c r="C6" s="529" t="s">
        <v>558</v>
      </c>
      <c r="D6" s="529" t="s">
        <v>782</v>
      </c>
      <c r="E6" s="529" t="s">
        <v>783</v>
      </c>
      <c r="F6" s="529" t="s">
        <v>784</v>
      </c>
      <c r="G6" s="529" t="s">
        <v>785</v>
      </c>
      <c r="H6" s="529" t="s">
        <v>786</v>
      </c>
      <c r="I6" s="529" t="s">
        <v>787</v>
      </c>
      <c r="J6" s="529"/>
    </row>
    <row r="7" spans="1:10">
      <c r="A7" s="526" t="s">
        <v>788</v>
      </c>
      <c r="B7" s="530"/>
      <c r="C7" s="526"/>
      <c r="D7" s="525"/>
      <c r="E7" s="525"/>
      <c r="F7" s="525"/>
      <c r="G7" s="526"/>
      <c r="H7" s="526"/>
      <c r="I7" s="526"/>
      <c r="J7" s="526"/>
    </row>
    <row r="8" spans="1:10">
      <c r="A8" s="531">
        <v>1</v>
      </c>
      <c r="B8" s="530" t="s">
        <v>789</v>
      </c>
      <c r="C8" s="526" t="s">
        <v>666</v>
      </c>
      <c r="D8" s="604" t="s">
        <v>868</v>
      </c>
      <c r="E8" s="23">
        <f>+'4c - ADIT BOY'!C55</f>
        <v>0</v>
      </c>
      <c r="F8" s="23">
        <f>+'4c - ADIT BOY'!E55</f>
        <v>-2411206.2085722177</v>
      </c>
      <c r="G8" s="23">
        <f>+'4c - ADIT BOY'!F55</f>
        <v>0</v>
      </c>
      <c r="H8" s="23">
        <f>+'4c - ADIT BOY'!G55</f>
        <v>0</v>
      </c>
      <c r="I8" s="26"/>
      <c r="J8" s="533"/>
    </row>
    <row r="9" spans="1:10">
      <c r="A9" s="531">
        <f>A8+1</f>
        <v>2</v>
      </c>
      <c r="B9" s="530" t="s">
        <v>790</v>
      </c>
      <c r="C9" s="526" t="s">
        <v>666</v>
      </c>
      <c r="D9" s="604" t="s">
        <v>868</v>
      </c>
      <c r="E9" s="23">
        <f>+'4d - ADIT EOY'!C55-'4d - ADIT EOY'!C51</f>
        <v>0</v>
      </c>
      <c r="F9" s="23">
        <f>+'4d - ADIT EOY'!E55-'4d - ADIT EOY'!E51</f>
        <v>0</v>
      </c>
      <c r="G9" s="23">
        <f>+'4d - ADIT EOY'!F55-'4d - ADIT EOY'!F51</f>
        <v>0</v>
      </c>
      <c r="H9" s="23">
        <f>+'4d - ADIT EOY'!G55-'4d - ADIT EOY'!G51</f>
        <v>0</v>
      </c>
      <c r="I9" s="26"/>
      <c r="J9" s="533"/>
    </row>
    <row r="10" spans="1:10">
      <c r="A10" s="531">
        <f t="shared" ref="A10:A15" si="0">A9+1</f>
        <v>3</v>
      </c>
      <c r="B10" s="530" t="s">
        <v>869</v>
      </c>
      <c r="C10" s="526" t="s">
        <v>666</v>
      </c>
      <c r="D10" s="604" t="s">
        <v>868</v>
      </c>
      <c r="E10" s="23">
        <f>+'4b - ADIT Projection Proration'!F22</f>
        <v>-2411206.2085722177</v>
      </c>
      <c r="F10" s="23">
        <f>+'4b - ADIT Projection Proration'!H22</f>
        <v>-2694854.1631239178</v>
      </c>
      <c r="G10" s="26">
        <f>+'4b - ADIT Projection Proration'!J22</f>
        <v>0</v>
      </c>
      <c r="H10" s="26">
        <f>+'4b - ADIT Projection Proration'!L22</f>
        <v>0</v>
      </c>
      <c r="I10" s="26"/>
      <c r="J10" s="533"/>
    </row>
    <row r="11" spans="1:10">
      <c r="A11" s="531">
        <f t="shared" si="0"/>
        <v>4</v>
      </c>
      <c r="B11" s="530" t="s">
        <v>792</v>
      </c>
      <c r="C11" s="526"/>
      <c r="D11" s="61"/>
      <c r="E11" s="533">
        <f>E9+E10</f>
        <v>-2411206.2085722177</v>
      </c>
      <c r="F11" s="533">
        <f t="shared" ref="F11:H11" si="1">F9+F10</f>
        <v>-2694854.1631239178</v>
      </c>
      <c r="G11" s="533">
        <f t="shared" si="1"/>
        <v>0</v>
      </c>
      <c r="H11" s="533">
        <f t="shared" si="1"/>
        <v>0</v>
      </c>
      <c r="I11" s="534"/>
      <c r="J11" s="534"/>
    </row>
    <row r="12" spans="1:10">
      <c r="A12" s="531">
        <f t="shared" si="0"/>
        <v>5</v>
      </c>
      <c r="B12" s="530" t="s">
        <v>793</v>
      </c>
      <c r="C12" s="526"/>
      <c r="D12" s="526"/>
      <c r="E12" s="533"/>
      <c r="F12" s="533">
        <v>1</v>
      </c>
      <c r="G12" s="533"/>
      <c r="H12" s="533"/>
      <c r="I12" s="533"/>
      <c r="J12" s="535">
        <v>1</v>
      </c>
    </row>
    <row r="13" spans="1:10">
      <c r="A13" s="531">
        <f t="shared" si="0"/>
        <v>6</v>
      </c>
      <c r="B13" s="530" t="s">
        <v>794</v>
      </c>
      <c r="C13" s="526"/>
      <c r="D13" s="526"/>
      <c r="E13" s="533"/>
      <c r="F13" s="533"/>
      <c r="G13" s="533">
        <f>+'Attachment H'!$G$84</f>
        <v>1</v>
      </c>
      <c r="H13" s="533"/>
      <c r="I13" s="533"/>
      <c r="J13" s="526" t="s">
        <v>795</v>
      </c>
    </row>
    <row r="14" spans="1:10">
      <c r="A14" s="531">
        <f t="shared" si="0"/>
        <v>7</v>
      </c>
      <c r="B14" s="530" t="s">
        <v>796</v>
      </c>
      <c r="C14" s="526"/>
      <c r="D14" s="526"/>
      <c r="E14" s="533"/>
      <c r="F14" s="533"/>
      <c r="G14" s="533"/>
      <c r="H14" s="533">
        <f>+'Attachment H'!$I$197</f>
        <v>1</v>
      </c>
      <c r="I14" s="533"/>
      <c r="J14" s="526" t="s">
        <v>797</v>
      </c>
    </row>
    <row r="15" spans="1:10">
      <c r="A15" s="531">
        <f t="shared" si="0"/>
        <v>8</v>
      </c>
      <c r="B15" s="530" t="s">
        <v>798</v>
      </c>
      <c r="C15" s="526"/>
      <c r="D15" s="526"/>
      <c r="E15" s="533">
        <f>+E11</f>
        <v>-2411206.2085722177</v>
      </c>
      <c r="F15" s="533">
        <f>+F11*F12</f>
        <v>-2694854.1631239178</v>
      </c>
      <c r="G15" s="533">
        <f>+G11*G13</f>
        <v>0</v>
      </c>
      <c r="H15" s="533">
        <f>+H11*H14</f>
        <v>0</v>
      </c>
      <c r="I15" s="534">
        <f>+F15+G15+H15</f>
        <v>-2694854.1631239178</v>
      </c>
      <c r="J15" s="533" t="s">
        <v>870</v>
      </c>
    </row>
    <row r="16" spans="1:10">
      <c r="A16" s="531"/>
      <c r="B16" s="530"/>
      <c r="C16" s="526"/>
      <c r="D16" s="526"/>
      <c r="E16" s="526"/>
      <c r="F16" s="526"/>
      <c r="G16" s="526"/>
      <c r="H16" s="526"/>
      <c r="I16" s="526"/>
      <c r="J16" s="526"/>
    </row>
    <row r="17" spans="1:10">
      <c r="A17" s="526" t="s">
        <v>800</v>
      </c>
      <c r="B17" s="530"/>
      <c r="C17" s="526"/>
      <c r="D17" s="526"/>
      <c r="E17" s="526"/>
      <c r="F17" s="526"/>
      <c r="G17" s="526"/>
      <c r="H17" s="526"/>
      <c r="I17" s="526"/>
      <c r="J17" s="526"/>
    </row>
    <row r="18" spans="1:10">
      <c r="A18" s="531">
        <f>A15+1</f>
        <v>9</v>
      </c>
      <c r="B18" s="530" t="s">
        <v>801</v>
      </c>
      <c r="C18" s="526" t="s">
        <v>666</v>
      </c>
      <c r="D18" s="604" t="s">
        <v>868</v>
      </c>
      <c r="E18" s="26">
        <f>+'4c - ADIT BOY'!C79</f>
        <v>0</v>
      </c>
      <c r="F18" s="26">
        <f>+'4c - ADIT BOY'!E79</f>
        <v>0</v>
      </c>
      <c r="G18" s="26">
        <f>+'4c - ADIT BOY'!F79</f>
        <v>0</v>
      </c>
      <c r="H18" s="26">
        <f>+'4c - ADIT BOY'!G79</f>
        <v>0</v>
      </c>
      <c r="I18" s="26"/>
      <c r="J18" s="533"/>
    </row>
    <row r="19" spans="1:10">
      <c r="A19" s="531">
        <f>A18+1</f>
        <v>10</v>
      </c>
      <c r="B19" s="530" t="s">
        <v>802</v>
      </c>
      <c r="C19" s="526" t="s">
        <v>666</v>
      </c>
      <c r="D19" s="604" t="s">
        <v>868</v>
      </c>
      <c r="E19" s="26">
        <f>'4d - ADIT EOY'!C79-'4d - ADIT EOY'!C75</f>
        <v>0</v>
      </c>
      <c r="F19" s="26">
        <f>+'4d - ADIT EOY'!E79-'4d - ADIT EOY'!E75</f>
        <v>0</v>
      </c>
      <c r="G19" s="26">
        <f>+'4d - ADIT EOY'!F79-'4d - ADIT EOY'!F75</f>
        <v>0</v>
      </c>
      <c r="H19" s="26">
        <f>+'4d - ADIT EOY'!G79-'4d - ADIT EOY'!G75</f>
        <v>0</v>
      </c>
      <c r="I19" s="26"/>
      <c r="J19" s="533"/>
    </row>
    <row r="20" spans="1:10">
      <c r="A20" s="531">
        <f t="shared" ref="A20:A25" si="2">A19+1</f>
        <v>11</v>
      </c>
      <c r="B20" s="530" t="s">
        <v>871</v>
      </c>
      <c r="C20" s="526" t="s">
        <v>666</v>
      </c>
      <c r="D20" s="604" t="s">
        <v>868</v>
      </c>
      <c r="E20" s="26">
        <f>+'4b - ADIT Projection Proration'!F38</f>
        <v>0</v>
      </c>
      <c r="F20" s="26">
        <f>+'4b - ADIT Projection Proration'!H38</f>
        <v>0</v>
      </c>
      <c r="G20" s="26">
        <f>+'4b - ADIT Projection Proration'!J38</f>
        <v>0</v>
      </c>
      <c r="H20" s="26">
        <f>+'4b - ADIT Projection Proration'!L38</f>
        <v>0</v>
      </c>
      <c r="I20" s="26"/>
      <c r="J20" s="533"/>
    </row>
    <row r="21" spans="1:10">
      <c r="A21" s="531">
        <f t="shared" si="2"/>
        <v>12</v>
      </c>
      <c r="B21" s="530" t="s">
        <v>792</v>
      </c>
      <c r="C21" s="526"/>
      <c r="D21" s="61"/>
      <c r="E21" s="26">
        <f>E19+E20</f>
        <v>0</v>
      </c>
      <c r="F21" s="26">
        <f>F19+F20</f>
        <v>0</v>
      </c>
      <c r="G21" s="26">
        <f>G19+G20</f>
        <v>0</v>
      </c>
      <c r="H21" s="26">
        <f>H19+H20</f>
        <v>0</v>
      </c>
      <c r="I21" s="26"/>
      <c r="J21" s="533"/>
    </row>
    <row r="22" spans="1:10">
      <c r="A22" s="531">
        <f t="shared" si="2"/>
        <v>13</v>
      </c>
      <c r="B22" s="530" t="s">
        <v>793</v>
      </c>
      <c r="C22" s="526"/>
      <c r="D22" s="526"/>
      <c r="E22" s="533"/>
      <c r="F22" s="533">
        <v>1</v>
      </c>
      <c r="G22" s="533"/>
      <c r="H22" s="533"/>
      <c r="I22" s="533"/>
      <c r="J22" s="535">
        <v>1</v>
      </c>
    </row>
    <row r="23" spans="1:10">
      <c r="A23" s="531">
        <f t="shared" si="2"/>
        <v>14</v>
      </c>
      <c r="B23" s="530" t="s">
        <v>794</v>
      </c>
      <c r="C23" s="526"/>
      <c r="D23" s="526"/>
      <c r="E23" s="533"/>
      <c r="F23" s="533"/>
      <c r="G23" s="533">
        <f>+'Attachment H'!$G$84</f>
        <v>1</v>
      </c>
      <c r="H23" s="533"/>
      <c r="I23" s="533"/>
      <c r="J23" s="526" t="s">
        <v>795</v>
      </c>
    </row>
    <row r="24" spans="1:10">
      <c r="A24" s="531">
        <f t="shared" si="2"/>
        <v>15</v>
      </c>
      <c r="B24" s="530" t="s">
        <v>796</v>
      </c>
      <c r="C24" s="526"/>
      <c r="D24" s="526"/>
      <c r="E24" s="533"/>
      <c r="F24" s="533"/>
      <c r="G24" s="533"/>
      <c r="H24" s="533">
        <f>+'Attachment H'!$I$197</f>
        <v>1</v>
      </c>
      <c r="I24" s="533"/>
      <c r="J24" s="526" t="s">
        <v>797</v>
      </c>
    </row>
    <row r="25" spans="1:10">
      <c r="A25" s="531">
        <f t="shared" si="2"/>
        <v>16</v>
      </c>
      <c r="B25" s="530" t="s">
        <v>798</v>
      </c>
      <c r="C25" s="526"/>
      <c r="D25" s="526"/>
      <c r="E25" s="533">
        <f>+E21</f>
        <v>0</v>
      </c>
      <c r="F25" s="533">
        <f>+F21*F22</f>
        <v>0</v>
      </c>
      <c r="G25" s="533">
        <f>+G21*G23</f>
        <v>0</v>
      </c>
      <c r="H25" s="533">
        <f>+H21*H24</f>
        <v>0</v>
      </c>
      <c r="I25" s="534">
        <f>+F25+G25+H25</f>
        <v>0</v>
      </c>
      <c r="J25" s="533" t="s">
        <v>870</v>
      </c>
    </row>
    <row r="26" spans="1:10">
      <c r="A26" s="531"/>
      <c r="B26" s="530"/>
      <c r="C26" s="526"/>
      <c r="D26" s="526"/>
      <c r="E26" s="526"/>
      <c r="F26" s="526"/>
      <c r="G26" s="526"/>
      <c r="H26" s="526"/>
      <c r="I26" s="526"/>
      <c r="J26" s="526"/>
    </row>
    <row r="27" spans="1:10">
      <c r="A27" s="526" t="s">
        <v>805</v>
      </c>
      <c r="B27" s="530"/>
      <c r="C27" s="526"/>
      <c r="D27" s="526"/>
      <c r="E27" s="526"/>
      <c r="F27" s="526"/>
      <c r="G27" s="526"/>
      <c r="H27" s="526"/>
      <c r="I27" s="526"/>
      <c r="J27" s="526"/>
    </row>
    <row r="28" spans="1:10">
      <c r="A28" s="531">
        <f>A25+1</f>
        <v>17</v>
      </c>
      <c r="B28" s="530" t="s">
        <v>806</v>
      </c>
      <c r="C28" s="526" t="s">
        <v>666</v>
      </c>
      <c r="D28" s="604" t="s">
        <v>868</v>
      </c>
      <c r="E28" s="26">
        <f>+'4c - ADIT BOY'!C33</f>
        <v>0</v>
      </c>
      <c r="F28" s="26">
        <f>+'4c - ADIT BOY'!E33</f>
        <v>0</v>
      </c>
      <c r="G28" s="26">
        <f>+'4c - ADIT BOY'!F33</f>
        <v>0</v>
      </c>
      <c r="H28" s="26">
        <f>+'4c - ADIT BOY'!G33</f>
        <v>0</v>
      </c>
      <c r="I28" s="26"/>
      <c r="J28" s="533"/>
    </row>
    <row r="29" spans="1:10">
      <c r="A29" s="531">
        <f>A28+1</f>
        <v>18</v>
      </c>
      <c r="B29" s="530" t="s">
        <v>807</v>
      </c>
      <c r="C29" s="526" t="s">
        <v>666</v>
      </c>
      <c r="D29" s="604" t="s">
        <v>868</v>
      </c>
      <c r="E29" s="26">
        <f>+'4d - ADIT EOY'!C33-'4d - ADIT EOY'!C29</f>
        <v>0</v>
      </c>
      <c r="F29" s="26">
        <f>+'4d - ADIT EOY'!E33-'4d - ADIT EOY'!E29</f>
        <v>0</v>
      </c>
      <c r="G29" s="26">
        <f>+'4d - ADIT EOY'!F33-'4d - ADIT EOY'!F29</f>
        <v>0</v>
      </c>
      <c r="H29" s="26">
        <f>+'4d - ADIT EOY'!G33-'4d - ADIT EOY'!G29</f>
        <v>0</v>
      </c>
      <c r="I29" s="26"/>
      <c r="J29" s="533"/>
    </row>
    <row r="30" spans="1:10">
      <c r="A30" s="531">
        <f t="shared" ref="A30:A35" si="3">A29+1</f>
        <v>19</v>
      </c>
      <c r="B30" s="530" t="s">
        <v>872</v>
      </c>
      <c r="C30" s="526" t="s">
        <v>666</v>
      </c>
      <c r="D30" s="604" t="s">
        <v>868</v>
      </c>
      <c r="E30" s="26">
        <f>+'4b - ADIT Projection Proration'!F54</f>
        <v>0</v>
      </c>
      <c r="F30" s="26">
        <f>+'4b - ADIT Projection Proration'!H54</f>
        <v>0</v>
      </c>
      <c r="G30" s="26">
        <f>+'4b - ADIT Projection Proration'!J54</f>
        <v>0</v>
      </c>
      <c r="H30" s="26">
        <f>+'4b - ADIT Projection Proration'!L54</f>
        <v>0</v>
      </c>
      <c r="I30" s="26"/>
      <c r="J30" s="533"/>
    </row>
    <row r="31" spans="1:10">
      <c r="A31" s="531">
        <f t="shared" si="3"/>
        <v>20</v>
      </c>
      <c r="B31" s="530" t="s">
        <v>792</v>
      </c>
      <c r="C31" s="526"/>
      <c r="D31" s="61"/>
      <c r="E31" s="26">
        <f>E29+E30</f>
        <v>0</v>
      </c>
      <c r="F31" s="26">
        <f>F29+F30</f>
        <v>0</v>
      </c>
      <c r="G31" s="26">
        <f>G29+G30</f>
        <v>0</v>
      </c>
      <c r="H31" s="26">
        <f>H29+H30</f>
        <v>0</v>
      </c>
      <c r="I31" s="26"/>
      <c r="J31" s="533"/>
    </row>
    <row r="32" spans="1:10">
      <c r="A32" s="531">
        <f t="shared" si="3"/>
        <v>21</v>
      </c>
      <c r="B32" s="530" t="s">
        <v>793</v>
      </c>
      <c r="C32" s="526"/>
      <c r="D32" s="526"/>
      <c r="E32" s="533"/>
      <c r="F32" s="533">
        <v>1</v>
      </c>
      <c r="G32" s="533"/>
      <c r="H32" s="533"/>
      <c r="I32" s="533"/>
      <c r="J32" s="535">
        <v>1</v>
      </c>
    </row>
    <row r="33" spans="1:10">
      <c r="A33" s="531">
        <f t="shared" si="3"/>
        <v>22</v>
      </c>
      <c r="B33" s="530" t="s">
        <v>794</v>
      </c>
      <c r="C33" s="526"/>
      <c r="D33" s="526"/>
      <c r="E33" s="533"/>
      <c r="F33" s="533"/>
      <c r="G33" s="533">
        <f>+'Attachment H'!$G$84</f>
        <v>1</v>
      </c>
      <c r="H33" s="533"/>
      <c r="I33" s="533"/>
      <c r="J33" s="526" t="s">
        <v>795</v>
      </c>
    </row>
    <row r="34" spans="1:10">
      <c r="A34" s="531">
        <f t="shared" si="3"/>
        <v>23</v>
      </c>
      <c r="B34" s="530" t="s">
        <v>796</v>
      </c>
      <c r="C34" s="526"/>
      <c r="D34" s="526"/>
      <c r="E34" s="533"/>
      <c r="F34" s="533"/>
      <c r="G34" s="533"/>
      <c r="H34" s="533">
        <f>+'Attachment H'!$I$197</f>
        <v>1</v>
      </c>
      <c r="I34" s="533"/>
      <c r="J34" s="526" t="s">
        <v>797</v>
      </c>
    </row>
    <row r="35" spans="1:10">
      <c r="A35" s="531">
        <f t="shared" si="3"/>
        <v>24</v>
      </c>
      <c r="B35" s="530" t="s">
        <v>798</v>
      </c>
      <c r="C35" s="526"/>
      <c r="D35" s="526"/>
      <c r="E35" s="533">
        <f>E31</f>
        <v>0</v>
      </c>
      <c r="F35" s="533">
        <f>+F31*F32</f>
        <v>0</v>
      </c>
      <c r="G35" s="533">
        <f>+G31*G33</f>
        <v>0</v>
      </c>
      <c r="H35" s="533">
        <f>+H31*H34</f>
        <v>0</v>
      </c>
      <c r="I35" s="534">
        <f>+F35+G35+H35</f>
        <v>0</v>
      </c>
      <c r="J35" s="533" t="s">
        <v>870</v>
      </c>
    </row>
  </sheetData>
  <mergeCells count="3">
    <mergeCell ref="A1:J1"/>
    <mergeCell ref="A2:J2"/>
    <mergeCell ref="A3:J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0740A-AD27-4FE2-B0CD-B228EA160AF2}">
  <sheetPr>
    <tabColor rgb="FF92D050"/>
  </sheetPr>
  <dimension ref="A1:N61"/>
  <sheetViews>
    <sheetView workbookViewId="0">
      <selection activeCell="A39" sqref="A39:C39"/>
    </sheetView>
  </sheetViews>
  <sheetFormatPr defaultRowHeight="15"/>
  <cols>
    <col min="1" max="1" width="5.6640625" customWidth="1"/>
    <col min="2" max="2" width="25.88671875" customWidth="1"/>
    <col min="3" max="3" width="10.6640625" customWidth="1"/>
    <col min="4" max="4" width="9.88671875" customWidth="1"/>
    <col min="5" max="5" width="10" customWidth="1"/>
    <col min="6" max="14" width="10.5546875" customWidth="1"/>
  </cols>
  <sheetData>
    <row r="1" spans="1:14">
      <c r="A1" s="522" t="s">
        <v>873</v>
      </c>
      <c r="B1" s="522"/>
      <c r="C1" s="522"/>
      <c r="D1" s="522"/>
      <c r="E1" s="522"/>
      <c r="F1" s="522"/>
      <c r="G1" s="522"/>
      <c r="H1" s="522"/>
      <c r="I1" s="522"/>
      <c r="J1" s="522"/>
      <c r="K1" s="522"/>
      <c r="L1" s="522"/>
      <c r="M1" s="522"/>
      <c r="N1" s="522"/>
    </row>
    <row r="2" spans="1:14">
      <c r="A2" s="522" t="s">
        <v>5</v>
      </c>
      <c r="B2" s="522"/>
      <c r="C2" s="522"/>
      <c r="D2" s="522"/>
      <c r="E2" s="522"/>
      <c r="F2" s="522"/>
      <c r="G2" s="522"/>
      <c r="H2" s="522"/>
      <c r="I2" s="522"/>
      <c r="J2" s="522"/>
      <c r="K2" s="522"/>
      <c r="L2" s="522"/>
      <c r="M2" s="522"/>
      <c r="N2" s="522"/>
    </row>
    <row r="3" spans="1:14">
      <c r="A3" s="522" t="str">
        <f>'4e - ADIT True-up'!A3</f>
        <v>For the 12 months ended 12/31/2020</v>
      </c>
      <c r="B3" s="522"/>
      <c r="C3" s="522"/>
      <c r="D3" s="522"/>
      <c r="E3" s="522"/>
      <c r="F3" s="522"/>
      <c r="G3" s="522"/>
      <c r="H3" s="522"/>
      <c r="I3" s="522"/>
      <c r="J3" s="522"/>
      <c r="K3" s="522"/>
      <c r="L3" s="522"/>
      <c r="M3" s="522"/>
      <c r="N3" s="522"/>
    </row>
    <row r="4" spans="1:14" ht="15.75" thickBot="1">
      <c r="A4" s="526"/>
      <c r="B4" s="530"/>
      <c r="C4" s="526"/>
      <c r="D4" s="526"/>
      <c r="E4" s="526"/>
      <c r="F4" s="526"/>
      <c r="G4" s="526"/>
      <c r="H4" s="526"/>
      <c r="I4" s="526"/>
      <c r="J4" s="526"/>
      <c r="K4" s="526"/>
      <c r="L4" s="526"/>
      <c r="M4" s="526"/>
      <c r="N4" s="526"/>
    </row>
    <row r="5" spans="1:14">
      <c r="A5" s="526"/>
      <c r="B5" s="530"/>
      <c r="C5" s="526"/>
      <c r="D5" s="526"/>
      <c r="E5" s="526"/>
      <c r="F5" s="605" t="s">
        <v>39</v>
      </c>
      <c r="G5" s="606"/>
      <c r="H5" s="606"/>
      <c r="I5" s="606"/>
      <c r="J5" s="606"/>
      <c r="K5" s="606"/>
      <c r="L5" s="606"/>
      <c r="M5" s="606"/>
      <c r="N5" s="607"/>
    </row>
    <row r="6" spans="1:14">
      <c r="A6" s="526"/>
      <c r="B6" s="525" t="s">
        <v>538</v>
      </c>
      <c r="C6" s="525" t="s">
        <v>539</v>
      </c>
      <c r="D6" s="525" t="s">
        <v>540</v>
      </c>
      <c r="E6" s="525" t="s">
        <v>541</v>
      </c>
      <c r="F6" s="608" t="s">
        <v>563</v>
      </c>
      <c r="G6" s="525" t="s">
        <v>564</v>
      </c>
      <c r="H6" s="525" t="s">
        <v>565</v>
      </c>
      <c r="I6" s="525" t="s">
        <v>564</v>
      </c>
      <c r="J6" s="525" t="s">
        <v>565</v>
      </c>
      <c r="K6" s="525" t="s">
        <v>566</v>
      </c>
      <c r="L6" s="525" t="s">
        <v>567</v>
      </c>
      <c r="M6" s="525" t="s">
        <v>647</v>
      </c>
      <c r="N6" s="609" t="s">
        <v>648</v>
      </c>
    </row>
    <row r="7" spans="1:14" ht="76.5">
      <c r="A7" s="610"/>
      <c r="B7" s="529" t="s">
        <v>781</v>
      </c>
      <c r="C7" s="529" t="s">
        <v>558</v>
      </c>
      <c r="D7" s="529" t="s">
        <v>782</v>
      </c>
      <c r="E7" s="529" t="s">
        <v>812</v>
      </c>
      <c r="F7" s="611" t="s">
        <v>874</v>
      </c>
      <c r="G7" s="529" t="s">
        <v>875</v>
      </c>
      <c r="H7" s="529" t="s">
        <v>876</v>
      </c>
      <c r="I7" s="529" t="s">
        <v>877</v>
      </c>
      <c r="J7" s="529" t="s">
        <v>878</v>
      </c>
      <c r="K7" s="529" t="s">
        <v>879</v>
      </c>
      <c r="L7" s="529" t="s">
        <v>880</v>
      </c>
      <c r="M7" s="529" t="s">
        <v>881</v>
      </c>
      <c r="N7" s="612" t="s">
        <v>882</v>
      </c>
    </row>
    <row r="8" spans="1:14">
      <c r="A8" s="526" t="s">
        <v>883</v>
      </c>
      <c r="B8" s="530"/>
      <c r="C8" s="526"/>
      <c r="D8" s="525"/>
      <c r="E8" s="525"/>
      <c r="F8" s="613"/>
      <c r="G8" s="526"/>
      <c r="H8" s="526"/>
      <c r="I8" s="526"/>
      <c r="J8" s="526"/>
      <c r="K8" s="526"/>
      <c r="L8" s="526"/>
      <c r="M8" s="526"/>
      <c r="N8" s="614"/>
    </row>
    <row r="9" spans="1:14">
      <c r="A9" s="531">
        <v>1</v>
      </c>
      <c r="B9" s="530" t="s">
        <v>818</v>
      </c>
      <c r="C9" s="526" t="s">
        <v>666</v>
      </c>
      <c r="D9" s="103" t="s">
        <v>868</v>
      </c>
      <c r="E9" s="106">
        <f>365/365</f>
        <v>1</v>
      </c>
      <c r="F9" s="615"/>
      <c r="G9" s="26"/>
      <c r="H9" s="26">
        <f>+'4c - ADIT BOY'!E55</f>
        <v>-2411206.2085722177</v>
      </c>
      <c r="I9" s="26"/>
      <c r="J9" s="26"/>
      <c r="K9" s="26"/>
      <c r="L9" s="26"/>
      <c r="M9" s="26"/>
      <c r="N9" s="616">
        <v>0</v>
      </c>
    </row>
    <row r="10" spans="1:14">
      <c r="A10" s="531">
        <f t="shared" ref="A10:A22" si="0">+A9+1</f>
        <v>2</v>
      </c>
      <c r="B10" s="530" t="s">
        <v>819</v>
      </c>
      <c r="C10" s="526" t="s">
        <v>577</v>
      </c>
      <c r="D10" s="103" t="s">
        <v>868</v>
      </c>
      <c r="E10" s="106">
        <f>335/365</f>
        <v>0.9178082191780822</v>
      </c>
      <c r="F10" s="615">
        <f>+'4b - ADIT Projection Proration'!G10</f>
        <v>-51025.876496486191</v>
      </c>
      <c r="G10" s="26">
        <f>$E10*F10</f>
        <v>-46831.968839240748</v>
      </c>
      <c r="H10" s="26">
        <f>+G10+H9</f>
        <v>-2458038.1774114585</v>
      </c>
      <c r="I10" s="75">
        <v>0</v>
      </c>
      <c r="J10" s="26">
        <f t="shared" ref="J10:J21" si="1">I10-F10</f>
        <v>51025.876496486191</v>
      </c>
      <c r="K10" s="26">
        <f>IF(J10&gt;=0,+J10,0)</f>
        <v>51025.876496486191</v>
      </c>
      <c r="L10" s="26">
        <f>IF(K10&gt;0,0,IF(I10&lt;0,0,(-(J10)*($E10))))</f>
        <v>0</v>
      </c>
      <c r="M10" s="26">
        <f>IF(K10&gt;0,0,IF(I10&gt;0,0,(-(J10)*($E10))))</f>
        <v>0</v>
      </c>
      <c r="N10" s="616">
        <f>IF(I10&lt;0,N9+M10,N9+$G10+K10-L10)</f>
        <v>4193.9076572454433</v>
      </c>
    </row>
    <row r="11" spans="1:14">
      <c r="A11" s="531">
        <f t="shared" si="0"/>
        <v>3</v>
      </c>
      <c r="B11" s="530" t="s">
        <v>819</v>
      </c>
      <c r="C11" s="526" t="s">
        <v>578</v>
      </c>
      <c r="D11" s="103" t="s">
        <v>868</v>
      </c>
      <c r="E11" s="106">
        <f>307/365</f>
        <v>0.84109589041095889</v>
      </c>
      <c r="F11" s="615">
        <f>+'4b - ADIT Projection Proration'!G11</f>
        <v>-51025.876496486191</v>
      </c>
      <c r="G11" s="26">
        <f t="shared" ref="G11:G21" si="2">$E11*F11</f>
        <v>-42917.655025811669</v>
      </c>
      <c r="H11" s="26">
        <f t="shared" ref="H11:H21" si="3">+G11+H10</f>
        <v>-2500955.8324372703</v>
      </c>
      <c r="I11" s="75">
        <v>0</v>
      </c>
      <c r="J11" s="26">
        <f t="shared" si="1"/>
        <v>51025.876496486191</v>
      </c>
      <c r="K11" s="26">
        <f t="shared" ref="K11:K21" si="4">IF(J11&gt;=0,+J11,0)</f>
        <v>51025.876496486191</v>
      </c>
      <c r="L11" s="26">
        <f t="shared" ref="L11:L21" si="5">IF(K11&gt;0,0,IF(I11&lt;0,0,(-(J11)*($E11))))</f>
        <v>0</v>
      </c>
      <c r="M11" s="26">
        <f t="shared" ref="M11:M21" si="6">IF(K11&gt;0,0,IF(I11&gt;0,0,(-(J11)*($E11))))</f>
        <v>0</v>
      </c>
      <c r="N11" s="616">
        <f t="shared" ref="N11:N21" si="7">IF(I11&lt;0,N10+M11,N10+$G11+K11-L11)</f>
        <v>12302.129127919965</v>
      </c>
    </row>
    <row r="12" spans="1:14">
      <c r="A12" s="531">
        <f t="shared" si="0"/>
        <v>4</v>
      </c>
      <c r="B12" s="530" t="s">
        <v>819</v>
      </c>
      <c r="C12" s="526" t="s">
        <v>663</v>
      </c>
      <c r="D12" s="103" t="s">
        <v>868</v>
      </c>
      <c r="E12" s="106">
        <f>276/365</f>
        <v>0.75616438356164384</v>
      </c>
      <c r="F12" s="615">
        <f>+'4b - ADIT Projection Proration'!G12</f>
        <v>-51025.876496486191</v>
      </c>
      <c r="G12" s="26">
        <f t="shared" si="2"/>
        <v>-38583.950446658055</v>
      </c>
      <c r="H12" s="26">
        <f t="shared" si="3"/>
        <v>-2539539.7828839282</v>
      </c>
      <c r="I12" s="75">
        <v>0</v>
      </c>
      <c r="J12" s="26">
        <f t="shared" si="1"/>
        <v>51025.876496486191</v>
      </c>
      <c r="K12" s="26">
        <f t="shared" si="4"/>
        <v>51025.876496486191</v>
      </c>
      <c r="L12" s="26">
        <f t="shared" si="5"/>
        <v>0</v>
      </c>
      <c r="M12" s="26">
        <f t="shared" si="6"/>
        <v>0</v>
      </c>
      <c r="N12" s="616">
        <f t="shared" si="7"/>
        <v>24744.055177748101</v>
      </c>
    </row>
    <row r="13" spans="1:14">
      <c r="A13" s="531">
        <f t="shared" si="0"/>
        <v>5</v>
      </c>
      <c r="B13" s="530" t="s">
        <v>819</v>
      </c>
      <c r="C13" s="526" t="s">
        <v>580</v>
      </c>
      <c r="D13" s="103" t="s">
        <v>868</v>
      </c>
      <c r="E13" s="106">
        <f>246/365</f>
        <v>0.67397260273972603</v>
      </c>
      <c r="F13" s="615">
        <f>+'4b - ADIT Projection Proration'!G13</f>
        <v>-51025.876496486191</v>
      </c>
      <c r="G13" s="26">
        <f t="shared" si="2"/>
        <v>-34390.042789412611</v>
      </c>
      <c r="H13" s="26">
        <f t="shared" si="3"/>
        <v>-2573929.8256733408</v>
      </c>
      <c r="I13" s="75">
        <v>0</v>
      </c>
      <c r="J13" s="26">
        <f t="shared" si="1"/>
        <v>51025.876496486191</v>
      </c>
      <c r="K13" s="26">
        <f t="shared" si="4"/>
        <v>51025.876496486191</v>
      </c>
      <c r="L13" s="26">
        <f t="shared" si="5"/>
        <v>0</v>
      </c>
      <c r="M13" s="26">
        <f t="shared" si="6"/>
        <v>0</v>
      </c>
      <c r="N13" s="616">
        <f t="shared" si="7"/>
        <v>41379.888884821681</v>
      </c>
    </row>
    <row r="14" spans="1:14">
      <c r="A14" s="531">
        <f t="shared" si="0"/>
        <v>6</v>
      </c>
      <c r="B14" s="530" t="s">
        <v>819</v>
      </c>
      <c r="C14" s="526" t="s">
        <v>581</v>
      </c>
      <c r="D14" s="103" t="s">
        <v>868</v>
      </c>
      <c r="E14" s="106">
        <f>215/365</f>
        <v>0.58904109589041098</v>
      </c>
      <c r="F14" s="615">
        <f>+'4b - ADIT Projection Proration'!G14</f>
        <v>-51025.876496486191</v>
      </c>
      <c r="G14" s="26">
        <f t="shared" si="2"/>
        <v>-30056.338210258989</v>
      </c>
      <c r="H14" s="26">
        <f t="shared" si="3"/>
        <v>-2603986.1638835999</v>
      </c>
      <c r="I14" s="75">
        <v>0</v>
      </c>
      <c r="J14" s="26">
        <f t="shared" si="1"/>
        <v>51025.876496486191</v>
      </c>
      <c r="K14" s="26">
        <f t="shared" si="4"/>
        <v>51025.876496486191</v>
      </c>
      <c r="L14" s="26">
        <f t="shared" si="5"/>
        <v>0</v>
      </c>
      <c r="M14" s="26">
        <f t="shared" si="6"/>
        <v>0</v>
      </c>
      <c r="N14" s="616">
        <f t="shared" si="7"/>
        <v>62349.427171048883</v>
      </c>
    </row>
    <row r="15" spans="1:14">
      <c r="A15" s="531">
        <f t="shared" si="0"/>
        <v>7</v>
      </c>
      <c r="B15" s="530" t="s">
        <v>819</v>
      </c>
      <c r="C15" s="526" t="s">
        <v>582</v>
      </c>
      <c r="D15" s="103" t="s">
        <v>868</v>
      </c>
      <c r="E15" s="106">
        <f>185/365</f>
        <v>0.50684931506849318</v>
      </c>
      <c r="F15" s="615">
        <f>+'4b - ADIT Projection Proration'!G15</f>
        <v>-51025.876496486191</v>
      </c>
      <c r="G15" s="26">
        <f t="shared" si="2"/>
        <v>-25862.43055301355</v>
      </c>
      <c r="H15" s="26">
        <f t="shared" si="3"/>
        <v>-2629848.5944366134</v>
      </c>
      <c r="I15" s="75">
        <v>0</v>
      </c>
      <c r="J15" s="26">
        <f t="shared" si="1"/>
        <v>51025.876496486191</v>
      </c>
      <c r="K15" s="26">
        <f t="shared" si="4"/>
        <v>51025.876496486191</v>
      </c>
      <c r="L15" s="26">
        <f t="shared" si="5"/>
        <v>0</v>
      </c>
      <c r="M15" s="26">
        <f t="shared" si="6"/>
        <v>0</v>
      </c>
      <c r="N15" s="616">
        <f t="shared" si="7"/>
        <v>87512.873114521528</v>
      </c>
    </row>
    <row r="16" spans="1:14">
      <c r="A16" s="531">
        <f t="shared" si="0"/>
        <v>8</v>
      </c>
      <c r="B16" s="530" t="s">
        <v>819</v>
      </c>
      <c r="C16" s="526" t="s">
        <v>583</v>
      </c>
      <c r="D16" s="103" t="s">
        <v>868</v>
      </c>
      <c r="E16" s="106">
        <f>154/365</f>
        <v>0.42191780821917807</v>
      </c>
      <c r="F16" s="615">
        <f>+'4b - ADIT Projection Proration'!G16</f>
        <v>-51025.876496486191</v>
      </c>
      <c r="G16" s="26">
        <f t="shared" si="2"/>
        <v>-21528.725973859928</v>
      </c>
      <c r="H16" s="26">
        <f t="shared" si="3"/>
        <v>-2651377.3204104733</v>
      </c>
      <c r="I16" s="75">
        <v>0</v>
      </c>
      <c r="J16" s="26">
        <f t="shared" si="1"/>
        <v>51025.876496486191</v>
      </c>
      <c r="K16" s="26">
        <f t="shared" si="4"/>
        <v>51025.876496486191</v>
      </c>
      <c r="L16" s="26">
        <f t="shared" si="5"/>
        <v>0</v>
      </c>
      <c r="M16" s="26">
        <f t="shared" si="6"/>
        <v>0</v>
      </c>
      <c r="N16" s="616">
        <f t="shared" si="7"/>
        <v>117010.02363714779</v>
      </c>
    </row>
    <row r="17" spans="1:14">
      <c r="A17" s="531">
        <f t="shared" si="0"/>
        <v>9</v>
      </c>
      <c r="B17" s="530" t="s">
        <v>819</v>
      </c>
      <c r="C17" s="526" t="s">
        <v>665</v>
      </c>
      <c r="D17" s="103" t="s">
        <v>868</v>
      </c>
      <c r="E17" s="106">
        <f>123/365</f>
        <v>0.33698630136986302</v>
      </c>
      <c r="F17" s="615">
        <f>+'4b - ADIT Projection Proration'!G17</f>
        <v>-51025.876496486191</v>
      </c>
      <c r="G17" s="26">
        <f t="shared" si="2"/>
        <v>-17195.021394706306</v>
      </c>
      <c r="H17" s="26">
        <f t="shared" si="3"/>
        <v>-2668572.3418051796</v>
      </c>
      <c r="I17" s="75">
        <v>0</v>
      </c>
      <c r="J17" s="26">
        <f t="shared" si="1"/>
        <v>51025.876496486191</v>
      </c>
      <c r="K17" s="26">
        <f t="shared" si="4"/>
        <v>51025.876496486191</v>
      </c>
      <c r="L17" s="26">
        <f t="shared" si="5"/>
        <v>0</v>
      </c>
      <c r="M17" s="26">
        <f t="shared" si="6"/>
        <v>0</v>
      </c>
      <c r="N17" s="616">
        <f t="shared" si="7"/>
        <v>150840.87873892768</v>
      </c>
    </row>
    <row r="18" spans="1:14">
      <c r="A18" s="531">
        <f t="shared" si="0"/>
        <v>10</v>
      </c>
      <c r="B18" s="530" t="s">
        <v>819</v>
      </c>
      <c r="C18" s="526" t="s">
        <v>585</v>
      </c>
      <c r="D18" s="103" t="s">
        <v>868</v>
      </c>
      <c r="E18" s="106">
        <f>93/365</f>
        <v>0.25479452054794521</v>
      </c>
      <c r="F18" s="615">
        <f>+'4b - ADIT Projection Proration'!G18</f>
        <v>-51025.876496486191</v>
      </c>
      <c r="G18" s="26">
        <f t="shared" si="2"/>
        <v>-13001.113737460866</v>
      </c>
      <c r="H18" s="26">
        <f t="shared" si="3"/>
        <v>-2681573.4555426403</v>
      </c>
      <c r="I18" s="75">
        <v>0</v>
      </c>
      <c r="J18" s="26">
        <f t="shared" si="1"/>
        <v>51025.876496486191</v>
      </c>
      <c r="K18" s="26">
        <f t="shared" si="4"/>
        <v>51025.876496486191</v>
      </c>
      <c r="L18" s="26">
        <f t="shared" si="5"/>
        <v>0</v>
      </c>
      <c r="M18" s="26">
        <f t="shared" si="6"/>
        <v>0</v>
      </c>
      <c r="N18" s="616">
        <f t="shared" si="7"/>
        <v>188865.64149795301</v>
      </c>
    </row>
    <row r="19" spans="1:14">
      <c r="A19" s="531">
        <f t="shared" si="0"/>
        <v>11</v>
      </c>
      <c r="B19" s="530" t="s">
        <v>819</v>
      </c>
      <c r="C19" s="526" t="s">
        <v>586</v>
      </c>
      <c r="D19" s="103" t="s">
        <v>868</v>
      </c>
      <c r="E19" s="106">
        <f>62/365</f>
        <v>0.16986301369863013</v>
      </c>
      <c r="F19" s="615">
        <f>+'4b - ADIT Projection Proration'!G19</f>
        <v>-51025.876496486191</v>
      </c>
      <c r="G19" s="26">
        <f t="shared" si="2"/>
        <v>-8667.4091583072441</v>
      </c>
      <c r="H19" s="26">
        <f t="shared" si="3"/>
        <v>-2690240.8647009474</v>
      </c>
      <c r="I19" s="75">
        <v>0</v>
      </c>
      <c r="J19" s="26">
        <f t="shared" si="1"/>
        <v>51025.876496486191</v>
      </c>
      <c r="K19" s="26">
        <f t="shared" si="4"/>
        <v>51025.876496486191</v>
      </c>
      <c r="L19" s="26">
        <f t="shared" si="5"/>
        <v>0</v>
      </c>
      <c r="M19" s="26">
        <f t="shared" si="6"/>
        <v>0</v>
      </c>
      <c r="N19" s="616">
        <f t="shared" si="7"/>
        <v>231224.10883613196</v>
      </c>
    </row>
    <row r="20" spans="1:14">
      <c r="A20" s="531">
        <f t="shared" si="0"/>
        <v>12</v>
      </c>
      <c r="B20" s="530" t="s">
        <v>819</v>
      </c>
      <c r="C20" s="526" t="s">
        <v>587</v>
      </c>
      <c r="D20" s="103" t="s">
        <v>868</v>
      </c>
      <c r="E20" s="106">
        <f>32/365</f>
        <v>8.7671232876712329E-2</v>
      </c>
      <c r="F20" s="615">
        <f>+'4b - ADIT Projection Proration'!G20</f>
        <v>-51025.876496486191</v>
      </c>
      <c r="G20" s="26">
        <f t="shared" si="2"/>
        <v>-4473.5015010618035</v>
      </c>
      <c r="H20" s="26">
        <f t="shared" si="3"/>
        <v>-2694714.3662020094</v>
      </c>
      <c r="I20" s="75">
        <v>0</v>
      </c>
      <c r="J20" s="26">
        <f t="shared" si="1"/>
        <v>51025.876496486191</v>
      </c>
      <c r="K20" s="26">
        <f t="shared" si="4"/>
        <v>51025.876496486191</v>
      </c>
      <c r="L20" s="26">
        <f t="shared" si="5"/>
        <v>0</v>
      </c>
      <c r="M20" s="26">
        <f t="shared" si="6"/>
        <v>0</v>
      </c>
      <c r="N20" s="616">
        <f t="shared" si="7"/>
        <v>277776.48383155634</v>
      </c>
    </row>
    <row r="21" spans="1:14">
      <c r="A21" s="531">
        <f t="shared" si="0"/>
        <v>13</v>
      </c>
      <c r="B21" s="530" t="s">
        <v>819</v>
      </c>
      <c r="C21" s="526" t="s">
        <v>666</v>
      </c>
      <c r="D21" s="103" t="s">
        <v>868</v>
      </c>
      <c r="E21" s="106">
        <f>1/365</f>
        <v>2.7397260273972603E-3</v>
      </c>
      <c r="F21" s="615">
        <f>+'4b - ADIT Projection Proration'!G21</f>
        <v>-51025.876496486191</v>
      </c>
      <c r="G21" s="617">
        <f t="shared" si="2"/>
        <v>-139.79692190818136</v>
      </c>
      <c r="H21" s="617">
        <f t="shared" si="3"/>
        <v>-2694854.1631239178</v>
      </c>
      <c r="I21" s="402">
        <v>0</v>
      </c>
      <c r="J21" s="617">
        <f t="shared" si="1"/>
        <v>51025.876496486191</v>
      </c>
      <c r="K21" s="617">
        <f t="shared" si="4"/>
        <v>51025.876496486191</v>
      </c>
      <c r="L21" s="617">
        <f t="shared" si="5"/>
        <v>0</v>
      </c>
      <c r="M21" s="617">
        <f t="shared" si="6"/>
        <v>0</v>
      </c>
      <c r="N21" s="618">
        <f t="shared" si="7"/>
        <v>328662.56340613437</v>
      </c>
    </row>
    <row r="22" spans="1:14">
      <c r="A22" s="531">
        <f t="shared" si="0"/>
        <v>14</v>
      </c>
      <c r="B22" s="530" t="s">
        <v>820</v>
      </c>
      <c r="C22" s="526"/>
      <c r="D22" s="26"/>
      <c r="E22" s="526"/>
      <c r="F22" s="615">
        <f t="shared" ref="F22:M22" si="8">SUM(F9:F21)</f>
        <v>-612310.51795783429</v>
      </c>
      <c r="G22" s="26">
        <f t="shared" si="8"/>
        <v>-283647.95455169986</v>
      </c>
      <c r="H22" s="26"/>
      <c r="I22" s="26">
        <f t="shared" si="8"/>
        <v>0</v>
      </c>
      <c r="J22" s="26">
        <f t="shared" si="8"/>
        <v>612310.51795783429</v>
      </c>
      <c r="K22" s="26">
        <f t="shared" si="8"/>
        <v>612310.51795783429</v>
      </c>
      <c r="L22" s="26">
        <f t="shared" si="8"/>
        <v>0</v>
      </c>
      <c r="M22" s="26">
        <f t="shared" si="8"/>
        <v>0</v>
      </c>
      <c r="N22" s="616"/>
    </row>
    <row r="23" spans="1:14">
      <c r="A23" s="531"/>
      <c r="B23" s="530"/>
      <c r="C23" s="526"/>
      <c r="D23" s="526"/>
      <c r="E23" s="526"/>
      <c r="F23" s="615"/>
      <c r="G23" s="26"/>
      <c r="H23" s="26"/>
      <c r="I23" s="26"/>
      <c r="J23" s="26"/>
      <c r="K23" s="26"/>
      <c r="L23" s="26"/>
      <c r="M23" s="26"/>
      <c r="N23" s="616"/>
    </row>
    <row r="24" spans="1:14">
      <c r="A24" s="526" t="s">
        <v>884</v>
      </c>
      <c r="B24" s="530"/>
      <c r="C24" s="526"/>
      <c r="D24" s="525"/>
      <c r="E24" s="525"/>
      <c r="F24" s="615"/>
      <c r="G24" s="26"/>
      <c r="H24" s="26"/>
      <c r="I24" s="26"/>
      <c r="J24" s="26"/>
      <c r="K24" s="26"/>
      <c r="L24" s="26"/>
      <c r="M24" s="26"/>
      <c r="N24" s="616"/>
    </row>
    <row r="25" spans="1:14">
      <c r="A25" s="531">
        <f>A22+1</f>
        <v>15</v>
      </c>
      <c r="B25" s="530" t="s">
        <v>822</v>
      </c>
      <c r="C25" s="526" t="s">
        <v>666</v>
      </c>
      <c r="D25" s="604" t="s">
        <v>868</v>
      </c>
      <c r="E25" s="106">
        <f>365/365</f>
        <v>1</v>
      </c>
      <c r="F25" s="615"/>
      <c r="G25" s="26"/>
      <c r="H25" s="26">
        <f>+'4c - ADIT BOY'!E75</f>
        <v>0</v>
      </c>
      <c r="I25" s="26"/>
      <c r="J25" s="26"/>
      <c r="K25" s="26"/>
      <c r="L25" s="26"/>
      <c r="M25" s="26"/>
      <c r="N25" s="616"/>
    </row>
    <row r="26" spans="1:14">
      <c r="A26" s="531">
        <f t="shared" ref="A26:A38" si="9">+A25+1</f>
        <v>16</v>
      </c>
      <c r="B26" s="530" t="s">
        <v>819</v>
      </c>
      <c r="C26" s="526" t="s">
        <v>577</v>
      </c>
      <c r="D26" s="604" t="s">
        <v>868</v>
      </c>
      <c r="E26" s="106">
        <f>335/365</f>
        <v>0.9178082191780822</v>
      </c>
      <c r="F26" s="615">
        <f>+'4b - ADIT Projection Proration'!G26</f>
        <v>0</v>
      </c>
      <c r="G26" s="26">
        <f t="shared" ref="G26:G37" si="10">$E26*F26</f>
        <v>0</v>
      </c>
      <c r="H26" s="26">
        <f t="shared" ref="H26:H37" si="11">+G26+H25</f>
        <v>0</v>
      </c>
      <c r="I26" s="75">
        <v>0</v>
      </c>
      <c r="J26" s="26">
        <f t="shared" ref="J26:J37" si="12">I26-F26</f>
        <v>0</v>
      </c>
      <c r="K26" s="26">
        <f t="shared" ref="K26:K37" si="13">IF(J26&gt;=0,+J26,0)</f>
        <v>0</v>
      </c>
      <c r="L26" s="26">
        <f t="shared" ref="L26:L37" si="14">IF(K26&gt;0,0,IF(I26&lt;0,0,(-(J26)*($E26))))</f>
        <v>0</v>
      </c>
      <c r="M26" s="26">
        <f t="shared" ref="M26:M37" si="15">IF(K26&gt;0,0,IF(I26&gt;0,0,(-(J26)*($E26))))</f>
        <v>0</v>
      </c>
      <c r="N26" s="616">
        <f t="shared" ref="N26:N37" si="16">IF(I26&lt;0,N25+M26,N25+$G26+K26-L26)</f>
        <v>0</v>
      </c>
    </row>
    <row r="27" spans="1:14">
      <c r="A27" s="531">
        <f t="shared" si="9"/>
        <v>17</v>
      </c>
      <c r="B27" s="530" t="s">
        <v>819</v>
      </c>
      <c r="C27" s="526" t="s">
        <v>578</v>
      </c>
      <c r="D27" s="604" t="s">
        <v>868</v>
      </c>
      <c r="E27" s="106">
        <f>307/365</f>
        <v>0.84109589041095889</v>
      </c>
      <c r="F27" s="615">
        <f>+'4b - ADIT Projection Proration'!G27</f>
        <v>0</v>
      </c>
      <c r="G27" s="26">
        <f t="shared" si="10"/>
        <v>0</v>
      </c>
      <c r="H27" s="26">
        <f t="shared" si="11"/>
        <v>0</v>
      </c>
      <c r="I27" s="75">
        <v>0</v>
      </c>
      <c r="J27" s="26">
        <f t="shared" si="12"/>
        <v>0</v>
      </c>
      <c r="K27" s="26">
        <f t="shared" si="13"/>
        <v>0</v>
      </c>
      <c r="L27" s="26">
        <f t="shared" si="14"/>
        <v>0</v>
      </c>
      <c r="M27" s="26">
        <f t="shared" si="15"/>
        <v>0</v>
      </c>
      <c r="N27" s="616">
        <f t="shared" si="16"/>
        <v>0</v>
      </c>
    </row>
    <row r="28" spans="1:14">
      <c r="A28" s="531">
        <f t="shared" si="9"/>
        <v>18</v>
      </c>
      <c r="B28" s="530" t="s">
        <v>819</v>
      </c>
      <c r="C28" s="526" t="s">
        <v>663</v>
      </c>
      <c r="D28" s="604" t="s">
        <v>868</v>
      </c>
      <c r="E28" s="106">
        <f>276/365</f>
        <v>0.75616438356164384</v>
      </c>
      <c r="F28" s="615">
        <f>+'4b - ADIT Projection Proration'!G28</f>
        <v>0</v>
      </c>
      <c r="G28" s="26">
        <f t="shared" si="10"/>
        <v>0</v>
      </c>
      <c r="H28" s="26">
        <f t="shared" si="11"/>
        <v>0</v>
      </c>
      <c r="I28" s="75">
        <v>0</v>
      </c>
      <c r="J28" s="26">
        <f t="shared" si="12"/>
        <v>0</v>
      </c>
      <c r="K28" s="26">
        <f t="shared" si="13"/>
        <v>0</v>
      </c>
      <c r="L28" s="26">
        <f t="shared" si="14"/>
        <v>0</v>
      </c>
      <c r="M28" s="26">
        <f t="shared" si="15"/>
        <v>0</v>
      </c>
      <c r="N28" s="616">
        <f t="shared" si="16"/>
        <v>0</v>
      </c>
    </row>
    <row r="29" spans="1:14">
      <c r="A29" s="531">
        <f t="shared" si="9"/>
        <v>19</v>
      </c>
      <c r="B29" s="530" t="s">
        <v>819</v>
      </c>
      <c r="C29" s="526" t="s">
        <v>580</v>
      </c>
      <c r="D29" s="604" t="s">
        <v>868</v>
      </c>
      <c r="E29" s="106">
        <f>246/365</f>
        <v>0.67397260273972603</v>
      </c>
      <c r="F29" s="615">
        <f>+'4b - ADIT Projection Proration'!G29</f>
        <v>0</v>
      </c>
      <c r="G29" s="26">
        <f t="shared" si="10"/>
        <v>0</v>
      </c>
      <c r="H29" s="26">
        <f t="shared" si="11"/>
        <v>0</v>
      </c>
      <c r="I29" s="75">
        <v>0</v>
      </c>
      <c r="J29" s="26">
        <f t="shared" si="12"/>
        <v>0</v>
      </c>
      <c r="K29" s="26">
        <f t="shared" si="13"/>
        <v>0</v>
      </c>
      <c r="L29" s="26">
        <f t="shared" si="14"/>
        <v>0</v>
      </c>
      <c r="M29" s="26">
        <f t="shared" si="15"/>
        <v>0</v>
      </c>
      <c r="N29" s="616">
        <f t="shared" si="16"/>
        <v>0</v>
      </c>
    </row>
    <row r="30" spans="1:14">
      <c r="A30" s="531">
        <f t="shared" si="9"/>
        <v>20</v>
      </c>
      <c r="B30" s="530" t="s">
        <v>819</v>
      </c>
      <c r="C30" s="526" t="s">
        <v>581</v>
      </c>
      <c r="D30" s="604" t="s">
        <v>868</v>
      </c>
      <c r="E30" s="106">
        <f>215/365</f>
        <v>0.58904109589041098</v>
      </c>
      <c r="F30" s="615">
        <f>+'4b - ADIT Projection Proration'!G30</f>
        <v>0</v>
      </c>
      <c r="G30" s="26">
        <f t="shared" si="10"/>
        <v>0</v>
      </c>
      <c r="H30" s="26">
        <f t="shared" si="11"/>
        <v>0</v>
      </c>
      <c r="I30" s="75">
        <v>0</v>
      </c>
      <c r="J30" s="26">
        <f t="shared" si="12"/>
        <v>0</v>
      </c>
      <c r="K30" s="26">
        <f t="shared" si="13"/>
        <v>0</v>
      </c>
      <c r="L30" s="26">
        <f t="shared" si="14"/>
        <v>0</v>
      </c>
      <c r="M30" s="26">
        <f t="shared" si="15"/>
        <v>0</v>
      </c>
      <c r="N30" s="616">
        <f t="shared" si="16"/>
        <v>0</v>
      </c>
    </row>
    <row r="31" spans="1:14">
      <c r="A31" s="531">
        <f t="shared" si="9"/>
        <v>21</v>
      </c>
      <c r="B31" s="530" t="s">
        <v>819</v>
      </c>
      <c r="C31" s="526" t="s">
        <v>582</v>
      </c>
      <c r="D31" s="604" t="s">
        <v>868</v>
      </c>
      <c r="E31" s="106">
        <f>185/365</f>
        <v>0.50684931506849318</v>
      </c>
      <c r="F31" s="615">
        <f>+'4b - ADIT Projection Proration'!G31</f>
        <v>0</v>
      </c>
      <c r="G31" s="26">
        <f t="shared" si="10"/>
        <v>0</v>
      </c>
      <c r="H31" s="26">
        <f t="shared" si="11"/>
        <v>0</v>
      </c>
      <c r="I31" s="75">
        <v>0</v>
      </c>
      <c r="J31" s="26">
        <f t="shared" si="12"/>
        <v>0</v>
      </c>
      <c r="K31" s="26">
        <f t="shared" si="13"/>
        <v>0</v>
      </c>
      <c r="L31" s="26">
        <f t="shared" si="14"/>
        <v>0</v>
      </c>
      <c r="M31" s="26">
        <f t="shared" si="15"/>
        <v>0</v>
      </c>
      <c r="N31" s="616">
        <f t="shared" si="16"/>
        <v>0</v>
      </c>
    </row>
    <row r="32" spans="1:14">
      <c r="A32" s="531">
        <f t="shared" si="9"/>
        <v>22</v>
      </c>
      <c r="B32" s="530" t="s">
        <v>819</v>
      </c>
      <c r="C32" s="526" t="s">
        <v>583</v>
      </c>
      <c r="D32" s="604" t="s">
        <v>868</v>
      </c>
      <c r="E32" s="106">
        <f>154/365</f>
        <v>0.42191780821917807</v>
      </c>
      <c r="F32" s="615">
        <f>+'4b - ADIT Projection Proration'!G32</f>
        <v>0</v>
      </c>
      <c r="G32" s="26">
        <f t="shared" si="10"/>
        <v>0</v>
      </c>
      <c r="H32" s="26">
        <f t="shared" si="11"/>
        <v>0</v>
      </c>
      <c r="I32" s="75">
        <v>0</v>
      </c>
      <c r="J32" s="26">
        <f t="shared" si="12"/>
        <v>0</v>
      </c>
      <c r="K32" s="26">
        <f t="shared" si="13"/>
        <v>0</v>
      </c>
      <c r="L32" s="26">
        <f t="shared" si="14"/>
        <v>0</v>
      </c>
      <c r="M32" s="26">
        <f t="shared" si="15"/>
        <v>0</v>
      </c>
      <c r="N32" s="616">
        <f t="shared" si="16"/>
        <v>0</v>
      </c>
    </row>
    <row r="33" spans="1:14">
      <c r="A33" s="531">
        <f t="shared" si="9"/>
        <v>23</v>
      </c>
      <c r="B33" s="530" t="s">
        <v>819</v>
      </c>
      <c r="C33" s="526" t="s">
        <v>665</v>
      </c>
      <c r="D33" s="604" t="s">
        <v>868</v>
      </c>
      <c r="E33" s="106">
        <f>123/365</f>
        <v>0.33698630136986302</v>
      </c>
      <c r="F33" s="615">
        <f>+'4b - ADIT Projection Proration'!G33</f>
        <v>0</v>
      </c>
      <c r="G33" s="26">
        <f t="shared" si="10"/>
        <v>0</v>
      </c>
      <c r="H33" s="26">
        <f t="shared" si="11"/>
        <v>0</v>
      </c>
      <c r="I33" s="75">
        <v>0</v>
      </c>
      <c r="J33" s="26">
        <f t="shared" si="12"/>
        <v>0</v>
      </c>
      <c r="K33" s="26">
        <f t="shared" si="13"/>
        <v>0</v>
      </c>
      <c r="L33" s="26">
        <f t="shared" si="14"/>
        <v>0</v>
      </c>
      <c r="M33" s="26">
        <f t="shared" si="15"/>
        <v>0</v>
      </c>
      <c r="N33" s="616">
        <f t="shared" si="16"/>
        <v>0</v>
      </c>
    </row>
    <row r="34" spans="1:14">
      <c r="A34" s="531">
        <f t="shared" si="9"/>
        <v>24</v>
      </c>
      <c r="B34" s="530" t="s">
        <v>819</v>
      </c>
      <c r="C34" s="526" t="s">
        <v>585</v>
      </c>
      <c r="D34" s="604" t="s">
        <v>868</v>
      </c>
      <c r="E34" s="106">
        <f>93/365</f>
        <v>0.25479452054794521</v>
      </c>
      <c r="F34" s="615">
        <f>+'4b - ADIT Projection Proration'!G34</f>
        <v>0</v>
      </c>
      <c r="G34" s="26">
        <f t="shared" si="10"/>
        <v>0</v>
      </c>
      <c r="H34" s="26">
        <f t="shared" si="11"/>
        <v>0</v>
      </c>
      <c r="I34" s="75">
        <v>0</v>
      </c>
      <c r="J34" s="26">
        <f t="shared" si="12"/>
        <v>0</v>
      </c>
      <c r="K34" s="26">
        <f t="shared" si="13"/>
        <v>0</v>
      </c>
      <c r="L34" s="26">
        <f t="shared" si="14"/>
        <v>0</v>
      </c>
      <c r="M34" s="26">
        <f t="shared" si="15"/>
        <v>0</v>
      </c>
      <c r="N34" s="616">
        <f t="shared" si="16"/>
        <v>0</v>
      </c>
    </row>
    <row r="35" spans="1:14">
      <c r="A35" s="531">
        <f t="shared" si="9"/>
        <v>25</v>
      </c>
      <c r="B35" s="530" t="s">
        <v>819</v>
      </c>
      <c r="C35" s="526" t="s">
        <v>586</v>
      </c>
      <c r="D35" s="604" t="s">
        <v>868</v>
      </c>
      <c r="E35" s="106">
        <f>62/365</f>
        <v>0.16986301369863013</v>
      </c>
      <c r="F35" s="615">
        <f>+'4b - ADIT Projection Proration'!G35</f>
        <v>0</v>
      </c>
      <c r="G35" s="26">
        <f t="shared" si="10"/>
        <v>0</v>
      </c>
      <c r="H35" s="26">
        <f t="shared" si="11"/>
        <v>0</v>
      </c>
      <c r="I35" s="75">
        <v>0</v>
      </c>
      <c r="J35" s="26">
        <f t="shared" si="12"/>
        <v>0</v>
      </c>
      <c r="K35" s="26">
        <f t="shared" si="13"/>
        <v>0</v>
      </c>
      <c r="L35" s="26">
        <f t="shared" si="14"/>
        <v>0</v>
      </c>
      <c r="M35" s="26">
        <f t="shared" si="15"/>
        <v>0</v>
      </c>
      <c r="N35" s="616">
        <f t="shared" si="16"/>
        <v>0</v>
      </c>
    </row>
    <row r="36" spans="1:14">
      <c r="A36" s="531">
        <f t="shared" si="9"/>
        <v>26</v>
      </c>
      <c r="B36" s="530" t="s">
        <v>819</v>
      </c>
      <c r="C36" s="526" t="s">
        <v>587</v>
      </c>
      <c r="D36" s="604" t="s">
        <v>868</v>
      </c>
      <c r="E36" s="106">
        <f>32/365</f>
        <v>8.7671232876712329E-2</v>
      </c>
      <c r="F36" s="615">
        <f>+'4b - ADIT Projection Proration'!G36</f>
        <v>0</v>
      </c>
      <c r="G36" s="26">
        <f t="shared" si="10"/>
        <v>0</v>
      </c>
      <c r="H36" s="26">
        <f t="shared" si="11"/>
        <v>0</v>
      </c>
      <c r="I36" s="75">
        <v>0</v>
      </c>
      <c r="J36" s="26">
        <f t="shared" si="12"/>
        <v>0</v>
      </c>
      <c r="K36" s="26">
        <f t="shared" si="13"/>
        <v>0</v>
      </c>
      <c r="L36" s="26">
        <f t="shared" si="14"/>
        <v>0</v>
      </c>
      <c r="M36" s="26">
        <f t="shared" si="15"/>
        <v>0</v>
      </c>
      <c r="N36" s="616">
        <f t="shared" si="16"/>
        <v>0</v>
      </c>
    </row>
    <row r="37" spans="1:14">
      <c r="A37" s="531">
        <f t="shared" si="9"/>
        <v>27</v>
      </c>
      <c r="B37" s="530" t="s">
        <v>819</v>
      </c>
      <c r="C37" s="526" t="s">
        <v>666</v>
      </c>
      <c r="D37" s="604" t="s">
        <v>868</v>
      </c>
      <c r="E37" s="106">
        <f>1/365</f>
        <v>2.7397260273972603E-3</v>
      </c>
      <c r="F37" s="615">
        <f>+'4b - ADIT Projection Proration'!G37</f>
        <v>0</v>
      </c>
      <c r="G37" s="617">
        <f t="shared" si="10"/>
        <v>0</v>
      </c>
      <c r="H37" s="617">
        <f t="shared" si="11"/>
        <v>0</v>
      </c>
      <c r="I37" s="402">
        <v>0</v>
      </c>
      <c r="J37" s="617">
        <f t="shared" si="12"/>
        <v>0</v>
      </c>
      <c r="K37" s="617">
        <f t="shared" si="13"/>
        <v>0</v>
      </c>
      <c r="L37" s="617">
        <f t="shared" si="14"/>
        <v>0</v>
      </c>
      <c r="M37" s="617">
        <f t="shared" si="15"/>
        <v>0</v>
      </c>
      <c r="N37" s="618">
        <f t="shared" si="16"/>
        <v>0</v>
      </c>
    </row>
    <row r="38" spans="1:14">
      <c r="A38" s="531">
        <f t="shared" si="9"/>
        <v>28</v>
      </c>
      <c r="B38" s="530" t="s">
        <v>823</v>
      </c>
      <c r="C38" s="526"/>
      <c r="D38" s="526"/>
      <c r="E38" s="526"/>
      <c r="F38" s="615">
        <f t="shared" ref="F38:M38" si="17">SUM(F25:F37)</f>
        <v>0</v>
      </c>
      <c r="G38" s="619">
        <f t="shared" si="17"/>
        <v>0</v>
      </c>
      <c r="H38" s="26"/>
      <c r="I38" s="26">
        <f t="shared" si="17"/>
        <v>0</v>
      </c>
      <c r="J38" s="26">
        <f t="shared" si="17"/>
        <v>0</v>
      </c>
      <c r="K38" s="26">
        <f t="shared" si="17"/>
        <v>0</v>
      </c>
      <c r="L38" s="26">
        <f t="shared" si="17"/>
        <v>0</v>
      </c>
      <c r="M38" s="26">
        <f t="shared" si="17"/>
        <v>0</v>
      </c>
      <c r="N38" s="616"/>
    </row>
    <row r="39" spans="1:14">
      <c r="A39" s="531"/>
      <c r="B39" s="530"/>
      <c r="C39" s="526"/>
      <c r="D39" s="526"/>
      <c r="E39" s="526"/>
      <c r="F39" s="615"/>
      <c r="G39" s="26"/>
      <c r="H39" s="26"/>
      <c r="I39" s="26"/>
      <c r="J39" s="26"/>
      <c r="K39" s="26"/>
      <c r="L39" s="26"/>
      <c r="M39" s="26"/>
      <c r="N39" s="616"/>
    </row>
    <row r="40" spans="1:14">
      <c r="A40" s="526" t="s">
        <v>885</v>
      </c>
      <c r="B40" s="530"/>
      <c r="C40" s="526"/>
      <c r="D40" s="525"/>
      <c r="E40" s="525"/>
      <c r="F40" s="615"/>
      <c r="G40" s="26"/>
      <c r="H40" s="26"/>
      <c r="I40" s="26"/>
      <c r="J40" s="26"/>
      <c r="K40" s="26"/>
      <c r="L40" s="26"/>
      <c r="M40" s="26"/>
      <c r="N40" s="616"/>
    </row>
    <row r="41" spans="1:14">
      <c r="A41" s="531">
        <f>A38+1</f>
        <v>29</v>
      </c>
      <c r="B41" s="530" t="s">
        <v>825</v>
      </c>
      <c r="C41" s="526" t="s">
        <v>666</v>
      </c>
      <c r="D41" s="604" t="s">
        <v>868</v>
      </c>
      <c r="E41" s="106">
        <f>365/365</f>
        <v>1</v>
      </c>
      <c r="F41" s="615"/>
      <c r="G41" s="26"/>
      <c r="H41" s="26">
        <f>+'4c - ADIT BOY'!E29</f>
        <v>0</v>
      </c>
      <c r="I41" s="26"/>
      <c r="J41" s="26"/>
      <c r="K41" s="26"/>
      <c r="L41" s="26"/>
      <c r="M41" s="26"/>
      <c r="N41" s="616"/>
    </row>
    <row r="42" spans="1:14">
      <c r="A42" s="531">
        <f t="shared" ref="A42:A54" si="18">+A41+1</f>
        <v>30</v>
      </c>
      <c r="B42" s="530" t="s">
        <v>819</v>
      </c>
      <c r="C42" s="526" t="s">
        <v>577</v>
      </c>
      <c r="D42" s="604" t="s">
        <v>868</v>
      </c>
      <c r="E42" s="106">
        <f>335/365</f>
        <v>0.9178082191780822</v>
      </c>
      <c r="F42" s="615">
        <f>+'4b - ADIT Projection Proration'!G42</f>
        <v>0</v>
      </c>
      <c r="G42" s="26">
        <f t="shared" ref="G42:G53" si="19">$E42*F42</f>
        <v>0</v>
      </c>
      <c r="H42" s="26">
        <f t="shared" ref="H42:H53" si="20">+G42+H41</f>
        <v>0</v>
      </c>
      <c r="I42" s="75">
        <v>0</v>
      </c>
      <c r="J42" s="26">
        <f t="shared" ref="J42:J53" si="21">I42-F42</f>
        <v>0</v>
      </c>
      <c r="K42" s="26">
        <f t="shared" ref="K42:K53" si="22">IF(J42&gt;=0,+J42,0)</f>
        <v>0</v>
      </c>
      <c r="L42" s="26">
        <f t="shared" ref="L42:L53" si="23">IF(K42&gt;0,0,IF(I42&lt;0,0,(-(J42)*($E42))))</f>
        <v>0</v>
      </c>
      <c r="M42" s="26">
        <f t="shared" ref="M42:M53" si="24">IF(K42&gt;0,0,IF(I42&gt;0,0,(-(J42)*($E42))))</f>
        <v>0</v>
      </c>
      <c r="N42" s="616">
        <f t="shared" ref="N42:N53" si="25">IF(I42&lt;0,N41+M42,N41+$G42+K42-L42)</f>
        <v>0</v>
      </c>
    </row>
    <row r="43" spans="1:14">
      <c r="A43" s="531">
        <f t="shared" si="18"/>
        <v>31</v>
      </c>
      <c r="B43" s="530" t="s">
        <v>819</v>
      </c>
      <c r="C43" s="526" t="s">
        <v>578</v>
      </c>
      <c r="D43" s="604" t="s">
        <v>868</v>
      </c>
      <c r="E43" s="106">
        <f>307/365</f>
        <v>0.84109589041095889</v>
      </c>
      <c r="F43" s="615">
        <f>+'4b - ADIT Projection Proration'!G43</f>
        <v>0</v>
      </c>
      <c r="G43" s="26">
        <f t="shared" si="19"/>
        <v>0</v>
      </c>
      <c r="H43" s="26">
        <f t="shared" si="20"/>
        <v>0</v>
      </c>
      <c r="I43" s="75">
        <v>0</v>
      </c>
      <c r="J43" s="26">
        <f t="shared" si="21"/>
        <v>0</v>
      </c>
      <c r="K43" s="26">
        <f t="shared" si="22"/>
        <v>0</v>
      </c>
      <c r="L43" s="26">
        <f t="shared" si="23"/>
        <v>0</v>
      </c>
      <c r="M43" s="26">
        <f t="shared" si="24"/>
        <v>0</v>
      </c>
      <c r="N43" s="616">
        <f t="shared" si="25"/>
        <v>0</v>
      </c>
    </row>
    <row r="44" spans="1:14">
      <c r="A44" s="531">
        <f t="shared" si="18"/>
        <v>32</v>
      </c>
      <c r="B44" s="530" t="s">
        <v>819</v>
      </c>
      <c r="C44" s="526" t="s">
        <v>663</v>
      </c>
      <c r="D44" s="604" t="s">
        <v>868</v>
      </c>
      <c r="E44" s="106">
        <f>276/365</f>
        <v>0.75616438356164384</v>
      </c>
      <c r="F44" s="615">
        <f>+'4b - ADIT Projection Proration'!G44</f>
        <v>0</v>
      </c>
      <c r="G44" s="26">
        <f t="shared" si="19"/>
        <v>0</v>
      </c>
      <c r="H44" s="26">
        <f t="shared" si="20"/>
        <v>0</v>
      </c>
      <c r="I44" s="75">
        <v>0</v>
      </c>
      <c r="J44" s="26">
        <f t="shared" si="21"/>
        <v>0</v>
      </c>
      <c r="K44" s="26">
        <f t="shared" si="22"/>
        <v>0</v>
      </c>
      <c r="L44" s="26">
        <f t="shared" si="23"/>
        <v>0</v>
      </c>
      <c r="M44" s="26">
        <f t="shared" si="24"/>
        <v>0</v>
      </c>
      <c r="N44" s="616">
        <f t="shared" si="25"/>
        <v>0</v>
      </c>
    </row>
    <row r="45" spans="1:14">
      <c r="A45" s="531">
        <f t="shared" si="18"/>
        <v>33</v>
      </c>
      <c r="B45" s="530" t="s">
        <v>819</v>
      </c>
      <c r="C45" s="526" t="s">
        <v>580</v>
      </c>
      <c r="D45" s="604" t="s">
        <v>868</v>
      </c>
      <c r="E45" s="106">
        <f>246/365</f>
        <v>0.67397260273972603</v>
      </c>
      <c r="F45" s="615">
        <f>+'4b - ADIT Projection Proration'!G45</f>
        <v>0</v>
      </c>
      <c r="G45" s="26">
        <f t="shared" si="19"/>
        <v>0</v>
      </c>
      <c r="H45" s="26">
        <f t="shared" si="20"/>
        <v>0</v>
      </c>
      <c r="I45" s="75">
        <v>0</v>
      </c>
      <c r="J45" s="26">
        <f t="shared" si="21"/>
        <v>0</v>
      </c>
      <c r="K45" s="26">
        <f t="shared" si="22"/>
        <v>0</v>
      </c>
      <c r="L45" s="26">
        <f t="shared" si="23"/>
        <v>0</v>
      </c>
      <c r="M45" s="26">
        <f t="shared" si="24"/>
        <v>0</v>
      </c>
      <c r="N45" s="616">
        <f t="shared" si="25"/>
        <v>0</v>
      </c>
    </row>
    <row r="46" spans="1:14">
      <c r="A46" s="531">
        <f t="shared" si="18"/>
        <v>34</v>
      </c>
      <c r="B46" s="530" t="s">
        <v>819</v>
      </c>
      <c r="C46" s="526" t="s">
        <v>581</v>
      </c>
      <c r="D46" s="604" t="s">
        <v>868</v>
      </c>
      <c r="E46" s="106">
        <f>215/365</f>
        <v>0.58904109589041098</v>
      </c>
      <c r="F46" s="615">
        <f>+'4b - ADIT Projection Proration'!G46</f>
        <v>0</v>
      </c>
      <c r="G46" s="26">
        <f t="shared" si="19"/>
        <v>0</v>
      </c>
      <c r="H46" s="26">
        <f t="shared" si="20"/>
        <v>0</v>
      </c>
      <c r="I46" s="75">
        <v>0</v>
      </c>
      <c r="J46" s="26">
        <f t="shared" si="21"/>
        <v>0</v>
      </c>
      <c r="K46" s="26">
        <f t="shared" si="22"/>
        <v>0</v>
      </c>
      <c r="L46" s="26">
        <f t="shared" si="23"/>
        <v>0</v>
      </c>
      <c r="M46" s="26">
        <f t="shared" si="24"/>
        <v>0</v>
      </c>
      <c r="N46" s="616">
        <f t="shared" si="25"/>
        <v>0</v>
      </c>
    </row>
    <row r="47" spans="1:14">
      <c r="A47" s="531">
        <f t="shared" si="18"/>
        <v>35</v>
      </c>
      <c r="B47" s="530" t="s">
        <v>819</v>
      </c>
      <c r="C47" s="526" t="s">
        <v>582</v>
      </c>
      <c r="D47" s="604" t="s">
        <v>868</v>
      </c>
      <c r="E47" s="106">
        <f>185/365</f>
        <v>0.50684931506849318</v>
      </c>
      <c r="F47" s="615">
        <f>+'4b - ADIT Projection Proration'!G47</f>
        <v>0</v>
      </c>
      <c r="G47" s="26">
        <f t="shared" si="19"/>
        <v>0</v>
      </c>
      <c r="H47" s="26">
        <f t="shared" si="20"/>
        <v>0</v>
      </c>
      <c r="I47" s="75">
        <v>0</v>
      </c>
      <c r="J47" s="26">
        <f t="shared" si="21"/>
        <v>0</v>
      </c>
      <c r="K47" s="26">
        <f t="shared" si="22"/>
        <v>0</v>
      </c>
      <c r="L47" s="26">
        <f t="shared" si="23"/>
        <v>0</v>
      </c>
      <c r="M47" s="26">
        <f t="shared" si="24"/>
        <v>0</v>
      </c>
      <c r="N47" s="616">
        <f t="shared" si="25"/>
        <v>0</v>
      </c>
    </row>
    <row r="48" spans="1:14">
      <c r="A48" s="531">
        <f t="shared" si="18"/>
        <v>36</v>
      </c>
      <c r="B48" s="530" t="s">
        <v>819</v>
      </c>
      <c r="C48" s="526" t="s">
        <v>583</v>
      </c>
      <c r="D48" s="604" t="s">
        <v>868</v>
      </c>
      <c r="E48" s="106">
        <f>154/365</f>
        <v>0.42191780821917807</v>
      </c>
      <c r="F48" s="615">
        <f>+'4b - ADIT Projection Proration'!G48</f>
        <v>0</v>
      </c>
      <c r="G48" s="26">
        <f t="shared" si="19"/>
        <v>0</v>
      </c>
      <c r="H48" s="26">
        <f t="shared" si="20"/>
        <v>0</v>
      </c>
      <c r="I48" s="75">
        <v>0</v>
      </c>
      <c r="J48" s="26">
        <f t="shared" si="21"/>
        <v>0</v>
      </c>
      <c r="K48" s="26">
        <f t="shared" si="22"/>
        <v>0</v>
      </c>
      <c r="L48" s="26">
        <f t="shared" si="23"/>
        <v>0</v>
      </c>
      <c r="M48" s="26">
        <f t="shared" si="24"/>
        <v>0</v>
      </c>
      <c r="N48" s="616">
        <f t="shared" si="25"/>
        <v>0</v>
      </c>
    </row>
    <row r="49" spans="1:14">
      <c r="A49" s="531">
        <f t="shared" si="18"/>
        <v>37</v>
      </c>
      <c r="B49" s="530" t="s">
        <v>819</v>
      </c>
      <c r="C49" s="526" t="s">
        <v>665</v>
      </c>
      <c r="D49" s="604" t="s">
        <v>868</v>
      </c>
      <c r="E49" s="106">
        <f>123/365</f>
        <v>0.33698630136986302</v>
      </c>
      <c r="F49" s="615">
        <f>+'4b - ADIT Projection Proration'!G49</f>
        <v>0</v>
      </c>
      <c r="G49" s="26">
        <f t="shared" si="19"/>
        <v>0</v>
      </c>
      <c r="H49" s="26">
        <f t="shared" si="20"/>
        <v>0</v>
      </c>
      <c r="I49" s="75">
        <v>0</v>
      </c>
      <c r="J49" s="26">
        <f t="shared" si="21"/>
        <v>0</v>
      </c>
      <c r="K49" s="26">
        <f t="shared" si="22"/>
        <v>0</v>
      </c>
      <c r="L49" s="26">
        <f t="shared" si="23"/>
        <v>0</v>
      </c>
      <c r="M49" s="26">
        <f t="shared" si="24"/>
        <v>0</v>
      </c>
      <c r="N49" s="616">
        <f t="shared" si="25"/>
        <v>0</v>
      </c>
    </row>
    <row r="50" spans="1:14">
      <c r="A50" s="531">
        <f t="shared" si="18"/>
        <v>38</v>
      </c>
      <c r="B50" s="530" t="s">
        <v>819</v>
      </c>
      <c r="C50" s="526" t="s">
        <v>585</v>
      </c>
      <c r="D50" s="604" t="s">
        <v>868</v>
      </c>
      <c r="E50" s="106">
        <f>93/365</f>
        <v>0.25479452054794521</v>
      </c>
      <c r="F50" s="615">
        <f>+'4b - ADIT Projection Proration'!G50</f>
        <v>0</v>
      </c>
      <c r="G50" s="26">
        <f t="shared" si="19"/>
        <v>0</v>
      </c>
      <c r="H50" s="26">
        <f t="shared" si="20"/>
        <v>0</v>
      </c>
      <c r="I50" s="75">
        <v>0</v>
      </c>
      <c r="J50" s="26">
        <f t="shared" si="21"/>
        <v>0</v>
      </c>
      <c r="K50" s="26">
        <f t="shared" si="22"/>
        <v>0</v>
      </c>
      <c r="L50" s="26">
        <f t="shared" si="23"/>
        <v>0</v>
      </c>
      <c r="M50" s="26">
        <f t="shared" si="24"/>
        <v>0</v>
      </c>
      <c r="N50" s="616">
        <f t="shared" si="25"/>
        <v>0</v>
      </c>
    </row>
    <row r="51" spans="1:14">
      <c r="A51" s="531">
        <f t="shared" si="18"/>
        <v>39</v>
      </c>
      <c r="B51" s="530" t="s">
        <v>819</v>
      </c>
      <c r="C51" s="526" t="s">
        <v>586</v>
      </c>
      <c r="D51" s="604" t="s">
        <v>868</v>
      </c>
      <c r="E51" s="106">
        <f>62/365</f>
        <v>0.16986301369863013</v>
      </c>
      <c r="F51" s="615">
        <f>+'4b - ADIT Projection Proration'!G51</f>
        <v>0</v>
      </c>
      <c r="G51" s="26">
        <f t="shared" si="19"/>
        <v>0</v>
      </c>
      <c r="H51" s="26">
        <f t="shared" si="20"/>
        <v>0</v>
      </c>
      <c r="I51" s="75">
        <v>0</v>
      </c>
      <c r="J51" s="26">
        <f t="shared" si="21"/>
        <v>0</v>
      </c>
      <c r="K51" s="26">
        <f t="shared" si="22"/>
        <v>0</v>
      </c>
      <c r="L51" s="26">
        <f t="shared" si="23"/>
        <v>0</v>
      </c>
      <c r="M51" s="26">
        <f t="shared" si="24"/>
        <v>0</v>
      </c>
      <c r="N51" s="616">
        <f t="shared" si="25"/>
        <v>0</v>
      </c>
    </row>
    <row r="52" spans="1:14">
      <c r="A52" s="531">
        <f t="shared" si="18"/>
        <v>40</v>
      </c>
      <c r="B52" s="530" t="s">
        <v>819</v>
      </c>
      <c r="C52" s="526" t="s">
        <v>587</v>
      </c>
      <c r="D52" s="604" t="s">
        <v>868</v>
      </c>
      <c r="E52" s="106">
        <f>32/365</f>
        <v>8.7671232876712329E-2</v>
      </c>
      <c r="F52" s="615">
        <f>+'4b - ADIT Projection Proration'!G52</f>
        <v>0</v>
      </c>
      <c r="G52" s="26">
        <f t="shared" si="19"/>
        <v>0</v>
      </c>
      <c r="H52" s="26">
        <f t="shared" si="20"/>
        <v>0</v>
      </c>
      <c r="I52" s="75">
        <v>0</v>
      </c>
      <c r="J52" s="26">
        <f t="shared" si="21"/>
        <v>0</v>
      </c>
      <c r="K52" s="26">
        <f t="shared" si="22"/>
        <v>0</v>
      </c>
      <c r="L52" s="26">
        <f t="shared" si="23"/>
        <v>0</v>
      </c>
      <c r="M52" s="26">
        <f t="shared" si="24"/>
        <v>0</v>
      </c>
      <c r="N52" s="616">
        <f t="shared" si="25"/>
        <v>0</v>
      </c>
    </row>
    <row r="53" spans="1:14">
      <c r="A53" s="531">
        <f t="shared" si="18"/>
        <v>41</v>
      </c>
      <c r="B53" s="530" t="s">
        <v>819</v>
      </c>
      <c r="C53" s="526" t="s">
        <v>666</v>
      </c>
      <c r="D53" s="604" t="s">
        <v>868</v>
      </c>
      <c r="E53" s="106">
        <f>1/365</f>
        <v>2.7397260273972603E-3</v>
      </c>
      <c r="F53" s="615">
        <f>+'4b - ADIT Projection Proration'!G53</f>
        <v>0</v>
      </c>
      <c r="G53" s="617">
        <f t="shared" si="19"/>
        <v>0</v>
      </c>
      <c r="H53" s="617">
        <f t="shared" si="20"/>
        <v>0</v>
      </c>
      <c r="I53" s="402">
        <v>0</v>
      </c>
      <c r="J53" s="617">
        <f t="shared" si="21"/>
        <v>0</v>
      </c>
      <c r="K53" s="617">
        <f t="shared" si="22"/>
        <v>0</v>
      </c>
      <c r="L53" s="617">
        <f t="shared" si="23"/>
        <v>0</v>
      </c>
      <c r="M53" s="617">
        <f t="shared" si="24"/>
        <v>0</v>
      </c>
      <c r="N53" s="618">
        <f t="shared" si="25"/>
        <v>0</v>
      </c>
    </row>
    <row r="54" spans="1:14" ht="15.75" thickBot="1">
      <c r="A54" s="531">
        <f t="shared" si="18"/>
        <v>42</v>
      </c>
      <c r="B54" s="530" t="s">
        <v>826</v>
      </c>
      <c r="C54" s="526"/>
      <c r="D54" s="526"/>
      <c r="E54" s="526"/>
      <c r="F54" s="620">
        <f t="shared" ref="F54:M54" si="26">SUM(F41:F53)</f>
        <v>0</v>
      </c>
      <c r="G54" s="60">
        <f t="shared" si="26"/>
        <v>0</v>
      </c>
      <c r="H54" s="60"/>
      <c r="I54" s="60">
        <f t="shared" si="26"/>
        <v>0</v>
      </c>
      <c r="J54" s="60">
        <f t="shared" si="26"/>
        <v>0</v>
      </c>
      <c r="K54" s="60">
        <f t="shared" si="26"/>
        <v>0</v>
      </c>
      <c r="L54" s="60">
        <f t="shared" si="26"/>
        <v>0</v>
      </c>
      <c r="M54" s="60">
        <f t="shared" si="26"/>
        <v>0</v>
      </c>
      <c r="N54" s="621"/>
    </row>
    <row r="55" spans="1:14">
      <c r="A55" s="526"/>
      <c r="B55" s="526"/>
      <c r="C55" s="526"/>
      <c r="D55" s="526"/>
      <c r="E55" s="526"/>
      <c r="F55" s="26"/>
      <c r="G55" s="26"/>
      <c r="H55" s="26"/>
      <c r="I55" s="26"/>
      <c r="J55" s="26"/>
      <c r="K55" s="26"/>
      <c r="L55" s="26"/>
      <c r="M55" s="26"/>
      <c r="N55" s="26"/>
    </row>
    <row r="56" spans="1:14">
      <c r="A56" s="526"/>
      <c r="B56" s="526"/>
      <c r="C56" s="526"/>
      <c r="D56" s="526"/>
      <c r="E56" s="526"/>
      <c r="F56" s="526"/>
      <c r="G56" s="526"/>
      <c r="H56" s="526"/>
      <c r="I56" s="526"/>
      <c r="J56" s="526"/>
      <c r="K56" s="526"/>
      <c r="L56" s="526"/>
      <c r="M56" s="526"/>
      <c r="N56" s="526"/>
    </row>
    <row r="57" spans="1:14">
      <c r="A57" s="622" t="s">
        <v>827</v>
      </c>
      <c r="B57" s="526" t="s">
        <v>828</v>
      </c>
      <c r="C57" s="526"/>
      <c r="D57" s="526"/>
      <c r="E57" s="526"/>
      <c r="F57" s="526"/>
      <c r="G57" s="526"/>
      <c r="H57" s="526"/>
      <c r="I57" s="526"/>
      <c r="J57" s="526"/>
      <c r="K57" s="526"/>
      <c r="L57" s="526"/>
      <c r="M57" s="526"/>
      <c r="N57" s="526"/>
    </row>
    <row r="58" spans="1:14">
      <c r="A58" s="622" t="s">
        <v>829</v>
      </c>
      <c r="B58" s="526" t="s">
        <v>830</v>
      </c>
      <c r="C58" s="526"/>
      <c r="D58" s="623"/>
      <c r="E58" s="623"/>
      <c r="F58" s="623"/>
      <c r="G58" s="623"/>
      <c r="H58" s="623"/>
      <c r="I58" s="623"/>
      <c r="J58" s="623"/>
      <c r="K58" s="623"/>
      <c r="L58" s="623"/>
      <c r="M58" s="623"/>
      <c r="N58" s="623"/>
    </row>
    <row r="59" spans="1:14">
      <c r="A59" s="624" t="s">
        <v>431</v>
      </c>
      <c r="B59" s="526" t="s">
        <v>831</v>
      </c>
      <c r="C59" s="526"/>
      <c r="D59" s="623"/>
      <c r="E59" s="623"/>
      <c r="F59" s="623"/>
      <c r="G59" s="623"/>
      <c r="H59" s="623"/>
      <c r="I59" s="623"/>
      <c r="J59" s="623"/>
      <c r="K59" s="623"/>
      <c r="L59" s="623"/>
      <c r="M59" s="623"/>
      <c r="N59" s="623"/>
    </row>
    <row r="60" spans="1:14">
      <c r="A60" s="624" t="s">
        <v>433</v>
      </c>
      <c r="B60" s="526" t="s">
        <v>832</v>
      </c>
      <c r="C60" s="526"/>
      <c r="D60" s="623"/>
      <c r="E60" s="623"/>
      <c r="F60" s="623"/>
      <c r="G60" s="623"/>
      <c r="H60" s="623"/>
      <c r="I60" s="623"/>
      <c r="J60" s="623"/>
      <c r="K60" s="623"/>
      <c r="L60" s="623"/>
      <c r="M60" s="623"/>
      <c r="N60" s="623"/>
    </row>
    <row r="61" spans="1:14">
      <c r="A61" s="624" t="s">
        <v>278</v>
      </c>
      <c r="B61" s="530" t="s">
        <v>833</v>
      </c>
      <c r="C61" s="526"/>
      <c r="D61" s="525"/>
      <c r="E61" s="525"/>
      <c r="F61" s="526"/>
      <c r="G61" s="526"/>
      <c r="H61" s="526"/>
      <c r="I61" s="526"/>
      <c r="J61" s="526"/>
      <c r="K61" s="526"/>
      <c r="L61" s="526"/>
      <c r="M61" s="526"/>
      <c r="N61" s="526"/>
    </row>
  </sheetData>
  <mergeCells count="4">
    <mergeCell ref="A1:N1"/>
    <mergeCell ref="A2:N2"/>
    <mergeCell ref="A3:N3"/>
    <mergeCell ref="F5:N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D8444-7414-4463-A4C7-15A3D7B6CA3B}">
  <sheetPr>
    <tabColor rgb="FF92D050"/>
  </sheetPr>
  <dimension ref="A1:Q68"/>
  <sheetViews>
    <sheetView view="pageBreakPreview" zoomScale="75" zoomScaleNormal="100" zoomScaleSheetLayoutView="75" workbookViewId="0">
      <selection activeCell="M40" sqref="M40"/>
    </sheetView>
  </sheetViews>
  <sheetFormatPr defaultColWidth="8.88671875" defaultRowHeight="12.75"/>
  <cols>
    <col min="1" max="1" width="4" style="3" customWidth="1"/>
    <col min="2" max="2" width="17.109375" style="3" customWidth="1"/>
    <col min="3" max="3" width="12.109375" style="3" customWidth="1"/>
    <col min="4" max="11" width="7.77734375" style="3" customWidth="1"/>
    <col min="12" max="12" width="9.44140625" style="3" customWidth="1"/>
    <col min="13" max="13" width="7.77734375" style="3" customWidth="1"/>
    <col min="14" max="14" width="9.5546875" style="3" customWidth="1"/>
    <col min="15" max="15" width="10.44140625" style="3" customWidth="1"/>
    <col min="16" max="16" width="11.77734375" style="3" customWidth="1"/>
    <col min="17" max="17" width="10.6640625" style="3" bestFit="1" customWidth="1"/>
    <col min="18" max="16384" width="8.88671875" style="3"/>
  </cols>
  <sheetData>
    <row r="1" spans="1:17">
      <c r="I1" s="162" t="s">
        <v>886</v>
      </c>
      <c r="Q1" s="369" t="s">
        <v>451</v>
      </c>
    </row>
    <row r="2" spans="1:17">
      <c r="I2" s="15" t="s">
        <v>887</v>
      </c>
    </row>
    <row r="3" spans="1:17">
      <c r="I3" s="18" t="str">
        <f>+'Attachment H'!D5</f>
        <v>GridLiance High Plains LLC</v>
      </c>
    </row>
    <row r="5" spans="1:17" ht="15.75">
      <c r="A5" s="625"/>
      <c r="B5" s="626"/>
      <c r="C5" s="627" t="s">
        <v>888</v>
      </c>
      <c r="D5" s="627"/>
      <c r="E5" s="628" t="s">
        <v>889</v>
      </c>
      <c r="F5" s="628"/>
      <c r="G5" s="629"/>
      <c r="H5" s="629"/>
    </row>
    <row r="6" spans="1:17" ht="15">
      <c r="A6" s="625">
        <v>1</v>
      </c>
      <c r="B6" s="629"/>
      <c r="C6" s="630" t="s">
        <v>890</v>
      </c>
      <c r="D6" s="631"/>
      <c r="E6" s="632">
        <v>0</v>
      </c>
      <c r="F6" s="631"/>
      <c r="G6" s="631"/>
      <c r="H6" s="631"/>
    </row>
    <row r="7" spans="1:17" ht="15">
      <c r="A7" s="625">
        <v>2</v>
      </c>
      <c r="B7" s="629"/>
      <c r="C7" s="630" t="s">
        <v>891</v>
      </c>
      <c r="D7" s="631"/>
      <c r="E7" s="632">
        <v>0</v>
      </c>
      <c r="F7" s="631"/>
      <c r="G7" s="631"/>
      <c r="H7" s="631"/>
    </row>
    <row r="8" spans="1:17" ht="15">
      <c r="A8" s="625">
        <v>3</v>
      </c>
      <c r="B8" s="629"/>
      <c r="C8" s="630" t="s">
        <v>892</v>
      </c>
      <c r="D8" s="631"/>
      <c r="E8" s="632">
        <v>0</v>
      </c>
      <c r="F8" s="631"/>
      <c r="G8" s="631"/>
      <c r="H8" s="631"/>
    </row>
    <row r="9" spans="1:17" ht="15">
      <c r="A9" s="625">
        <v>4</v>
      </c>
      <c r="B9" s="629"/>
      <c r="C9" s="630" t="s">
        <v>893</v>
      </c>
      <c r="D9" s="631"/>
      <c r="E9" s="632">
        <v>0</v>
      </c>
      <c r="F9" s="631"/>
      <c r="G9" s="631"/>
      <c r="H9" s="631"/>
    </row>
    <row r="10" spans="1:17" ht="15.75" customHeight="1">
      <c r="A10" s="625">
        <v>5</v>
      </c>
      <c r="B10" s="629"/>
      <c r="C10" s="630" t="s">
        <v>894</v>
      </c>
      <c r="D10" s="631"/>
      <c r="E10" s="632">
        <v>0</v>
      </c>
      <c r="F10" s="631"/>
      <c r="G10" s="631"/>
      <c r="H10" s="631"/>
    </row>
    <row r="11" spans="1:17" ht="15">
      <c r="A11" s="625">
        <v>6</v>
      </c>
      <c r="B11" s="629"/>
      <c r="C11" s="630" t="s">
        <v>891</v>
      </c>
      <c r="D11" s="631"/>
      <c r="E11" s="632">
        <v>0</v>
      </c>
      <c r="F11" s="631"/>
      <c r="G11" s="631"/>
      <c r="H11" s="631"/>
    </row>
    <row r="12" spans="1:17" ht="15">
      <c r="A12" s="625">
        <v>7</v>
      </c>
      <c r="B12" s="629"/>
      <c r="C12" s="630" t="s">
        <v>892</v>
      </c>
      <c r="D12" s="631"/>
      <c r="E12" s="632">
        <v>0</v>
      </c>
      <c r="F12" s="631"/>
      <c r="G12" s="631"/>
      <c r="H12" s="631"/>
    </row>
    <row r="13" spans="1:17" ht="15">
      <c r="A13" s="625"/>
      <c r="B13" s="629"/>
      <c r="C13" s="629"/>
      <c r="D13" s="631"/>
      <c r="E13" s="633"/>
      <c r="F13" s="631"/>
      <c r="G13" s="631"/>
      <c r="H13" s="631"/>
    </row>
    <row r="14" spans="1:17" ht="15">
      <c r="A14" s="625"/>
      <c r="B14" s="629"/>
      <c r="C14" s="630"/>
      <c r="D14" s="631"/>
      <c r="E14" s="631"/>
      <c r="F14" s="631"/>
      <c r="G14" s="631"/>
      <c r="H14" s="631"/>
    </row>
    <row r="15" spans="1:17" ht="15">
      <c r="A15" s="625">
        <v>8</v>
      </c>
      <c r="B15" s="634" t="s">
        <v>895</v>
      </c>
      <c r="C15" s="629"/>
      <c r="D15" s="631"/>
      <c r="E15" s="631">
        <f>AVERAGE(E6:E12)</f>
        <v>0</v>
      </c>
      <c r="F15" s="631"/>
      <c r="G15" s="631"/>
      <c r="H15" s="635">
        <f>+E15</f>
        <v>0</v>
      </c>
    </row>
    <row r="16" spans="1:17" ht="15">
      <c r="A16" s="629"/>
      <c r="B16" s="629"/>
      <c r="C16" s="629"/>
      <c r="D16" s="631"/>
      <c r="E16" s="631"/>
      <c r="F16" s="631"/>
      <c r="G16" s="631"/>
      <c r="H16" s="631"/>
    </row>
    <row r="17" spans="1:17" ht="15">
      <c r="A17" s="629" t="s">
        <v>896</v>
      </c>
      <c r="B17" s="629"/>
      <c r="C17" s="629"/>
      <c r="D17" s="629"/>
      <c r="E17" s="629"/>
      <c r="F17" s="629"/>
      <c r="G17" s="629"/>
      <c r="H17" s="629"/>
    </row>
    <row r="18" spans="1:17" ht="15">
      <c r="A18" s="629" t="s">
        <v>897</v>
      </c>
      <c r="B18" s="629"/>
      <c r="C18" s="629"/>
      <c r="D18" s="629"/>
      <c r="E18" s="629"/>
      <c r="F18" s="629"/>
      <c r="G18" s="629"/>
      <c r="H18" s="629"/>
    </row>
    <row r="19" spans="1:17" ht="15">
      <c r="A19" s="629" t="s">
        <v>898</v>
      </c>
      <c r="B19" s="629"/>
      <c r="C19" s="629"/>
      <c r="D19" s="629"/>
      <c r="E19" s="629"/>
      <c r="F19" s="629"/>
      <c r="G19" s="629"/>
      <c r="H19" s="629"/>
    </row>
    <row r="20" spans="1:17" ht="15">
      <c r="A20" s="629"/>
      <c r="B20" s="629"/>
      <c r="C20" s="629"/>
      <c r="D20" s="629"/>
      <c r="E20" s="629"/>
      <c r="F20" s="629"/>
      <c r="G20" s="629"/>
      <c r="H20" s="629"/>
    </row>
    <row r="21" spans="1:17" ht="15">
      <c r="A21" s="629"/>
      <c r="B21" s="629"/>
      <c r="C21" s="629"/>
      <c r="D21" s="629"/>
      <c r="E21" s="629"/>
      <c r="F21" s="629"/>
      <c r="G21" s="629"/>
      <c r="H21" s="629"/>
    </row>
    <row r="22" spans="1:17">
      <c r="A22" s="308"/>
      <c r="D22" s="636"/>
      <c r="E22" s="636"/>
      <c r="H22" s="15"/>
    </row>
    <row r="23" spans="1:17">
      <c r="A23" s="308">
        <v>9</v>
      </c>
      <c r="B23" s="3" t="s">
        <v>782</v>
      </c>
      <c r="D23" s="636"/>
      <c r="E23" s="636"/>
      <c r="F23" s="636"/>
      <c r="G23" s="636"/>
      <c r="H23" s="15"/>
      <c r="I23" s="636"/>
      <c r="J23" s="636"/>
      <c r="K23" s="636"/>
      <c r="L23" s="636"/>
    </row>
    <row r="24" spans="1:17">
      <c r="A24" s="308">
        <v>10</v>
      </c>
      <c r="B24" s="637"/>
      <c r="F24" s="638"/>
    </row>
    <row r="25" spans="1:17">
      <c r="A25" s="311"/>
      <c r="B25" s="328" t="s">
        <v>431</v>
      </c>
      <c r="C25" s="328" t="s">
        <v>433</v>
      </c>
      <c r="D25" s="639" t="s">
        <v>278</v>
      </c>
      <c r="E25" s="640" t="s">
        <v>280</v>
      </c>
      <c r="F25" s="640" t="s">
        <v>282</v>
      </c>
      <c r="G25" s="640" t="s">
        <v>284</v>
      </c>
      <c r="H25" s="640" t="s">
        <v>286</v>
      </c>
      <c r="I25" s="640" t="s">
        <v>296</v>
      </c>
      <c r="J25" s="640" t="s">
        <v>298</v>
      </c>
      <c r="K25" s="640" t="s">
        <v>300</v>
      </c>
      <c r="L25" s="640" t="s">
        <v>302</v>
      </c>
      <c r="M25" s="640" t="s">
        <v>899</v>
      </c>
      <c r="N25" s="640" t="s">
        <v>306</v>
      </c>
      <c r="O25" s="641" t="s">
        <v>446</v>
      </c>
      <c r="P25" s="331" t="s">
        <v>310</v>
      </c>
      <c r="Q25" s="642" t="s">
        <v>312</v>
      </c>
    </row>
    <row r="26" spans="1:17">
      <c r="A26" s="308"/>
      <c r="B26" s="325"/>
      <c r="C26" s="315"/>
      <c r="D26" s="330"/>
      <c r="E26" s="15"/>
      <c r="F26" s="15"/>
      <c r="G26" s="311"/>
      <c r="H26" s="15"/>
      <c r="J26" s="15"/>
      <c r="O26" s="643"/>
      <c r="P26" s="314"/>
      <c r="Q26" s="325"/>
    </row>
    <row r="27" spans="1:17">
      <c r="A27" s="308"/>
      <c r="B27" s="327"/>
      <c r="C27" s="329"/>
      <c r="D27" s="330"/>
      <c r="E27" s="15"/>
      <c r="F27" s="15"/>
      <c r="G27" s="15"/>
      <c r="H27" s="15"/>
      <c r="I27" s="15"/>
      <c r="J27" s="15"/>
      <c r="K27" s="15"/>
      <c r="L27" s="15"/>
      <c r="M27" s="15"/>
      <c r="N27" s="15"/>
      <c r="O27" s="644"/>
      <c r="P27" s="330"/>
      <c r="Q27" s="329"/>
    </row>
    <row r="28" spans="1:17">
      <c r="A28" s="308"/>
      <c r="B28" s="329" t="s">
        <v>504</v>
      </c>
      <c r="C28" s="329"/>
      <c r="D28" s="645" t="s">
        <v>900</v>
      </c>
      <c r="E28" s="636"/>
      <c r="F28" s="636"/>
      <c r="G28" s="636"/>
      <c r="H28" s="636"/>
      <c r="I28" s="636"/>
      <c r="J28" s="636"/>
      <c r="K28" s="636"/>
      <c r="L28" s="636"/>
      <c r="M28" s="636"/>
      <c r="N28" s="636"/>
      <c r="O28" s="646"/>
      <c r="P28" s="330" t="s">
        <v>503</v>
      </c>
      <c r="Q28" s="329" t="s">
        <v>503</v>
      </c>
    </row>
    <row r="29" spans="1:17">
      <c r="A29" s="308"/>
      <c r="B29" s="321" t="s">
        <v>512</v>
      </c>
      <c r="C29" s="321" t="s">
        <v>513</v>
      </c>
      <c r="D29" s="647" t="s">
        <v>577</v>
      </c>
      <c r="E29" s="648" t="s">
        <v>578</v>
      </c>
      <c r="F29" s="649" t="s">
        <v>663</v>
      </c>
      <c r="G29" s="649" t="s">
        <v>580</v>
      </c>
      <c r="H29" s="648" t="s">
        <v>581</v>
      </c>
      <c r="I29" s="648" t="s">
        <v>582</v>
      </c>
      <c r="J29" s="648" t="s">
        <v>583</v>
      </c>
      <c r="K29" s="648" t="s">
        <v>665</v>
      </c>
      <c r="L29" s="648" t="s">
        <v>585</v>
      </c>
      <c r="M29" s="648" t="s">
        <v>586</v>
      </c>
      <c r="N29" s="648" t="s">
        <v>587</v>
      </c>
      <c r="O29" s="650" t="s">
        <v>666</v>
      </c>
      <c r="P29" s="647" t="s">
        <v>901</v>
      </c>
      <c r="Q29" s="321" t="s">
        <v>542</v>
      </c>
    </row>
    <row r="30" spans="1:17">
      <c r="A30" s="308">
        <v>11</v>
      </c>
      <c r="B30" s="327" t="s">
        <v>1</v>
      </c>
      <c r="C30" s="327"/>
      <c r="D30" s="651"/>
      <c r="E30" s="23"/>
      <c r="F30" s="23"/>
      <c r="G30" s="23"/>
      <c r="H30" s="23"/>
      <c r="I30" s="61"/>
      <c r="J30" s="61"/>
      <c r="K30" s="61"/>
      <c r="L30" s="61"/>
      <c r="O30" s="643"/>
      <c r="P30" s="652"/>
      <c r="Q30" s="327"/>
    </row>
    <row r="31" spans="1:17">
      <c r="A31" s="308" t="s">
        <v>902</v>
      </c>
      <c r="B31" s="339"/>
      <c r="C31" s="339"/>
      <c r="D31" s="340"/>
      <c r="E31" s="431"/>
      <c r="F31" s="431"/>
      <c r="G31" s="431"/>
      <c r="H31" s="431"/>
      <c r="I31" s="431"/>
      <c r="J31" s="431"/>
      <c r="K31" s="604"/>
      <c r="L31" s="604"/>
      <c r="M31" s="637"/>
      <c r="N31" s="637"/>
      <c r="O31" s="653"/>
      <c r="P31" s="651">
        <f>+H15</f>
        <v>0</v>
      </c>
      <c r="Q31" s="654">
        <f>+P31*(D31+E31*0.91667+F31*0.83333+G31*0.75+H31*0.66667+I31*7/12+J31*6/12+K31*5/12+L31*4/12+M31*3/12+N31*2/12+O31*1/12)+P31*1.5*SUM(D31:O31)</f>
        <v>0</v>
      </c>
    </row>
    <row r="32" spans="1:17">
      <c r="A32" s="308" t="s">
        <v>903</v>
      </c>
      <c r="B32" s="339"/>
      <c r="C32" s="339"/>
      <c r="D32" s="340"/>
      <c r="E32" s="431"/>
      <c r="F32" s="431"/>
      <c r="G32" s="431"/>
      <c r="H32" s="431"/>
      <c r="I32" s="431"/>
      <c r="J32" s="431"/>
      <c r="K32" s="604"/>
      <c r="L32" s="604"/>
      <c r="M32" s="637"/>
      <c r="N32" s="637"/>
      <c r="O32" s="653"/>
      <c r="P32" s="651">
        <f>+P31</f>
        <v>0</v>
      </c>
      <c r="Q32" s="654">
        <f t="shared" ref="Q32:Q49" si="0">+P32*(D32+E32*0.91667+F32*0.83333+G32*0.75+H32*0.66667+I32*7/12+J32*6/12+K32*5/12+L32*4/12+M32*3/12+N32*2/12+O32*1/12)+P32*1.5*SUM(D32:O32)</f>
        <v>0</v>
      </c>
    </row>
    <row r="33" spans="1:17">
      <c r="A33" s="308" t="s">
        <v>904</v>
      </c>
      <c r="B33" s="339"/>
      <c r="C33" s="339"/>
      <c r="D33" s="340"/>
      <c r="E33" s="431"/>
      <c r="F33" s="431"/>
      <c r="G33" s="431"/>
      <c r="H33" s="431"/>
      <c r="I33" s="431"/>
      <c r="J33" s="431"/>
      <c r="K33" s="604"/>
      <c r="L33" s="604"/>
      <c r="M33" s="637"/>
      <c r="N33" s="637"/>
      <c r="O33" s="653"/>
      <c r="P33" s="651">
        <f t="shared" ref="P33:P49" si="1">+P32</f>
        <v>0</v>
      </c>
      <c r="Q33" s="654">
        <f t="shared" si="0"/>
        <v>0</v>
      </c>
    </row>
    <row r="34" spans="1:17">
      <c r="A34" s="308" t="s">
        <v>624</v>
      </c>
      <c r="B34" s="339"/>
      <c r="C34" s="339"/>
      <c r="D34" s="340"/>
      <c r="E34" s="431"/>
      <c r="F34" s="431"/>
      <c r="G34" s="431"/>
      <c r="H34" s="431"/>
      <c r="I34" s="431"/>
      <c r="J34" s="431"/>
      <c r="K34" s="604"/>
      <c r="L34" s="604"/>
      <c r="M34" s="637"/>
      <c r="N34" s="637"/>
      <c r="O34" s="653"/>
      <c r="P34" s="651">
        <f t="shared" si="1"/>
        <v>0</v>
      </c>
      <c r="Q34" s="654">
        <f t="shared" si="0"/>
        <v>0</v>
      </c>
    </row>
    <row r="35" spans="1:17">
      <c r="A35" s="308"/>
      <c r="B35" s="339"/>
      <c r="C35" s="339"/>
      <c r="D35" s="340"/>
      <c r="E35" s="431"/>
      <c r="F35" s="431"/>
      <c r="G35" s="431"/>
      <c r="H35" s="431"/>
      <c r="I35" s="431"/>
      <c r="J35" s="431"/>
      <c r="K35" s="604"/>
      <c r="L35" s="604"/>
      <c r="M35" s="637"/>
      <c r="N35" s="637"/>
      <c r="O35" s="653"/>
      <c r="P35" s="651">
        <f t="shared" si="1"/>
        <v>0</v>
      </c>
      <c r="Q35" s="654">
        <f t="shared" si="0"/>
        <v>0</v>
      </c>
    </row>
    <row r="36" spans="1:17">
      <c r="A36" s="308"/>
      <c r="B36" s="339"/>
      <c r="C36" s="339"/>
      <c r="D36" s="340"/>
      <c r="E36" s="431"/>
      <c r="F36" s="431"/>
      <c r="G36" s="431"/>
      <c r="H36" s="431"/>
      <c r="I36" s="431"/>
      <c r="J36" s="431"/>
      <c r="K36" s="604"/>
      <c r="L36" s="604"/>
      <c r="M36" s="637"/>
      <c r="N36" s="637"/>
      <c r="O36" s="653"/>
      <c r="P36" s="651">
        <f t="shared" si="1"/>
        <v>0</v>
      </c>
      <c r="Q36" s="654">
        <f t="shared" si="0"/>
        <v>0</v>
      </c>
    </row>
    <row r="37" spans="1:17">
      <c r="A37" s="308"/>
      <c r="B37" s="339"/>
      <c r="C37" s="339"/>
      <c r="D37" s="340"/>
      <c r="E37" s="431"/>
      <c r="F37" s="431"/>
      <c r="G37" s="431"/>
      <c r="H37" s="431"/>
      <c r="I37" s="431"/>
      <c r="J37" s="431"/>
      <c r="K37" s="604"/>
      <c r="L37" s="604"/>
      <c r="M37" s="637"/>
      <c r="N37" s="637"/>
      <c r="O37" s="653"/>
      <c r="P37" s="651">
        <f t="shared" si="1"/>
        <v>0</v>
      </c>
      <c r="Q37" s="654">
        <f t="shared" si="0"/>
        <v>0</v>
      </c>
    </row>
    <row r="38" spans="1:17">
      <c r="A38" s="308"/>
      <c r="B38" s="339"/>
      <c r="C38" s="339"/>
      <c r="D38" s="340"/>
      <c r="E38" s="431"/>
      <c r="F38" s="431"/>
      <c r="G38" s="431"/>
      <c r="H38" s="431"/>
      <c r="I38" s="431"/>
      <c r="J38" s="431"/>
      <c r="K38" s="604"/>
      <c r="L38" s="604"/>
      <c r="M38" s="637"/>
      <c r="N38" s="637"/>
      <c r="O38" s="653"/>
      <c r="P38" s="651">
        <f t="shared" si="1"/>
        <v>0</v>
      </c>
      <c r="Q38" s="654">
        <f t="shared" si="0"/>
        <v>0</v>
      </c>
    </row>
    <row r="39" spans="1:17">
      <c r="A39" s="308"/>
      <c r="B39" s="339"/>
      <c r="C39" s="339"/>
      <c r="D39" s="340"/>
      <c r="E39" s="431"/>
      <c r="F39" s="431"/>
      <c r="G39" s="431"/>
      <c r="H39" s="431"/>
      <c r="I39" s="431"/>
      <c r="J39" s="431"/>
      <c r="K39" s="604"/>
      <c r="L39" s="604"/>
      <c r="M39" s="637"/>
      <c r="N39" s="637"/>
      <c r="O39" s="653"/>
      <c r="P39" s="651">
        <f t="shared" si="1"/>
        <v>0</v>
      </c>
      <c r="Q39" s="654">
        <f t="shared" si="0"/>
        <v>0</v>
      </c>
    </row>
    <row r="40" spans="1:17">
      <c r="A40" s="308"/>
      <c r="B40" s="339"/>
      <c r="C40" s="339"/>
      <c r="D40" s="340"/>
      <c r="E40" s="431"/>
      <c r="F40" s="431"/>
      <c r="G40" s="431"/>
      <c r="H40" s="431"/>
      <c r="I40" s="431"/>
      <c r="J40" s="431"/>
      <c r="K40" s="604"/>
      <c r="L40" s="604"/>
      <c r="M40" s="637"/>
      <c r="N40" s="637"/>
      <c r="O40" s="653"/>
      <c r="P40" s="651">
        <f t="shared" si="1"/>
        <v>0</v>
      </c>
      <c r="Q40" s="654">
        <f t="shared" si="0"/>
        <v>0</v>
      </c>
    </row>
    <row r="41" spans="1:17">
      <c r="A41" s="308"/>
      <c r="B41" s="339"/>
      <c r="C41" s="339"/>
      <c r="D41" s="340"/>
      <c r="E41" s="431"/>
      <c r="F41" s="431"/>
      <c r="G41" s="431"/>
      <c r="H41" s="431"/>
      <c r="I41" s="431"/>
      <c r="J41" s="431"/>
      <c r="K41" s="604"/>
      <c r="L41" s="604"/>
      <c r="M41" s="637"/>
      <c r="N41" s="637"/>
      <c r="O41" s="653"/>
      <c r="P41" s="651">
        <f t="shared" si="1"/>
        <v>0</v>
      </c>
      <c r="Q41" s="654">
        <f t="shared" si="0"/>
        <v>0</v>
      </c>
    </row>
    <row r="42" spans="1:17">
      <c r="A42" s="308"/>
      <c r="B42" s="339"/>
      <c r="C42" s="339"/>
      <c r="D42" s="340"/>
      <c r="E42" s="431"/>
      <c r="F42" s="431"/>
      <c r="G42" s="431"/>
      <c r="H42" s="431"/>
      <c r="I42" s="431"/>
      <c r="J42" s="431"/>
      <c r="K42" s="604"/>
      <c r="L42" s="604"/>
      <c r="M42" s="637"/>
      <c r="N42" s="637"/>
      <c r="O42" s="653"/>
      <c r="P42" s="651">
        <f t="shared" si="1"/>
        <v>0</v>
      </c>
      <c r="Q42" s="654">
        <f t="shared" si="0"/>
        <v>0</v>
      </c>
    </row>
    <row r="43" spans="1:17">
      <c r="A43" s="308"/>
      <c r="B43" s="339"/>
      <c r="C43" s="339"/>
      <c r="D43" s="340"/>
      <c r="E43" s="431"/>
      <c r="F43" s="431"/>
      <c r="G43" s="431"/>
      <c r="H43" s="431"/>
      <c r="I43" s="431"/>
      <c r="J43" s="431"/>
      <c r="K43" s="604"/>
      <c r="L43" s="604"/>
      <c r="M43" s="637"/>
      <c r="N43" s="637"/>
      <c r="O43" s="653"/>
      <c r="P43" s="651">
        <f t="shared" si="1"/>
        <v>0</v>
      </c>
      <c r="Q43" s="654">
        <f t="shared" si="0"/>
        <v>0</v>
      </c>
    </row>
    <row r="44" spans="1:17">
      <c r="A44" s="308"/>
      <c r="B44" s="339"/>
      <c r="C44" s="339"/>
      <c r="D44" s="340"/>
      <c r="E44" s="431"/>
      <c r="F44" s="431"/>
      <c r="G44" s="431"/>
      <c r="H44" s="431"/>
      <c r="I44" s="431"/>
      <c r="J44" s="431"/>
      <c r="K44" s="604"/>
      <c r="L44" s="604"/>
      <c r="M44" s="637"/>
      <c r="N44" s="637"/>
      <c r="O44" s="653"/>
      <c r="P44" s="651">
        <f t="shared" si="1"/>
        <v>0</v>
      </c>
      <c r="Q44" s="654">
        <f t="shared" si="0"/>
        <v>0</v>
      </c>
    </row>
    <row r="45" spans="1:17">
      <c r="A45" s="308"/>
      <c r="B45" s="339"/>
      <c r="C45" s="339"/>
      <c r="D45" s="340"/>
      <c r="E45" s="431"/>
      <c r="F45" s="431"/>
      <c r="G45" s="431"/>
      <c r="H45" s="431"/>
      <c r="I45" s="431"/>
      <c r="J45" s="431"/>
      <c r="K45" s="604"/>
      <c r="L45" s="604"/>
      <c r="M45" s="637"/>
      <c r="N45" s="637"/>
      <c r="O45" s="653"/>
      <c r="P45" s="651">
        <f t="shared" si="1"/>
        <v>0</v>
      </c>
      <c r="Q45" s="654">
        <f t="shared" si="0"/>
        <v>0</v>
      </c>
    </row>
    <row r="46" spans="1:17">
      <c r="A46" s="308"/>
      <c r="B46" s="339"/>
      <c r="C46" s="339"/>
      <c r="D46" s="340"/>
      <c r="E46" s="431"/>
      <c r="F46" s="431"/>
      <c r="G46" s="431"/>
      <c r="H46" s="431"/>
      <c r="I46" s="431"/>
      <c r="J46" s="431"/>
      <c r="K46" s="604"/>
      <c r="L46" s="604"/>
      <c r="M46" s="637"/>
      <c r="N46" s="637"/>
      <c r="O46" s="653"/>
      <c r="P46" s="651">
        <f t="shared" si="1"/>
        <v>0</v>
      </c>
      <c r="Q46" s="654">
        <f t="shared" si="0"/>
        <v>0</v>
      </c>
    </row>
    <row r="47" spans="1:17">
      <c r="A47" s="308"/>
      <c r="B47" s="339"/>
      <c r="C47" s="339"/>
      <c r="D47" s="340"/>
      <c r="E47" s="431"/>
      <c r="F47" s="431"/>
      <c r="G47" s="431"/>
      <c r="H47" s="431"/>
      <c r="I47" s="431"/>
      <c r="J47" s="431"/>
      <c r="K47" s="604"/>
      <c r="L47" s="604"/>
      <c r="M47" s="637"/>
      <c r="N47" s="637"/>
      <c r="O47" s="653"/>
      <c r="P47" s="651">
        <f t="shared" si="1"/>
        <v>0</v>
      </c>
      <c r="Q47" s="654">
        <f t="shared" si="0"/>
        <v>0</v>
      </c>
    </row>
    <row r="48" spans="1:17">
      <c r="A48" s="308"/>
      <c r="B48" s="339"/>
      <c r="C48" s="339"/>
      <c r="D48" s="340"/>
      <c r="E48" s="431"/>
      <c r="F48" s="431"/>
      <c r="G48" s="431"/>
      <c r="H48" s="431"/>
      <c r="I48" s="431"/>
      <c r="J48" s="431"/>
      <c r="K48" s="604"/>
      <c r="L48" s="604"/>
      <c r="M48" s="637"/>
      <c r="N48" s="637"/>
      <c r="O48" s="653"/>
      <c r="P48" s="651">
        <f t="shared" si="1"/>
        <v>0</v>
      </c>
      <c r="Q48" s="654">
        <f t="shared" si="0"/>
        <v>0</v>
      </c>
    </row>
    <row r="49" spans="1:17">
      <c r="A49" s="308"/>
      <c r="B49" s="339"/>
      <c r="C49" s="339"/>
      <c r="D49" s="340"/>
      <c r="E49" s="431"/>
      <c r="F49" s="431"/>
      <c r="G49" s="431"/>
      <c r="H49" s="431"/>
      <c r="I49" s="431"/>
      <c r="J49" s="431"/>
      <c r="K49" s="604"/>
      <c r="L49" s="604"/>
      <c r="M49" s="637"/>
      <c r="N49" s="637"/>
      <c r="O49" s="653"/>
      <c r="P49" s="651">
        <f t="shared" si="1"/>
        <v>0</v>
      </c>
      <c r="Q49" s="654">
        <f t="shared" si="0"/>
        <v>0</v>
      </c>
    </row>
    <row r="50" spans="1:17">
      <c r="A50" s="308"/>
      <c r="B50" s="345"/>
      <c r="C50" s="345"/>
      <c r="D50" s="346"/>
      <c r="E50" s="655"/>
      <c r="F50" s="322"/>
      <c r="G50" s="655"/>
      <c r="H50" s="656"/>
      <c r="I50" s="322"/>
      <c r="J50" s="322"/>
      <c r="K50" s="322"/>
      <c r="L50" s="322"/>
      <c r="M50" s="322"/>
      <c r="N50" s="322"/>
      <c r="O50" s="323"/>
      <c r="P50" s="657"/>
      <c r="Q50" s="345"/>
    </row>
    <row r="51" spans="1:17">
      <c r="A51" s="308"/>
      <c r="D51" s="23"/>
      <c r="E51" s="23"/>
      <c r="F51" s="23"/>
      <c r="G51" s="23"/>
      <c r="H51" s="23"/>
      <c r="I51" s="23"/>
      <c r="J51" s="23"/>
      <c r="K51" s="23"/>
      <c r="L51" s="23"/>
    </row>
    <row r="52" spans="1:17">
      <c r="A52" s="308"/>
      <c r="B52" s="3" t="s">
        <v>544</v>
      </c>
      <c r="D52" s="23"/>
      <c r="E52" s="23"/>
      <c r="F52" s="23"/>
      <c r="G52" s="23"/>
      <c r="H52" s="23"/>
      <c r="I52" s="23"/>
      <c r="J52" s="23"/>
      <c r="K52" s="23"/>
      <c r="L52" s="23"/>
    </row>
    <row r="53" spans="1:17">
      <c r="A53" s="308"/>
      <c r="B53" s="3" t="s">
        <v>905</v>
      </c>
      <c r="D53" s="23"/>
      <c r="E53" s="23"/>
      <c r="F53" s="23"/>
      <c r="G53" s="23"/>
      <c r="H53" s="23"/>
      <c r="I53" s="23"/>
      <c r="J53" s="23"/>
      <c r="K53" s="23"/>
      <c r="L53" s="23"/>
    </row>
    <row r="54" spans="1:17">
      <c r="A54" s="308"/>
      <c r="B54" s="3" t="s">
        <v>906</v>
      </c>
      <c r="D54" s="23"/>
      <c r="E54" s="23"/>
      <c r="F54" s="23"/>
      <c r="G54" s="23"/>
      <c r="H54" s="23"/>
      <c r="I54" s="23"/>
      <c r="J54" s="23"/>
      <c r="K54" s="23"/>
      <c r="L54" s="23"/>
    </row>
    <row r="55" spans="1:17">
      <c r="B55" s="3" t="s">
        <v>907</v>
      </c>
    </row>
    <row r="68" ht="24" customHeight="1"/>
  </sheetData>
  <mergeCells count="6">
    <mergeCell ref="E5:F5"/>
    <mergeCell ref="D22:E22"/>
    <mergeCell ref="D23:E23"/>
    <mergeCell ref="F23:G23"/>
    <mergeCell ref="I23:L23"/>
    <mergeCell ref="D28:O28"/>
  </mergeCells>
  <pageMargins left="0.25" right="0.25" top="0.75" bottom="0.75" header="0.3" footer="0.3"/>
  <pageSetup scale="4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C2B7C-0E08-4D40-8313-7A5F75ABA1FA}">
  <sheetPr>
    <tabColor rgb="FF92D050"/>
    <pageSetUpPr fitToPage="1"/>
  </sheetPr>
  <dimension ref="A1:Q68"/>
  <sheetViews>
    <sheetView view="pageBreakPreview" zoomScale="75" zoomScaleNormal="100" zoomScaleSheetLayoutView="75" workbookViewId="0">
      <selection activeCell="F16" sqref="F16"/>
    </sheetView>
  </sheetViews>
  <sheetFormatPr defaultRowHeight="15"/>
  <cols>
    <col min="2" max="2" width="43.77734375" customWidth="1"/>
    <col min="3" max="3" width="15.5546875" customWidth="1"/>
    <col min="4" max="4" width="16.33203125" customWidth="1"/>
    <col min="5" max="6" width="12.109375" customWidth="1"/>
    <col min="7" max="8" width="11.88671875" bestFit="1" customWidth="1"/>
  </cols>
  <sheetData>
    <row r="1" spans="1:9" ht="15.75">
      <c r="A1" s="627"/>
      <c r="C1" s="658" t="s">
        <v>908</v>
      </c>
      <c r="I1" s="659" t="s">
        <v>451</v>
      </c>
    </row>
    <row r="2" spans="1:9">
      <c r="C2" s="660" t="s">
        <v>909</v>
      </c>
    </row>
    <row r="3" spans="1:9" ht="15.75">
      <c r="C3" s="658" t="str">
        <f>+'Attachment H'!D5</f>
        <v>GridLiance High Plains LLC</v>
      </c>
      <c r="G3" s="661"/>
      <c r="H3" s="661"/>
    </row>
    <row r="4" spans="1:9" ht="15.75">
      <c r="C4" s="662"/>
      <c r="G4" s="661"/>
      <c r="H4" s="661"/>
    </row>
    <row r="5" spans="1:9" ht="15.75">
      <c r="A5" s="663"/>
      <c r="B5" s="664" t="s">
        <v>910</v>
      </c>
      <c r="C5" s="665"/>
      <c r="D5" s="666"/>
      <c r="E5" s="666"/>
      <c r="F5" s="666"/>
      <c r="G5" s="667"/>
      <c r="H5" s="667"/>
    </row>
    <row r="6" spans="1:9">
      <c r="A6" s="663"/>
      <c r="B6" s="668" t="s">
        <v>538</v>
      </c>
      <c r="C6" s="665"/>
      <c r="D6" s="668" t="s">
        <v>539</v>
      </c>
      <c r="E6" s="668" t="s">
        <v>540</v>
      </c>
      <c r="F6" s="668" t="s">
        <v>541</v>
      </c>
      <c r="G6" s="668" t="s">
        <v>563</v>
      </c>
      <c r="H6" s="668" t="s">
        <v>564</v>
      </c>
      <c r="I6" s="668" t="s">
        <v>565</v>
      </c>
    </row>
    <row r="7" spans="1:9">
      <c r="A7" s="663"/>
      <c r="B7" s="665"/>
      <c r="C7" s="665"/>
      <c r="D7" s="669"/>
      <c r="E7" s="669"/>
      <c r="F7" s="669"/>
      <c r="G7" s="669"/>
      <c r="H7" s="669"/>
    </row>
    <row r="8" spans="1:9">
      <c r="A8" s="395">
        <v>1</v>
      </c>
      <c r="B8" s="3"/>
      <c r="C8" s="670"/>
      <c r="D8" s="671" t="s">
        <v>911</v>
      </c>
      <c r="E8" s="672" t="s">
        <v>912</v>
      </c>
      <c r="F8" s="672" t="s">
        <v>912</v>
      </c>
      <c r="G8" s="672" t="s">
        <v>912</v>
      </c>
      <c r="H8" s="672" t="s">
        <v>912</v>
      </c>
      <c r="I8" s="673" t="s">
        <v>20</v>
      </c>
    </row>
    <row r="9" spans="1:9">
      <c r="A9" s="395">
        <v>2</v>
      </c>
      <c r="B9" s="674" t="s">
        <v>913</v>
      </c>
      <c r="C9" s="674"/>
      <c r="D9" s="23">
        <v>0</v>
      </c>
      <c r="E9" s="23">
        <v>0</v>
      </c>
      <c r="F9" s="23">
        <v>0</v>
      </c>
      <c r="G9" s="23">
        <v>0</v>
      </c>
      <c r="H9" s="23">
        <v>0</v>
      </c>
      <c r="I9" s="23"/>
    </row>
    <row r="10" spans="1:9">
      <c r="A10" s="395">
        <v>3</v>
      </c>
      <c r="B10" s="674" t="s">
        <v>914</v>
      </c>
      <c r="C10" s="674"/>
      <c r="D10" s="23">
        <v>0</v>
      </c>
      <c r="E10" s="23">
        <v>0</v>
      </c>
      <c r="F10" s="23">
        <v>0</v>
      </c>
      <c r="G10" s="23">
        <v>0</v>
      </c>
      <c r="H10" s="23">
        <v>0</v>
      </c>
      <c r="I10" s="23"/>
    </row>
    <row r="11" spans="1:9">
      <c r="A11" s="395">
        <v>4</v>
      </c>
      <c r="B11" s="674" t="s">
        <v>915</v>
      </c>
      <c r="C11" s="674"/>
      <c r="D11" s="23">
        <v>0</v>
      </c>
      <c r="E11" s="23">
        <v>0</v>
      </c>
      <c r="F11" s="23">
        <v>0</v>
      </c>
      <c r="G11" s="23">
        <v>0</v>
      </c>
      <c r="H11" s="23">
        <v>0</v>
      </c>
      <c r="I11" s="23"/>
    </row>
    <row r="12" spans="1:9">
      <c r="A12" s="395">
        <v>5</v>
      </c>
      <c r="B12" s="674" t="s">
        <v>916</v>
      </c>
      <c r="C12" s="674"/>
      <c r="D12" s="675">
        <v>0</v>
      </c>
      <c r="E12" s="675">
        <v>0</v>
      </c>
      <c r="F12" s="675">
        <v>0</v>
      </c>
      <c r="G12" s="675">
        <v>0</v>
      </c>
      <c r="H12" s="675">
        <v>0</v>
      </c>
      <c r="I12" s="23"/>
    </row>
    <row r="13" spans="1:9">
      <c r="A13" s="395">
        <v>6</v>
      </c>
      <c r="B13" s="674" t="s">
        <v>917</v>
      </c>
      <c r="C13" s="674"/>
      <c r="D13" s="23">
        <f>D11*D12</f>
        <v>0</v>
      </c>
      <c r="E13" s="23">
        <f>E11*E12</f>
        <v>0</v>
      </c>
      <c r="F13" s="23">
        <f>F11*F12</f>
        <v>0</v>
      </c>
      <c r="G13" s="23">
        <f>G11*G12</f>
        <v>0</v>
      </c>
      <c r="H13" s="23">
        <f>H11*H12</f>
        <v>0</v>
      </c>
      <c r="I13" s="23">
        <f>SUM(D13:H13)</f>
        <v>0</v>
      </c>
    </row>
    <row r="14" spans="1:9">
      <c r="A14" s="395">
        <v>7</v>
      </c>
      <c r="B14" s="674" t="s">
        <v>918</v>
      </c>
      <c r="C14" s="674"/>
      <c r="D14" s="23"/>
      <c r="E14" s="23"/>
      <c r="F14" s="23"/>
      <c r="G14" s="23"/>
      <c r="H14" s="23"/>
      <c r="I14" s="23"/>
    </row>
    <row r="15" spans="1:9">
      <c r="A15" s="3"/>
      <c r="B15" s="3"/>
      <c r="C15" s="3"/>
      <c r="D15" s="3"/>
      <c r="E15" s="3"/>
      <c r="F15" s="3"/>
      <c r="G15" s="3"/>
      <c r="H15" s="3"/>
      <c r="I15" s="3"/>
    </row>
    <row r="16" spans="1:9" ht="25.5">
      <c r="A16" s="395">
        <v>8</v>
      </c>
      <c r="B16" s="676" t="s">
        <v>919</v>
      </c>
      <c r="C16" s="3"/>
      <c r="D16" s="677"/>
      <c r="E16" s="677"/>
      <c r="F16" s="677"/>
      <c r="G16" s="677"/>
      <c r="H16" s="677"/>
      <c r="I16" s="26">
        <f>SUM(D16:H16)</f>
        <v>0</v>
      </c>
    </row>
    <row r="18" spans="1:17">
      <c r="A18" s="678" t="s">
        <v>272</v>
      </c>
      <c r="B18" s="678"/>
      <c r="C18" s="159"/>
      <c r="D18" s="159"/>
      <c r="E18" s="159"/>
      <c r="F18" s="159"/>
      <c r="G18" s="159"/>
      <c r="H18" s="159"/>
      <c r="I18" s="159"/>
      <c r="J18" s="159"/>
      <c r="K18" s="159"/>
      <c r="L18" s="159"/>
      <c r="M18" s="159"/>
      <c r="N18" s="159"/>
      <c r="O18" s="159"/>
      <c r="P18" s="159"/>
      <c r="Q18" s="159"/>
    </row>
    <row r="19" spans="1:17" ht="15.75" thickBot="1">
      <c r="A19" s="679" t="s">
        <v>273</v>
      </c>
      <c r="B19" s="678"/>
      <c r="C19" s="159"/>
      <c r="D19" s="159"/>
      <c r="E19" s="159"/>
      <c r="F19" s="159"/>
      <c r="G19" s="159"/>
      <c r="H19" s="159"/>
      <c r="I19" s="159"/>
      <c r="J19" s="159"/>
      <c r="K19" s="159"/>
      <c r="L19" s="159"/>
      <c r="M19" s="159"/>
      <c r="N19" s="159"/>
      <c r="O19" s="159"/>
      <c r="P19" s="159"/>
      <c r="Q19" s="159"/>
    </row>
    <row r="20" spans="1:17" ht="31.9" customHeight="1">
      <c r="A20" s="680" t="s">
        <v>431</v>
      </c>
      <c r="B20" s="681" t="s">
        <v>920</v>
      </c>
      <c r="C20" s="681"/>
      <c r="D20" s="681"/>
      <c r="E20" s="681"/>
      <c r="F20" s="681"/>
      <c r="G20" s="681"/>
      <c r="H20" s="681"/>
      <c r="I20" s="681"/>
      <c r="J20" s="682"/>
      <c r="K20" s="682"/>
      <c r="L20" s="682"/>
      <c r="M20" s="682"/>
      <c r="N20" s="682"/>
      <c r="O20" s="682"/>
      <c r="P20" s="682"/>
      <c r="Q20" s="682"/>
    </row>
    <row r="21" spans="1:17">
      <c r="A21" s="683"/>
      <c r="B21" s="684"/>
    </row>
    <row r="68" ht="24" customHeight="1"/>
  </sheetData>
  <mergeCells count="1">
    <mergeCell ref="B20:I20"/>
  </mergeCells>
  <pageMargins left="0.7" right="0.7" top="0.75" bottom="0.75" header="0.3" footer="0.3"/>
  <pageSetup scale="54"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758C7-4CA3-4D99-AD53-D114E16F4AE5}">
  <sheetPr>
    <tabColor rgb="FF92D050"/>
    <pageSetUpPr fitToPage="1"/>
  </sheetPr>
  <dimension ref="A1:L127"/>
  <sheetViews>
    <sheetView view="pageBreakPreview" zoomScale="70" zoomScaleNormal="100" zoomScaleSheetLayoutView="70" workbookViewId="0">
      <selection activeCell="I28" sqref="I28"/>
    </sheetView>
  </sheetViews>
  <sheetFormatPr defaultColWidth="8.88671875" defaultRowHeight="12.75"/>
  <cols>
    <col min="1" max="1" width="5.44140625" style="685" customWidth="1"/>
    <col min="2" max="2" width="21.44140625" style="394" customWidth="1"/>
    <col min="3" max="3" width="12.109375" style="394" bestFit="1" customWidth="1"/>
    <col min="4" max="4" width="12.109375" style="394" customWidth="1"/>
    <col min="5" max="5" width="11" style="394" customWidth="1"/>
    <col min="6" max="6" width="13.44140625" style="394" customWidth="1"/>
    <col min="7" max="7" width="14.109375" style="394" customWidth="1"/>
    <col min="8" max="8" width="12.33203125" style="394" customWidth="1"/>
    <col min="9" max="9" width="14.109375" style="394" customWidth="1"/>
    <col min="10" max="10" width="24.33203125" style="394" customWidth="1"/>
    <col min="11" max="11" width="7.21875" style="394" customWidth="1"/>
    <col min="12" max="12" width="12.21875" style="394" customWidth="1"/>
    <col min="13" max="13" width="8.109375" style="394" customWidth="1"/>
    <col min="14" max="14" width="7.6640625" style="394" bestFit="1" customWidth="1"/>
    <col min="15" max="15" width="11.6640625" style="394" bestFit="1" customWidth="1"/>
    <col min="16" max="16" width="10.88671875" style="394" bestFit="1" customWidth="1"/>
    <col min="17" max="16384" width="8.88671875" style="394"/>
  </cols>
  <sheetData>
    <row r="1" spans="1:10">
      <c r="J1" s="686" t="s">
        <v>451</v>
      </c>
    </row>
    <row r="2" spans="1:10" ht="15" customHeight="1">
      <c r="A2" s="687" t="s">
        <v>921</v>
      </c>
      <c r="B2" s="687"/>
      <c r="C2" s="687"/>
      <c r="D2" s="687"/>
      <c r="E2" s="687"/>
      <c r="F2" s="687"/>
      <c r="G2" s="687"/>
      <c r="H2" s="687"/>
      <c r="I2" s="687"/>
      <c r="J2" s="687"/>
    </row>
    <row r="3" spans="1:10">
      <c r="A3" s="687" t="s">
        <v>922</v>
      </c>
      <c r="B3" s="687"/>
      <c r="C3" s="687"/>
      <c r="D3" s="687"/>
      <c r="E3" s="687"/>
      <c r="F3" s="687"/>
      <c r="G3" s="687"/>
      <c r="H3" s="687"/>
      <c r="I3" s="687"/>
      <c r="J3" s="687"/>
    </row>
    <row r="4" spans="1:10" ht="15" customHeight="1">
      <c r="A4" s="688" t="str">
        <f>+'Attachment H'!D5</f>
        <v>GridLiance High Plains LLC</v>
      </c>
      <c r="B4" s="688"/>
      <c r="C4" s="688"/>
      <c r="D4" s="688"/>
      <c r="E4" s="688"/>
      <c r="F4" s="688"/>
      <c r="G4" s="688"/>
      <c r="H4" s="688"/>
      <c r="I4" s="688"/>
      <c r="J4" s="688"/>
    </row>
    <row r="5" spans="1:10">
      <c r="A5" s="689"/>
      <c r="F5" s="690"/>
    </row>
    <row r="6" spans="1:10">
      <c r="A6" s="689"/>
      <c r="B6" s="394" t="s">
        <v>923</v>
      </c>
      <c r="F6" s="690"/>
    </row>
    <row r="7" spans="1:10">
      <c r="A7" s="689"/>
      <c r="B7" s="394" t="s">
        <v>924</v>
      </c>
      <c r="F7" s="690"/>
    </row>
    <row r="8" spans="1:10">
      <c r="A8" s="689"/>
      <c r="B8" s="394" t="s">
        <v>925</v>
      </c>
      <c r="F8" s="690"/>
    </row>
    <row r="9" spans="1:10">
      <c r="A9" s="689"/>
      <c r="F9" s="690"/>
    </row>
    <row r="10" spans="1:10" ht="13.5" thickBot="1">
      <c r="B10" s="394" t="s">
        <v>926</v>
      </c>
    </row>
    <row r="11" spans="1:10">
      <c r="B11" s="691"/>
      <c r="C11" s="692"/>
      <c r="D11" s="692"/>
      <c r="E11" s="692"/>
      <c r="F11" s="693"/>
    </row>
    <row r="12" spans="1:10" ht="13.5" thickBot="1">
      <c r="A12" s="685">
        <v>1</v>
      </c>
      <c r="B12" s="694" t="s">
        <v>927</v>
      </c>
      <c r="C12" s="695"/>
      <c r="D12" s="695"/>
      <c r="E12" s="695"/>
      <c r="F12" s="696">
        <v>0</v>
      </c>
      <c r="H12" s="697"/>
      <c r="I12" s="697"/>
    </row>
    <row r="13" spans="1:10" ht="13.5" thickBot="1">
      <c r="B13" s="394" t="s">
        <v>928</v>
      </c>
      <c r="F13" s="698"/>
      <c r="H13" s="699"/>
      <c r="I13" s="700"/>
    </row>
    <row r="14" spans="1:10">
      <c r="A14" s="685">
        <v>2</v>
      </c>
      <c r="B14" s="691" t="s">
        <v>929</v>
      </c>
      <c r="C14" s="692"/>
      <c r="D14" s="692"/>
      <c r="E14" s="692"/>
      <c r="F14" s="701" t="e">
        <f>ROUND(XIRR(J55:J71,B55:B71,0.08),4)</f>
        <v>#NUM!</v>
      </c>
      <c r="G14" s="702"/>
      <c r="H14" s="703"/>
      <c r="I14" s="703"/>
    </row>
    <row r="15" spans="1:10">
      <c r="A15" s="685">
        <f>+A14+1</f>
        <v>3</v>
      </c>
      <c r="B15" s="704" t="s">
        <v>930</v>
      </c>
      <c r="F15" s="705"/>
      <c r="H15" s="703"/>
      <c r="I15" s="703"/>
      <c r="J15" s="3"/>
    </row>
    <row r="16" spans="1:10">
      <c r="A16" s="685">
        <f t="shared" ref="A16:A78" si="0">+A15+1</f>
        <v>4</v>
      </c>
      <c r="B16" s="704"/>
      <c r="F16" s="706"/>
      <c r="H16" s="703"/>
      <c r="I16" s="703"/>
      <c r="J16" s="3"/>
    </row>
    <row r="17" spans="1:12">
      <c r="A17" s="685">
        <f t="shared" si="0"/>
        <v>5</v>
      </c>
      <c r="B17" s="704"/>
      <c r="F17" s="706"/>
      <c r="K17" s="707"/>
    </row>
    <row r="18" spans="1:12">
      <c r="A18" s="685">
        <f t="shared" si="0"/>
        <v>6</v>
      </c>
      <c r="B18" s="704" t="s">
        <v>931</v>
      </c>
      <c r="C18" s="395"/>
      <c r="F18" s="706"/>
      <c r="J18" s="708"/>
    </row>
    <row r="19" spans="1:12">
      <c r="A19" s="685">
        <f t="shared" si="0"/>
        <v>7</v>
      </c>
      <c r="B19" s="704"/>
      <c r="C19" s="395"/>
      <c r="F19" s="706"/>
    </row>
    <row r="20" spans="1:12" ht="19.5" customHeight="1" thickBot="1">
      <c r="A20" s="685">
        <f t="shared" si="0"/>
        <v>8</v>
      </c>
      <c r="B20" s="694"/>
      <c r="C20" s="709"/>
      <c r="D20" s="695"/>
      <c r="E20" s="695"/>
      <c r="F20" s="710"/>
    </row>
    <row r="21" spans="1:12">
      <c r="B21" s="711"/>
      <c r="F21" s="712"/>
    </row>
    <row r="22" spans="1:12" ht="13.5" thickBot="1">
      <c r="B22" s="394" t="s">
        <v>932</v>
      </c>
      <c r="F22" s="708"/>
    </row>
    <row r="23" spans="1:12">
      <c r="A23" s="685">
        <f>+A20+1</f>
        <v>9</v>
      </c>
      <c r="B23" s="713"/>
      <c r="C23" s="692"/>
      <c r="D23" s="692"/>
      <c r="E23" s="692"/>
      <c r="F23" s="714"/>
    </row>
    <row r="24" spans="1:12">
      <c r="A24" s="685">
        <f t="shared" si="0"/>
        <v>10</v>
      </c>
      <c r="B24" s="704" t="s">
        <v>933</v>
      </c>
      <c r="E24" s="395" t="s">
        <v>934</v>
      </c>
      <c r="F24" s="715" t="s">
        <v>15</v>
      </c>
    </row>
    <row r="25" spans="1:12">
      <c r="A25" s="685">
        <f t="shared" si="0"/>
        <v>11</v>
      </c>
      <c r="B25" s="716" t="s">
        <v>935</v>
      </c>
      <c r="C25" s="398"/>
      <c r="D25" s="398"/>
      <c r="E25" s="717">
        <v>0</v>
      </c>
      <c r="F25" s="718">
        <v>0</v>
      </c>
      <c r="G25" s="719"/>
      <c r="H25" s="720"/>
      <c r="I25" s="720"/>
      <c r="J25" s="721"/>
    </row>
    <row r="26" spans="1:12">
      <c r="A26" s="685">
        <f t="shared" si="0"/>
        <v>12</v>
      </c>
      <c r="B26" s="716" t="s">
        <v>936</v>
      </c>
      <c r="C26" s="398"/>
      <c r="D26" s="398"/>
      <c r="E26" s="722"/>
      <c r="F26" s="718"/>
      <c r="G26" s="685"/>
      <c r="H26" s="723"/>
      <c r="I26" s="723"/>
      <c r="L26" s="724"/>
    </row>
    <row r="27" spans="1:12">
      <c r="A27" s="685">
        <f t="shared" si="0"/>
        <v>13</v>
      </c>
      <c r="B27" s="716" t="s">
        <v>937</v>
      </c>
      <c r="C27" s="398"/>
      <c r="D27" s="398"/>
      <c r="E27" s="717"/>
      <c r="F27" s="718"/>
      <c r="G27" s="685"/>
      <c r="H27" s="723"/>
      <c r="I27" s="723"/>
      <c r="J27" s="670"/>
    </row>
    <row r="28" spans="1:12">
      <c r="A28" s="685">
        <f t="shared" si="0"/>
        <v>14</v>
      </c>
      <c r="B28" s="716" t="s">
        <v>938</v>
      </c>
      <c r="C28" s="398"/>
      <c r="D28" s="398"/>
      <c r="E28" s="725"/>
      <c r="F28" s="726"/>
      <c r="G28" s="685"/>
    </row>
    <row r="29" spans="1:12">
      <c r="A29" s="685">
        <f t="shared" si="0"/>
        <v>15</v>
      </c>
      <c r="B29" s="716" t="s">
        <v>939</v>
      </c>
      <c r="C29" s="725"/>
      <c r="D29" s="398"/>
      <c r="E29" s="431"/>
      <c r="F29" s="726"/>
      <c r="G29" s="685"/>
      <c r="I29" s="723"/>
    </row>
    <row r="30" spans="1:12">
      <c r="A30" s="685" t="s">
        <v>418</v>
      </c>
      <c r="B30" s="716"/>
      <c r="C30" s="725"/>
      <c r="D30" s="398"/>
      <c r="E30" s="431"/>
      <c r="F30" s="727"/>
      <c r="G30" s="685"/>
      <c r="I30" s="723"/>
    </row>
    <row r="31" spans="1:12" ht="13.5" thickBot="1">
      <c r="A31" s="685">
        <f>+A29+1</f>
        <v>16</v>
      </c>
      <c r="B31" s="728" t="s">
        <v>940</v>
      </c>
      <c r="C31" s="729"/>
      <c r="E31" s="730"/>
      <c r="F31" s="731">
        <f>SUM(F26:F29)</f>
        <v>0</v>
      </c>
      <c r="G31" s="685"/>
    </row>
    <row r="32" spans="1:12" ht="14.25" thickTop="1" thickBot="1">
      <c r="B32" s="732"/>
      <c r="C32" s="733"/>
      <c r="D32" s="695"/>
      <c r="E32" s="695"/>
      <c r="F32" s="734"/>
      <c r="G32" s="685"/>
      <c r="J32" s="721"/>
    </row>
    <row r="33" spans="1:10">
      <c r="A33" s="685">
        <f>+A31+1</f>
        <v>17</v>
      </c>
      <c r="B33" s="735"/>
      <c r="C33" s="736"/>
      <c r="D33" s="737"/>
      <c r="E33" s="737"/>
      <c r="F33" s="738"/>
      <c r="G33" s="685"/>
      <c r="J33" s="739"/>
    </row>
    <row r="34" spans="1:10">
      <c r="A34" s="685">
        <f t="shared" si="0"/>
        <v>18</v>
      </c>
      <c r="B34" s="740" t="s">
        <v>941</v>
      </c>
      <c r="C34" s="725"/>
      <c r="D34" s="398"/>
      <c r="E34" s="741">
        <v>0</v>
      </c>
      <c r="F34" s="726">
        <v>0</v>
      </c>
      <c r="G34" s="685"/>
      <c r="J34" s="739"/>
    </row>
    <row r="35" spans="1:10">
      <c r="A35" s="685">
        <f t="shared" si="0"/>
        <v>19</v>
      </c>
      <c r="B35" s="740" t="s">
        <v>942</v>
      </c>
      <c r="C35" s="725"/>
      <c r="D35" s="398"/>
      <c r="E35" s="75">
        <v>0</v>
      </c>
      <c r="F35" s="726">
        <v>0</v>
      </c>
      <c r="G35" s="685"/>
      <c r="J35" s="739"/>
    </row>
    <row r="36" spans="1:10">
      <c r="A36" s="685">
        <v>21</v>
      </c>
      <c r="B36" s="740" t="s">
        <v>943</v>
      </c>
      <c r="C36" s="725"/>
      <c r="D36" s="398"/>
      <c r="E36" s="431"/>
      <c r="F36" s="742">
        <f>+E36</f>
        <v>0</v>
      </c>
      <c r="G36" s="685"/>
      <c r="J36" s="739"/>
    </row>
    <row r="37" spans="1:10" ht="13.5" thickBot="1">
      <c r="A37" s="685" t="s">
        <v>944</v>
      </c>
      <c r="B37" s="743"/>
      <c r="C37" s="744"/>
      <c r="D37" s="745"/>
      <c r="E37" s="746"/>
      <c r="F37" s="747"/>
      <c r="G37" s="685"/>
      <c r="H37" s="748"/>
      <c r="I37" s="723"/>
    </row>
    <row r="38" spans="1:10">
      <c r="B38" s="711"/>
      <c r="C38" s="690"/>
      <c r="E38" s="749"/>
      <c r="F38" s="690"/>
      <c r="G38" s="685"/>
    </row>
    <row r="39" spans="1:10" ht="13.5" thickBot="1">
      <c r="B39" s="394" t="s">
        <v>945</v>
      </c>
      <c r="C39" s="690"/>
    </row>
    <row r="40" spans="1:10" ht="13.5" thickBot="1">
      <c r="A40" s="685">
        <v>22</v>
      </c>
      <c r="B40" s="750"/>
      <c r="C40" s="751">
        <v>2015</v>
      </c>
      <c r="D40" s="751">
        <f t="shared" ref="D40:I40" si="1">+C40+1</f>
        <v>2016</v>
      </c>
      <c r="E40" s="751">
        <f t="shared" si="1"/>
        <v>2017</v>
      </c>
      <c r="F40" s="751">
        <f t="shared" si="1"/>
        <v>2018</v>
      </c>
      <c r="G40" s="751">
        <f t="shared" si="1"/>
        <v>2019</v>
      </c>
      <c r="H40" s="751">
        <f t="shared" si="1"/>
        <v>2020</v>
      </c>
      <c r="I40" s="751">
        <f t="shared" si="1"/>
        <v>2021</v>
      </c>
    </row>
    <row r="41" spans="1:10" ht="13.5" thickBot="1">
      <c r="A41" s="685">
        <f t="shared" si="0"/>
        <v>23</v>
      </c>
      <c r="B41" s="732" t="s">
        <v>946</v>
      </c>
      <c r="C41" s="752"/>
      <c r="D41" s="752"/>
      <c r="E41" s="752"/>
      <c r="F41" s="752"/>
      <c r="G41" s="752"/>
      <c r="H41" s="752"/>
      <c r="I41" s="752"/>
    </row>
    <row r="42" spans="1:10" ht="13.5" thickBot="1">
      <c r="A42" s="685">
        <f t="shared" si="0"/>
        <v>24</v>
      </c>
      <c r="B42" s="732" t="s">
        <v>947</v>
      </c>
      <c r="C42" s="752"/>
      <c r="D42" s="752"/>
      <c r="E42" s="752"/>
      <c r="F42" s="752"/>
      <c r="G42" s="752"/>
      <c r="H42" s="752"/>
      <c r="I42" s="752"/>
    </row>
    <row r="43" spans="1:10" ht="13.5" thickBot="1">
      <c r="A43" s="685">
        <f t="shared" si="0"/>
        <v>25</v>
      </c>
      <c r="B43" s="694" t="s">
        <v>948</v>
      </c>
      <c r="C43" s="753">
        <f>SUM(C41:C42)</f>
        <v>0</v>
      </c>
      <c r="D43" s="753">
        <f t="shared" ref="D43:I43" si="2">SUM(D41:D42)</f>
        <v>0</v>
      </c>
      <c r="E43" s="753">
        <f t="shared" si="2"/>
        <v>0</v>
      </c>
      <c r="F43" s="753">
        <f t="shared" si="2"/>
        <v>0</v>
      </c>
      <c r="G43" s="753">
        <f t="shared" si="2"/>
        <v>0</v>
      </c>
      <c r="H43" s="753">
        <f t="shared" si="2"/>
        <v>0</v>
      </c>
      <c r="I43" s="753">
        <f t="shared" si="2"/>
        <v>0</v>
      </c>
    </row>
    <row r="45" spans="1:10" ht="13.5" thickBot="1">
      <c r="B45" s="394" t="s">
        <v>949</v>
      </c>
    </row>
    <row r="46" spans="1:10">
      <c r="A46" s="685">
        <f>+A43+1</f>
        <v>26</v>
      </c>
      <c r="B46" s="754" t="s">
        <v>950</v>
      </c>
      <c r="C46" s="755" t="s">
        <v>951</v>
      </c>
      <c r="D46" s="755" t="s">
        <v>952</v>
      </c>
      <c r="E46" s="755" t="s">
        <v>953</v>
      </c>
      <c r="F46" s="755" t="s">
        <v>954</v>
      </c>
      <c r="G46" s="755" t="s">
        <v>955</v>
      </c>
      <c r="H46" s="755" t="s">
        <v>956</v>
      </c>
      <c r="I46" s="755" t="s">
        <v>957</v>
      </c>
      <c r="J46" s="756" t="s">
        <v>958</v>
      </c>
    </row>
    <row r="47" spans="1:10" ht="51" customHeight="1">
      <c r="A47" s="685">
        <f t="shared" si="0"/>
        <v>27</v>
      </c>
      <c r="B47" s="757" t="s">
        <v>782</v>
      </c>
      <c r="C47" s="395"/>
      <c r="D47" s="758" t="s">
        <v>959</v>
      </c>
      <c r="E47" s="758" t="s">
        <v>960</v>
      </c>
      <c r="F47" s="758" t="s">
        <v>961</v>
      </c>
      <c r="G47" s="758" t="s">
        <v>962</v>
      </c>
      <c r="H47" s="758" t="s">
        <v>963</v>
      </c>
      <c r="I47" s="758" t="s">
        <v>964</v>
      </c>
      <c r="J47" s="759" t="s">
        <v>965</v>
      </c>
    </row>
    <row r="48" spans="1:10" ht="27.75" customHeight="1" thickBot="1">
      <c r="A48" s="685">
        <f t="shared" si="0"/>
        <v>28</v>
      </c>
      <c r="B48" s="760"/>
      <c r="C48" s="709"/>
      <c r="D48" s="761" t="s">
        <v>966</v>
      </c>
      <c r="E48" s="761" t="s">
        <v>966</v>
      </c>
      <c r="F48" s="761" t="s">
        <v>967</v>
      </c>
      <c r="G48" s="761" t="s">
        <v>968</v>
      </c>
      <c r="H48" s="761" t="s">
        <v>969</v>
      </c>
      <c r="I48" s="761" t="s">
        <v>970</v>
      </c>
      <c r="J48" s="762" t="s">
        <v>971</v>
      </c>
    </row>
    <row r="49" spans="1:12">
      <c r="A49" s="685">
        <f t="shared" si="0"/>
        <v>29</v>
      </c>
      <c r="B49" s="754"/>
      <c r="C49" s="755"/>
      <c r="D49" s="692"/>
      <c r="E49" s="692"/>
      <c r="F49" s="692"/>
      <c r="G49" s="692"/>
      <c r="H49" s="692"/>
      <c r="I49" s="692"/>
      <c r="J49" s="693"/>
    </row>
    <row r="50" spans="1:12">
      <c r="A50" s="685">
        <f t="shared" si="0"/>
        <v>30</v>
      </c>
      <c r="B50" s="763"/>
      <c r="C50" s="764"/>
      <c r="D50" s="765"/>
      <c r="E50" s="398"/>
      <c r="J50" s="766"/>
    </row>
    <row r="51" spans="1:12">
      <c r="A51" s="685">
        <f t="shared" si="0"/>
        <v>31</v>
      </c>
      <c r="B51" s="763"/>
      <c r="C51" s="767"/>
      <c r="D51" s="765"/>
      <c r="E51" s="725"/>
      <c r="F51" s="729">
        <f>+D51*0.4</f>
        <v>0</v>
      </c>
      <c r="G51" s="768">
        <v>0</v>
      </c>
      <c r="H51" s="769"/>
      <c r="I51" s="729"/>
      <c r="J51" s="766">
        <f>E51-G51-H51-I51</f>
        <v>0</v>
      </c>
    </row>
    <row r="52" spans="1:12">
      <c r="A52" s="685">
        <f t="shared" si="0"/>
        <v>32</v>
      </c>
      <c r="B52" s="763"/>
      <c r="C52" s="767"/>
      <c r="D52" s="765"/>
      <c r="E52" s="725"/>
      <c r="F52" s="729">
        <f>SUM($E$51:E52)</f>
        <v>0</v>
      </c>
      <c r="G52" s="729">
        <f>F51*SUMIF($C$40:$I$40,YEAR(B51),$C$43:$I$43)*((B52-B51)/365)</f>
        <v>0</v>
      </c>
      <c r="H52" s="729"/>
      <c r="I52" s="729"/>
      <c r="J52" s="766">
        <f>E52-G52-H52-I52</f>
        <v>0</v>
      </c>
      <c r="L52" s="23"/>
    </row>
    <row r="53" spans="1:12">
      <c r="A53" s="685">
        <f t="shared" si="0"/>
        <v>33</v>
      </c>
      <c r="B53" s="763"/>
      <c r="C53" s="767"/>
      <c r="D53" s="765"/>
      <c r="E53" s="725"/>
      <c r="F53" s="729">
        <f>SUM($E$51:E53)</f>
        <v>0</v>
      </c>
      <c r="G53" s="729">
        <f>F52*SUMIF($C$40:$I$40,YEAR(B52),$C$43:$I$43)*((B53-B52)/365)</f>
        <v>0</v>
      </c>
      <c r="H53" s="729"/>
      <c r="I53" s="729"/>
      <c r="J53" s="766">
        <f t="shared" ref="J53:J66" si="3">E53-G53-H53-I53</f>
        <v>0</v>
      </c>
      <c r="K53" s="721"/>
      <c r="L53" s="23"/>
    </row>
    <row r="54" spans="1:12">
      <c r="A54" s="685">
        <f t="shared" si="0"/>
        <v>34</v>
      </c>
      <c r="B54" s="763"/>
      <c r="C54" s="767"/>
      <c r="D54" s="765"/>
      <c r="E54" s="725"/>
      <c r="F54" s="729">
        <f>SUM($E$51:E54)</f>
        <v>0</v>
      </c>
      <c r="G54" s="729">
        <f t="shared" ref="G54:G65" si="4">F53*SUMIF($C$40:$I$40,YEAR(B53),$C$43:$I$43)*((B54-B53)/365)</f>
        <v>0</v>
      </c>
      <c r="H54" s="769"/>
      <c r="I54" s="729"/>
      <c r="J54" s="766">
        <f t="shared" si="3"/>
        <v>0</v>
      </c>
      <c r="K54" s="721"/>
      <c r="L54" s="23"/>
    </row>
    <row r="55" spans="1:12">
      <c r="A55" s="685">
        <f t="shared" si="0"/>
        <v>35</v>
      </c>
      <c r="B55" s="763"/>
      <c r="C55" s="767"/>
      <c r="D55" s="765"/>
      <c r="E55" s="725"/>
      <c r="F55" s="729">
        <f>SUM($E$51:E55)</f>
        <v>0</v>
      </c>
      <c r="G55" s="729">
        <f t="shared" si="4"/>
        <v>0</v>
      </c>
      <c r="H55" s="729">
        <f>F31/1000</f>
        <v>0</v>
      </c>
      <c r="I55" s="729">
        <f>($F$12/1000-F54)*$E$36/4</f>
        <v>0</v>
      </c>
      <c r="J55" s="766">
        <f t="shared" si="3"/>
        <v>0</v>
      </c>
      <c r="K55" s="721"/>
      <c r="L55" s="23"/>
    </row>
    <row r="56" spans="1:12">
      <c r="A56" s="685">
        <f t="shared" si="0"/>
        <v>36</v>
      </c>
      <c r="B56" s="763"/>
      <c r="C56" s="767"/>
      <c r="D56" s="765"/>
      <c r="E56" s="725"/>
      <c r="F56" s="729">
        <f>SUM($E$51:E56)</f>
        <v>0</v>
      </c>
      <c r="G56" s="729">
        <f t="shared" si="4"/>
        <v>0</v>
      </c>
      <c r="H56" s="729"/>
      <c r="I56" s="729">
        <f>($F$12/1000-F55)*$E$36/4+$F$35/1000+$F$34/1000</f>
        <v>0</v>
      </c>
      <c r="J56" s="766">
        <f t="shared" si="3"/>
        <v>0</v>
      </c>
      <c r="K56" s="721"/>
      <c r="L56" s="23"/>
    </row>
    <row r="57" spans="1:12">
      <c r="A57" s="685">
        <f t="shared" si="0"/>
        <v>37</v>
      </c>
      <c r="B57" s="763"/>
      <c r="C57" s="767"/>
      <c r="D57" s="765"/>
      <c r="E57" s="725"/>
      <c r="F57" s="729">
        <f>SUM($E$51:E57)</f>
        <v>0</v>
      </c>
      <c r="G57" s="729">
        <f t="shared" si="4"/>
        <v>0</v>
      </c>
      <c r="H57" s="729"/>
      <c r="I57" s="729">
        <f t="shared" ref="I57:I71" si="5">($F$12/1000-F56)*$E$36/4+$F$35/1000+$F$34/1000</f>
        <v>0</v>
      </c>
      <c r="J57" s="766">
        <f t="shared" si="3"/>
        <v>0</v>
      </c>
      <c r="K57" s="721"/>
      <c r="L57" s="23"/>
    </row>
    <row r="58" spans="1:12">
      <c r="A58" s="685">
        <f t="shared" si="0"/>
        <v>38</v>
      </c>
      <c r="B58" s="763"/>
      <c r="C58" s="767"/>
      <c r="D58" s="765"/>
      <c r="E58" s="725"/>
      <c r="F58" s="729">
        <f>SUM($E$51:E58)</f>
        <v>0</v>
      </c>
      <c r="G58" s="729">
        <f t="shared" si="4"/>
        <v>0</v>
      </c>
      <c r="H58" s="729"/>
      <c r="I58" s="729">
        <f t="shared" si="5"/>
        <v>0</v>
      </c>
      <c r="J58" s="766">
        <f t="shared" si="3"/>
        <v>0</v>
      </c>
      <c r="K58" s="721"/>
      <c r="L58" s="23"/>
    </row>
    <row r="59" spans="1:12">
      <c r="A59" s="685">
        <f t="shared" si="0"/>
        <v>39</v>
      </c>
      <c r="B59" s="763"/>
      <c r="C59" s="767"/>
      <c r="D59" s="765"/>
      <c r="E59" s="725"/>
      <c r="F59" s="729">
        <f>SUM($E$51:E59)</f>
        <v>0</v>
      </c>
      <c r="G59" s="729">
        <f t="shared" si="4"/>
        <v>0</v>
      </c>
      <c r="H59" s="729"/>
      <c r="I59" s="729">
        <f t="shared" si="5"/>
        <v>0</v>
      </c>
      <c r="J59" s="766">
        <f t="shared" si="3"/>
        <v>0</v>
      </c>
      <c r="K59" s="721"/>
      <c r="L59" s="23"/>
    </row>
    <row r="60" spans="1:12">
      <c r="A60" s="685">
        <f t="shared" si="0"/>
        <v>40</v>
      </c>
      <c r="B60" s="763"/>
      <c r="C60" s="767"/>
      <c r="D60" s="765"/>
      <c r="E60" s="725"/>
      <c r="F60" s="729">
        <f>SUM($E$51:E60)</f>
        <v>0</v>
      </c>
      <c r="G60" s="729">
        <f t="shared" si="4"/>
        <v>0</v>
      </c>
      <c r="H60" s="729"/>
      <c r="I60" s="729">
        <f t="shared" si="5"/>
        <v>0</v>
      </c>
      <c r="J60" s="766">
        <f t="shared" si="3"/>
        <v>0</v>
      </c>
      <c r="K60" s="721"/>
      <c r="L60" s="23"/>
    </row>
    <row r="61" spans="1:12">
      <c r="A61" s="685">
        <f t="shared" si="0"/>
        <v>41</v>
      </c>
      <c r="B61" s="763"/>
      <c r="C61" s="767"/>
      <c r="D61" s="765"/>
      <c r="E61" s="725"/>
      <c r="F61" s="729">
        <f>SUM($E$51:E61)</f>
        <v>0</v>
      </c>
      <c r="G61" s="729">
        <f t="shared" si="4"/>
        <v>0</v>
      </c>
      <c r="H61" s="729"/>
      <c r="I61" s="729">
        <f t="shared" si="5"/>
        <v>0</v>
      </c>
      <c r="J61" s="766">
        <f t="shared" si="3"/>
        <v>0</v>
      </c>
      <c r="K61" s="721"/>
      <c r="L61" s="23"/>
    </row>
    <row r="62" spans="1:12">
      <c r="A62" s="685">
        <f t="shared" si="0"/>
        <v>42</v>
      </c>
      <c r="B62" s="763"/>
      <c r="C62" s="767"/>
      <c r="D62" s="765"/>
      <c r="E62" s="725"/>
      <c r="F62" s="729">
        <f>SUM($E$51:E62)</f>
        <v>0</v>
      </c>
      <c r="G62" s="729">
        <f t="shared" si="4"/>
        <v>0</v>
      </c>
      <c r="H62" s="729"/>
      <c r="I62" s="729">
        <f t="shared" si="5"/>
        <v>0</v>
      </c>
      <c r="J62" s="766">
        <f t="shared" si="3"/>
        <v>0</v>
      </c>
      <c r="K62" s="721"/>
      <c r="L62" s="23"/>
    </row>
    <row r="63" spans="1:12">
      <c r="A63" s="685">
        <f t="shared" si="0"/>
        <v>43</v>
      </c>
      <c r="B63" s="763"/>
      <c r="C63" s="767"/>
      <c r="D63" s="765"/>
      <c r="E63" s="725"/>
      <c r="F63" s="729">
        <f>SUM($E$51:E63)</f>
        <v>0</v>
      </c>
      <c r="G63" s="729">
        <f t="shared" si="4"/>
        <v>0</v>
      </c>
      <c r="H63" s="729"/>
      <c r="I63" s="729">
        <f t="shared" si="5"/>
        <v>0</v>
      </c>
      <c r="J63" s="766">
        <f t="shared" si="3"/>
        <v>0</v>
      </c>
      <c r="K63" s="721"/>
      <c r="L63" s="23"/>
    </row>
    <row r="64" spans="1:12">
      <c r="A64" s="685">
        <f t="shared" si="0"/>
        <v>44</v>
      </c>
      <c r="B64" s="763"/>
      <c r="C64" s="767"/>
      <c r="D64" s="765"/>
      <c r="E64" s="725"/>
      <c r="F64" s="729">
        <f>SUM($E$51:E64)</f>
        <v>0</v>
      </c>
      <c r="G64" s="729">
        <f t="shared" si="4"/>
        <v>0</v>
      </c>
      <c r="H64" s="729"/>
      <c r="I64" s="729">
        <f t="shared" si="5"/>
        <v>0</v>
      </c>
      <c r="J64" s="766">
        <f t="shared" si="3"/>
        <v>0</v>
      </c>
      <c r="K64" s="721"/>
      <c r="L64" s="23"/>
    </row>
    <row r="65" spans="1:12">
      <c r="A65" s="685">
        <f t="shared" si="0"/>
        <v>45</v>
      </c>
      <c r="B65" s="763"/>
      <c r="C65" s="767"/>
      <c r="D65" s="765"/>
      <c r="E65" s="725"/>
      <c r="F65" s="729">
        <f>SUM($E$51:E65)</f>
        <v>0</v>
      </c>
      <c r="G65" s="729">
        <f t="shared" si="4"/>
        <v>0</v>
      </c>
      <c r="H65" s="729"/>
      <c r="I65" s="729">
        <f t="shared" si="5"/>
        <v>0</v>
      </c>
      <c r="J65" s="766">
        <f t="shared" si="3"/>
        <v>0</v>
      </c>
      <c r="K65" s="721"/>
      <c r="L65" s="23"/>
    </row>
    <row r="66" spans="1:12" ht="24" customHeight="1">
      <c r="A66" s="685">
        <f t="shared" si="0"/>
        <v>46</v>
      </c>
      <c r="B66" s="763"/>
      <c r="C66" s="767"/>
      <c r="D66" s="765"/>
      <c r="E66" s="725"/>
      <c r="F66" s="729">
        <f>SUM($E$51:E66)</f>
        <v>0</v>
      </c>
      <c r="G66" s="729">
        <f>F65*SUMIF($C$40:$I$40,YEAR(B65),$C$43:$I$43)*((B66-B65)/365)</f>
        <v>0</v>
      </c>
      <c r="H66" s="729"/>
      <c r="I66" s="729">
        <f t="shared" si="5"/>
        <v>0</v>
      </c>
      <c r="J66" s="766">
        <f t="shared" si="3"/>
        <v>0</v>
      </c>
      <c r="K66" s="721"/>
      <c r="L66" s="23"/>
    </row>
    <row r="67" spans="1:12">
      <c r="A67" s="685">
        <f t="shared" si="0"/>
        <v>47</v>
      </c>
      <c r="B67" s="763"/>
      <c r="C67" s="767"/>
      <c r="D67" s="765"/>
      <c r="E67" s="725"/>
      <c r="F67" s="729">
        <f>SUM($E$51:E67)</f>
        <v>0</v>
      </c>
      <c r="G67" s="729">
        <f>F66*SUMIF($C$40:$I$40,YEAR(B66),$C$43:$I$43)*((B67-B66)/365)</f>
        <v>0</v>
      </c>
      <c r="H67" s="729"/>
      <c r="I67" s="729">
        <f t="shared" si="5"/>
        <v>0</v>
      </c>
      <c r="J67" s="766">
        <f>E67-G67-H67-I67</f>
        <v>0</v>
      </c>
      <c r="K67" s="721"/>
      <c r="L67" s="23"/>
    </row>
    <row r="68" spans="1:12">
      <c r="A68" s="685">
        <f t="shared" si="0"/>
        <v>48</v>
      </c>
      <c r="B68" s="763"/>
      <c r="C68" s="767"/>
      <c r="D68" s="765"/>
      <c r="E68" s="725"/>
      <c r="F68" s="729">
        <f>SUM($E$51:E68)</f>
        <v>0</v>
      </c>
      <c r="G68" s="729">
        <f>F67*SUMIF($C$40:$I$40,YEAR(B67),$C$43:$I$43)*((B68-B67)/365)</f>
        <v>0</v>
      </c>
      <c r="H68" s="729"/>
      <c r="I68" s="729">
        <f t="shared" si="5"/>
        <v>0</v>
      </c>
      <c r="J68" s="766">
        <f>E68-G68-H68-I68</f>
        <v>0</v>
      </c>
      <c r="K68" s="721"/>
      <c r="L68" s="23"/>
    </row>
    <row r="69" spans="1:12">
      <c r="A69" s="685">
        <f t="shared" si="0"/>
        <v>49</v>
      </c>
      <c r="B69" s="763"/>
      <c r="C69" s="767"/>
      <c r="D69" s="765"/>
      <c r="E69" s="725"/>
      <c r="F69" s="729">
        <f>SUM($E$51:E69)</f>
        <v>0</v>
      </c>
      <c r="G69" s="729">
        <f>F68*SUMIF($C$40:$I$40,YEAR(B68),$C$43:$I$43)*((B69-B68)/365)</f>
        <v>0</v>
      </c>
      <c r="H69" s="729"/>
      <c r="I69" s="729">
        <f t="shared" si="5"/>
        <v>0</v>
      </c>
      <c r="J69" s="766">
        <f>E69-G69-H69-I69</f>
        <v>0</v>
      </c>
      <c r="K69" s="721"/>
      <c r="L69" s="23"/>
    </row>
    <row r="70" spans="1:12">
      <c r="A70" s="685">
        <f t="shared" si="0"/>
        <v>50</v>
      </c>
      <c r="B70" s="763"/>
      <c r="C70" s="767"/>
      <c r="D70" s="765"/>
      <c r="E70" s="725"/>
      <c r="F70" s="729">
        <f>SUM($E$51:E70)</f>
        <v>0</v>
      </c>
      <c r="G70" s="729">
        <f>F69*SUMIF($C$40:$I$40,YEAR(B69),$C$43:$I$43)*((B70-B69)/365)</f>
        <v>0</v>
      </c>
      <c r="H70" s="729"/>
      <c r="I70" s="729">
        <f t="shared" si="5"/>
        <v>0</v>
      </c>
      <c r="J70" s="766">
        <f>E70-G70-H70-I70</f>
        <v>0</v>
      </c>
      <c r="K70" s="721"/>
    </row>
    <row r="71" spans="1:12">
      <c r="A71" s="685">
        <f t="shared" si="0"/>
        <v>51</v>
      </c>
      <c r="B71" s="763"/>
      <c r="C71" s="767"/>
      <c r="D71" s="765"/>
      <c r="E71" s="725"/>
      <c r="F71" s="729">
        <f>SUM($E$51:E71)</f>
        <v>0</v>
      </c>
      <c r="G71" s="729">
        <f>F70*SUMIF($C$40:$I$40,YEAR(B70),$C$43:$I$43)*((B71-B70)/365)+F71</f>
        <v>0</v>
      </c>
      <c r="H71" s="729"/>
      <c r="I71" s="729">
        <f t="shared" si="5"/>
        <v>0</v>
      </c>
      <c r="J71" s="766">
        <f>E71-G71-H71-I71</f>
        <v>0</v>
      </c>
      <c r="K71" s="721"/>
    </row>
    <row r="72" spans="1:12">
      <c r="A72" s="685">
        <f t="shared" si="0"/>
        <v>52</v>
      </c>
      <c r="B72" s="770"/>
      <c r="C72" s="764"/>
      <c r="D72" s="725"/>
      <c r="E72" s="725"/>
      <c r="F72" s="729"/>
      <c r="G72" s="729"/>
      <c r="H72" s="729"/>
      <c r="I72" s="729"/>
      <c r="J72" s="766"/>
      <c r="K72" s="721"/>
    </row>
    <row r="73" spans="1:12">
      <c r="A73" s="685">
        <f t="shared" si="0"/>
        <v>53</v>
      </c>
      <c r="B73" s="770"/>
      <c r="C73" s="771"/>
      <c r="D73" s="725"/>
      <c r="E73" s="725"/>
      <c r="F73" s="729"/>
      <c r="G73" s="772"/>
      <c r="H73" s="729"/>
      <c r="I73" s="729"/>
      <c r="J73" s="766"/>
      <c r="K73" s="721"/>
    </row>
    <row r="74" spans="1:12">
      <c r="A74" s="685">
        <f t="shared" si="0"/>
        <v>54</v>
      </c>
      <c r="B74" s="770"/>
      <c r="C74" s="764"/>
      <c r="D74" s="725"/>
      <c r="E74" s="725"/>
      <c r="F74" s="729"/>
      <c r="G74" s="773"/>
      <c r="H74" s="729"/>
      <c r="I74" s="729"/>
      <c r="J74" s="766"/>
      <c r="K74" s="721"/>
    </row>
    <row r="75" spans="1:12">
      <c r="A75" s="685">
        <f t="shared" si="0"/>
        <v>55</v>
      </c>
      <c r="B75" s="770"/>
      <c r="C75" s="764"/>
      <c r="D75" s="725"/>
      <c r="E75" s="725"/>
      <c r="F75" s="729"/>
      <c r="G75" s="729"/>
      <c r="H75" s="729"/>
      <c r="I75" s="729"/>
      <c r="J75" s="766"/>
      <c r="K75" s="721"/>
    </row>
    <row r="76" spans="1:12">
      <c r="A76" s="685">
        <f t="shared" si="0"/>
        <v>56</v>
      </c>
      <c r="B76" s="770"/>
      <c r="C76" s="764"/>
      <c r="D76" s="725"/>
      <c r="E76" s="725"/>
      <c r="F76" s="729"/>
      <c r="G76" s="729"/>
      <c r="H76" s="729"/>
      <c r="I76" s="729"/>
      <c r="J76" s="766"/>
      <c r="K76" s="721"/>
    </row>
    <row r="77" spans="1:12">
      <c r="A77" s="685">
        <f t="shared" si="0"/>
        <v>57</v>
      </c>
      <c r="B77" s="770"/>
      <c r="C77" s="764"/>
      <c r="D77" s="725"/>
      <c r="E77" s="725"/>
      <c r="F77" s="729"/>
      <c r="G77" s="729"/>
      <c r="H77" s="729"/>
      <c r="I77" s="729"/>
      <c r="J77" s="766"/>
      <c r="K77" s="721"/>
    </row>
    <row r="78" spans="1:12" ht="13.5" thickBot="1">
      <c r="A78" s="685">
        <f t="shared" si="0"/>
        <v>58</v>
      </c>
      <c r="B78" s="774"/>
      <c r="C78" s="709"/>
      <c r="D78" s="733"/>
      <c r="E78" s="733"/>
      <c r="F78" s="733"/>
      <c r="G78" s="733"/>
      <c r="H78" s="733"/>
      <c r="I78" s="733"/>
      <c r="J78" s="734"/>
      <c r="K78" s="721"/>
    </row>
    <row r="79" spans="1:12">
      <c r="K79" s="721"/>
    </row>
    <row r="80" spans="1:12">
      <c r="A80" s="685" t="s">
        <v>972</v>
      </c>
    </row>
    <row r="81" spans="2:10">
      <c r="B81" s="394" t="str">
        <f>"1  The IRR is the input to Debt Cost shown on Attachment H, Page 4, Line "&amp;'Attachment H'!A208&amp;" during the construction period, after obtaining project financing, in accordance with Note Q of Attachment H."</f>
        <v>1  The IRR is the input to Debt Cost shown on Attachment H, Page 4, Line 20 during the construction period, after obtaining project financing, in accordance with Note Q of Attachment H.</v>
      </c>
    </row>
    <row r="82" spans="2:10">
      <c r="B82" s="394" t="s">
        <v>973</v>
      </c>
    </row>
    <row r="83" spans="2:10">
      <c r="B83" s="394" t="s">
        <v>974</v>
      </c>
    </row>
    <row r="84" spans="2:10">
      <c r="B84" s="394" t="s">
        <v>975</v>
      </c>
    </row>
    <row r="85" spans="2:10">
      <c r="B85" s="394" t="s">
        <v>976</v>
      </c>
    </row>
    <row r="86" spans="2:10">
      <c r="B86" s="394" t="s">
        <v>977</v>
      </c>
    </row>
    <row r="87" spans="2:10">
      <c r="B87" s="394" t="s">
        <v>978</v>
      </c>
    </row>
    <row r="88" spans="2:10">
      <c r="B88" s="394" t="s">
        <v>979</v>
      </c>
    </row>
    <row r="89" spans="2:10">
      <c r="B89" s="394" t="s">
        <v>980</v>
      </c>
    </row>
    <row r="90" spans="2:10">
      <c r="B90" s="685" t="s">
        <v>981</v>
      </c>
    </row>
    <row r="91" spans="2:10">
      <c r="B91" s="394" t="s">
        <v>982</v>
      </c>
    </row>
    <row r="92" spans="2:10">
      <c r="B92" s="394" t="s">
        <v>983</v>
      </c>
    </row>
    <row r="93" spans="2:10">
      <c r="B93" s="394" t="s">
        <v>984</v>
      </c>
      <c r="E93" s="397"/>
      <c r="G93" s="397"/>
      <c r="H93" s="397"/>
      <c r="J93" s="397"/>
    </row>
    <row r="94" spans="2:10">
      <c r="B94" s="394" t="s">
        <v>985</v>
      </c>
      <c r="E94" s="729"/>
    </row>
    <row r="95" spans="2:10">
      <c r="B95" s="394" t="s">
        <v>986</v>
      </c>
      <c r="D95" s="729"/>
      <c r="E95" s="729"/>
    </row>
    <row r="96" spans="2:10">
      <c r="B96" s="394" t="s">
        <v>987</v>
      </c>
      <c r="D96" s="729"/>
      <c r="E96" s="729"/>
    </row>
    <row r="97" spans="2:11">
      <c r="B97" s="394" t="s">
        <v>988</v>
      </c>
      <c r="D97" s="729"/>
      <c r="E97" s="729"/>
    </row>
    <row r="98" spans="2:11">
      <c r="B98" s="394" t="s">
        <v>989</v>
      </c>
      <c r="D98" s="729"/>
      <c r="E98" s="729"/>
    </row>
    <row r="99" spans="2:11">
      <c r="B99" s="394" t="s">
        <v>990</v>
      </c>
      <c r="D99" s="729"/>
      <c r="E99" s="729"/>
    </row>
    <row r="100" spans="2:11">
      <c r="C100" s="394" t="s">
        <v>991</v>
      </c>
      <c r="E100" s="729"/>
    </row>
    <row r="101" spans="2:11">
      <c r="B101" s="686" t="s">
        <v>992</v>
      </c>
      <c r="C101" s="394" t="s">
        <v>993</v>
      </c>
      <c r="E101" s="729"/>
    </row>
    <row r="102" spans="2:11">
      <c r="B102" s="394" t="s">
        <v>994</v>
      </c>
      <c r="C102" s="775"/>
      <c r="D102" s="775"/>
    </row>
    <row r="103" spans="2:11" ht="12.75" customHeight="1">
      <c r="B103" s="394" t="s">
        <v>995</v>
      </c>
    </row>
    <row r="104" spans="2:11" ht="54" customHeight="1">
      <c r="B104" s="361" t="s">
        <v>996</v>
      </c>
      <c r="C104" s="361"/>
      <c r="D104" s="361"/>
      <c r="E104" s="361"/>
      <c r="F104" s="361"/>
      <c r="G104" s="361"/>
      <c r="H104" s="361"/>
      <c r="I104" s="361"/>
      <c r="J104" s="361"/>
      <c r="K104" s="776"/>
    </row>
    <row r="107" spans="2:11">
      <c r="D107" s="775"/>
    </row>
    <row r="115" spans="2:10">
      <c r="B115" s="685"/>
    </row>
    <row r="116" spans="2:10">
      <c r="E116" s="397"/>
      <c r="G116" s="397"/>
      <c r="H116" s="397"/>
      <c r="J116" s="397"/>
    </row>
    <row r="117" spans="2:10">
      <c r="D117" s="26"/>
      <c r="E117" s="26"/>
    </row>
    <row r="118" spans="2:10">
      <c r="D118" s="26"/>
      <c r="E118" s="26"/>
    </row>
    <row r="119" spans="2:10">
      <c r="D119" s="26"/>
      <c r="E119" s="26"/>
    </row>
    <row r="120" spans="2:10">
      <c r="D120" s="26"/>
      <c r="E120" s="26"/>
    </row>
    <row r="121" spans="2:10">
      <c r="D121" s="26"/>
      <c r="E121" s="26"/>
    </row>
    <row r="122" spans="2:10">
      <c r="D122" s="26"/>
      <c r="E122" s="26"/>
    </row>
    <row r="123" spans="2:10">
      <c r="D123" s="26"/>
      <c r="E123" s="26"/>
    </row>
    <row r="125" spans="2:10">
      <c r="B125" s="686"/>
    </row>
    <row r="126" spans="2:10">
      <c r="C126" s="775"/>
    </row>
    <row r="127" spans="2:10">
      <c r="C127" s="775"/>
    </row>
  </sheetData>
  <mergeCells count="6">
    <mergeCell ref="A2:J2"/>
    <mergeCell ref="A3:J3"/>
    <mergeCell ref="A4:J4"/>
    <mergeCell ref="H12:I12"/>
    <mergeCell ref="G25:I25"/>
    <mergeCell ref="B104:J104"/>
  </mergeCells>
  <pageMargins left="0.25" right="0.25" top="0.75" bottom="0.75" header="0.3" footer="0.3"/>
  <pageSetup scale="47" orientation="portrait" r:id="rId1"/>
  <drawing r:id="rId2"/>
  <legacyDrawing r:id="rId3"/>
  <oleObjects>
    <mc:AlternateContent xmlns:mc="http://schemas.openxmlformats.org/markup-compatibility/2006">
      <mc:Choice Requires="x14">
        <oleObject progId="Equation.3" shapeId="3073" r:id="rId4">
          <objectPr defaultSize="0" autoPict="0" r:id="rId5">
            <anchor moveWithCells="1">
              <from>
                <xdr:col>1</xdr:col>
                <xdr:colOff>819150</xdr:colOff>
                <xdr:row>15</xdr:row>
                <xdr:rowOff>104775</xdr:rowOff>
              </from>
              <to>
                <xdr:col>4</xdr:col>
                <xdr:colOff>85725</xdr:colOff>
                <xdr:row>19</xdr:row>
                <xdr:rowOff>85725</xdr:rowOff>
              </to>
            </anchor>
          </objectPr>
        </oleObject>
      </mc:Choice>
      <mc:Fallback>
        <oleObject progId="Equation.3" shapeId="3073" r:id="rId4"/>
      </mc:Fallback>
    </mc:AlternateContent>
  </oleObjec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D637C-DA25-460D-BE81-2A42D531724A}">
  <sheetPr>
    <tabColor rgb="FF92D050"/>
  </sheetPr>
  <dimension ref="A1:P255"/>
  <sheetViews>
    <sheetView view="pageBreakPreview" zoomScale="60" zoomScaleNormal="85" workbookViewId="0">
      <selection activeCell="I228" sqref="I228"/>
    </sheetView>
  </sheetViews>
  <sheetFormatPr defaultRowHeight="15"/>
  <cols>
    <col min="1" max="1" width="4.44140625" bestFit="1" customWidth="1"/>
    <col min="2" max="2" width="21.77734375" customWidth="1"/>
    <col min="3" max="3" width="2.109375" customWidth="1"/>
    <col min="4" max="4" width="26.33203125" customWidth="1"/>
    <col min="5" max="5" width="2.33203125" customWidth="1"/>
    <col min="6" max="6" width="27" customWidth="1"/>
    <col min="7" max="7" width="1.77734375" customWidth="1"/>
    <col min="8" max="8" width="16.33203125" customWidth="1"/>
    <col min="9" max="9" width="2.21875" customWidth="1"/>
    <col min="10" max="10" width="15.44140625" customWidth="1"/>
    <col min="11" max="11" width="2.44140625" customWidth="1"/>
    <col min="12" max="12" width="15" customWidth="1"/>
    <col min="13" max="13" width="2.109375" customWidth="1"/>
    <col min="14" max="14" width="15.77734375" customWidth="1"/>
    <col min="15" max="15" width="1.44140625" customWidth="1"/>
    <col min="16" max="16" width="20.33203125" customWidth="1"/>
  </cols>
  <sheetData>
    <row r="1" spans="1:16">
      <c r="A1" s="26"/>
      <c r="B1" s="3"/>
      <c r="C1" s="3"/>
      <c r="D1" s="3"/>
      <c r="E1" s="3"/>
      <c r="F1" s="3"/>
      <c r="G1" s="3"/>
      <c r="H1" s="15" t="s">
        <v>997</v>
      </c>
      <c r="I1" s="3"/>
      <c r="J1" s="3"/>
      <c r="K1" s="3"/>
      <c r="L1" s="3"/>
      <c r="M1" s="3"/>
      <c r="N1" s="3"/>
      <c r="O1" s="3"/>
      <c r="P1" s="3" t="s">
        <v>998</v>
      </c>
    </row>
    <row r="2" spans="1:16">
      <c r="A2" s="26"/>
      <c r="B2" s="3"/>
      <c r="C2" s="777"/>
      <c r="D2" s="777"/>
      <c r="E2" s="777"/>
      <c r="F2" s="439"/>
      <c r="G2" s="777"/>
      <c r="H2" s="778" t="s">
        <v>999</v>
      </c>
      <c r="I2" s="777"/>
      <c r="J2" s="777"/>
      <c r="K2" s="777"/>
      <c r="L2" s="777"/>
      <c r="M2" s="777"/>
      <c r="N2" s="777"/>
      <c r="O2" s="3"/>
      <c r="P2" s="3"/>
    </row>
    <row r="3" spans="1:16">
      <c r="A3" s="26"/>
      <c r="B3" s="3"/>
      <c r="C3" s="439"/>
      <c r="D3" s="439"/>
      <c r="E3" s="439"/>
      <c r="F3" s="439"/>
      <c r="G3" s="3"/>
      <c r="H3" s="15" t="s">
        <v>5</v>
      </c>
      <c r="I3" s="439"/>
      <c r="J3" s="439"/>
      <c r="K3" s="439"/>
      <c r="L3" s="439"/>
      <c r="M3" s="439"/>
      <c r="N3" s="439"/>
      <c r="O3" s="3"/>
      <c r="P3" s="3"/>
    </row>
    <row r="4" spans="1:16">
      <c r="A4" s="26"/>
      <c r="B4" s="779"/>
      <c r="C4" s="779"/>
      <c r="D4" s="779"/>
      <c r="E4" s="779"/>
      <c r="F4" s="779"/>
      <c r="G4" s="779"/>
      <c r="H4" s="779"/>
      <c r="I4" s="779"/>
      <c r="J4" s="779"/>
      <c r="K4" s="779"/>
      <c r="L4" s="779"/>
      <c r="M4" s="779"/>
      <c r="N4" s="779"/>
      <c r="O4" s="777"/>
      <c r="P4" s="777"/>
    </row>
    <row r="5" spans="1:16">
      <c r="A5" s="26"/>
      <c r="B5" s="780"/>
      <c r="C5" s="780"/>
      <c r="D5" s="780"/>
      <c r="E5" s="780"/>
      <c r="F5" s="780"/>
      <c r="G5" s="780"/>
      <c r="H5" s="780"/>
      <c r="I5" s="780"/>
      <c r="J5" s="780"/>
      <c r="K5" s="780"/>
      <c r="L5" s="780"/>
      <c r="M5" s="780"/>
      <c r="N5" s="780"/>
      <c r="O5" s="777"/>
      <c r="P5" s="777"/>
    </row>
    <row r="6" spans="1:16" ht="16.5" thickBot="1">
      <c r="A6" s="26"/>
      <c r="B6" s="781"/>
      <c r="C6" s="780"/>
      <c r="D6" s="780"/>
      <c r="E6" s="780"/>
      <c r="F6" s="780"/>
      <c r="G6" s="780"/>
      <c r="H6" s="780"/>
      <c r="I6" s="780"/>
      <c r="J6" s="780"/>
      <c r="K6" s="780"/>
      <c r="L6" s="780"/>
      <c r="M6" s="780"/>
      <c r="N6" s="780"/>
      <c r="O6" s="777"/>
      <c r="P6" s="777"/>
    </row>
    <row r="7" spans="1:16">
      <c r="A7" s="26"/>
      <c r="B7" s="782" t="s">
        <v>1000</v>
      </c>
      <c r="C7" s="783"/>
      <c r="D7" s="783"/>
      <c r="E7" s="783"/>
      <c r="F7" s="783"/>
      <c r="G7" s="783"/>
      <c r="H7" s="783"/>
      <c r="I7" s="783"/>
      <c r="J7" s="783"/>
      <c r="K7" s="783"/>
      <c r="L7" s="783"/>
      <c r="M7" s="783"/>
      <c r="N7" s="783"/>
      <c r="O7" s="783"/>
      <c r="P7" s="784"/>
    </row>
    <row r="8" spans="1:16">
      <c r="A8" s="26"/>
      <c r="B8" s="785" t="s">
        <v>538</v>
      </c>
      <c r="C8" s="786"/>
      <c r="D8" s="786" t="s">
        <v>539</v>
      </c>
      <c r="E8" s="786"/>
      <c r="F8" s="786" t="s">
        <v>540</v>
      </c>
      <c r="G8" s="780"/>
      <c r="H8" s="780" t="s">
        <v>541</v>
      </c>
      <c r="I8" s="780"/>
      <c r="J8" s="780" t="s">
        <v>563</v>
      </c>
      <c r="K8" s="780"/>
      <c r="L8" s="780" t="s">
        <v>564</v>
      </c>
      <c r="M8" s="780"/>
      <c r="N8" s="780" t="s">
        <v>565</v>
      </c>
      <c r="O8" s="780"/>
      <c r="P8" s="787" t="s">
        <v>566</v>
      </c>
    </row>
    <row r="9" spans="1:16" ht="63.75">
      <c r="A9" s="26"/>
      <c r="B9" s="788" t="s">
        <v>1001</v>
      </c>
      <c r="C9" s="780"/>
      <c r="D9" s="789" t="s">
        <v>1002</v>
      </c>
      <c r="E9" s="439"/>
      <c r="F9" s="789" t="s">
        <v>1003</v>
      </c>
      <c r="G9" s="790"/>
      <c r="H9" s="789" t="s">
        <v>1004</v>
      </c>
      <c r="I9" s="791"/>
      <c r="J9" s="789" t="s">
        <v>1005</v>
      </c>
      <c r="K9" s="791"/>
      <c r="L9" s="789" t="s">
        <v>1006</v>
      </c>
      <c r="M9" s="3"/>
      <c r="N9" s="789" t="s">
        <v>1007</v>
      </c>
      <c r="O9" s="777"/>
      <c r="P9" s="792" t="s">
        <v>1008</v>
      </c>
    </row>
    <row r="10" spans="1:16">
      <c r="A10" s="26">
        <v>1</v>
      </c>
      <c r="B10" s="793"/>
      <c r="C10" s="367"/>
      <c r="D10" s="794"/>
      <c r="E10" s="3"/>
      <c r="F10" s="794"/>
      <c r="G10" s="777"/>
      <c r="H10" s="795"/>
      <c r="I10" s="796"/>
      <c r="J10" s="795"/>
      <c r="K10" s="777"/>
      <c r="L10" s="797"/>
      <c r="M10" s="3"/>
      <c r="N10" s="798"/>
      <c r="O10" s="777"/>
      <c r="P10" s="799"/>
    </row>
    <row r="11" spans="1:16">
      <c r="A11" s="26">
        <v>2</v>
      </c>
      <c r="B11" s="800"/>
      <c r="C11" s="801"/>
      <c r="D11" s="802"/>
      <c r="E11" s="777"/>
      <c r="F11" s="794"/>
      <c r="G11" s="777"/>
      <c r="H11" s="795"/>
      <c r="I11" s="777"/>
      <c r="J11" s="795"/>
      <c r="K11" s="777"/>
      <c r="L11" s="797"/>
      <c r="M11" s="777"/>
      <c r="N11" s="798"/>
      <c r="O11" s="777"/>
      <c r="P11" s="799"/>
    </row>
    <row r="12" spans="1:16">
      <c r="A12" s="26">
        <v>3</v>
      </c>
      <c r="B12" s="800"/>
      <c r="C12" s="801"/>
      <c r="D12" s="802"/>
      <c r="E12" s="777"/>
      <c r="F12" s="794"/>
      <c r="G12" s="777"/>
      <c r="H12" s="795"/>
      <c r="I12" s="777"/>
      <c r="J12" s="795"/>
      <c r="K12" s="777"/>
      <c r="L12" s="797"/>
      <c r="M12" s="777"/>
      <c r="N12" s="798"/>
      <c r="O12" s="777"/>
      <c r="P12" s="799"/>
    </row>
    <row r="13" spans="1:16">
      <c r="A13" s="26">
        <v>4</v>
      </c>
      <c r="B13" s="800"/>
      <c r="C13" s="801"/>
      <c r="D13" s="802"/>
      <c r="E13" s="777"/>
      <c r="F13" s="794"/>
      <c r="G13" s="777"/>
      <c r="H13" s="795"/>
      <c r="I13" s="777"/>
      <c r="J13" s="795"/>
      <c r="K13" s="777"/>
      <c r="L13" s="797"/>
      <c r="M13" s="777"/>
      <c r="N13" s="798"/>
      <c r="O13" s="777"/>
      <c r="P13" s="799"/>
    </row>
    <row r="14" spans="1:16">
      <c r="A14" s="26">
        <v>5</v>
      </c>
      <c r="B14" s="800"/>
      <c r="C14" s="801"/>
      <c r="D14" s="802"/>
      <c r="E14" s="777"/>
      <c r="F14" s="794"/>
      <c r="G14" s="777"/>
      <c r="H14" s="795"/>
      <c r="I14" s="777"/>
      <c r="J14" s="795"/>
      <c r="K14" s="777"/>
      <c r="L14" s="797"/>
      <c r="M14" s="777"/>
      <c r="N14" s="798"/>
      <c r="O14" s="777"/>
      <c r="P14" s="799"/>
    </row>
    <row r="15" spans="1:16">
      <c r="A15" s="26">
        <v>6</v>
      </c>
      <c r="B15" s="800"/>
      <c r="C15" s="801"/>
      <c r="D15" s="803"/>
      <c r="E15" s="777"/>
      <c r="F15" s="794"/>
      <c r="G15" s="777"/>
      <c r="H15" s="795"/>
      <c r="I15" s="777"/>
      <c r="J15" s="795"/>
      <c r="K15" s="777"/>
      <c r="L15" s="393"/>
      <c r="M15" s="777"/>
      <c r="N15" s="804"/>
      <c r="O15" s="777"/>
      <c r="P15" s="805"/>
    </row>
    <row r="16" spans="1:16">
      <c r="A16" s="26">
        <v>7</v>
      </c>
      <c r="B16" s="806"/>
      <c r="C16" s="777"/>
      <c r="D16" s="807"/>
      <c r="E16" s="777"/>
      <c r="F16" s="808"/>
      <c r="G16" s="777"/>
      <c r="H16" s="809"/>
      <c r="I16" s="777"/>
      <c r="J16" s="810"/>
      <c r="K16" s="777"/>
      <c r="L16" s="393"/>
      <c r="M16" s="777"/>
      <c r="N16" s="804"/>
      <c r="O16" s="777"/>
      <c r="P16" s="811"/>
    </row>
    <row r="17" spans="1:16" ht="15.75">
      <c r="A17" s="26">
        <v>8</v>
      </c>
      <c r="B17" s="812" t="s">
        <v>1009</v>
      </c>
      <c r="C17" s="777"/>
      <c r="D17" s="777"/>
      <c r="E17" s="777"/>
      <c r="F17" s="777"/>
      <c r="G17" s="777"/>
      <c r="H17" s="777"/>
      <c r="I17" s="777"/>
      <c r="J17" s="777"/>
      <c r="K17" s="777"/>
      <c r="L17" s="777"/>
      <c r="M17" s="777"/>
      <c r="N17" s="804"/>
      <c r="O17" s="777"/>
      <c r="P17" s="813"/>
    </row>
    <row r="18" spans="1:16" ht="15.75">
      <c r="A18" s="26">
        <v>9</v>
      </c>
      <c r="B18" s="812" t="s">
        <v>1010</v>
      </c>
      <c r="C18" s="777"/>
      <c r="D18" s="777"/>
      <c r="E18" s="777"/>
      <c r="F18" s="777"/>
      <c r="G18" s="777"/>
      <c r="H18" s="777"/>
      <c r="I18" s="777"/>
      <c r="J18" s="777"/>
      <c r="K18" s="777"/>
      <c r="L18" s="777"/>
      <c r="M18" s="777"/>
      <c r="N18" s="777"/>
      <c r="O18" s="777"/>
      <c r="P18" s="813"/>
    </row>
    <row r="19" spans="1:16" ht="15.75">
      <c r="A19" s="26">
        <v>10</v>
      </c>
      <c r="B19" s="812" t="s">
        <v>1011</v>
      </c>
      <c r="C19" s="777"/>
      <c r="D19" s="777"/>
      <c r="E19" s="777"/>
      <c r="F19" s="777"/>
      <c r="G19" s="777"/>
      <c r="H19" s="777"/>
      <c r="I19" s="777"/>
      <c r="J19" s="777"/>
      <c r="K19" s="777"/>
      <c r="L19" s="777"/>
      <c r="M19" s="777"/>
      <c r="N19" s="777"/>
      <c r="O19" s="777"/>
      <c r="P19" s="813"/>
    </row>
    <row r="20" spans="1:16" ht="15.75">
      <c r="A20" s="26">
        <v>11</v>
      </c>
      <c r="B20" s="814"/>
      <c r="C20" s="777"/>
      <c r="D20" s="777"/>
      <c r="E20" s="777"/>
      <c r="F20" s="777"/>
      <c r="G20" s="777"/>
      <c r="H20" s="777"/>
      <c r="I20" s="777"/>
      <c r="J20" s="777"/>
      <c r="K20" s="777"/>
      <c r="L20" s="777"/>
      <c r="M20" s="777"/>
      <c r="N20" s="777"/>
      <c r="O20" s="777"/>
      <c r="P20" s="813"/>
    </row>
    <row r="21" spans="1:16" ht="15.75">
      <c r="A21" s="26">
        <v>12</v>
      </c>
      <c r="B21" s="812"/>
      <c r="C21" s="777"/>
      <c r="D21" s="777"/>
      <c r="E21" s="777"/>
      <c r="F21" s="777"/>
      <c r="G21" s="777"/>
      <c r="H21" s="777"/>
      <c r="I21" s="777"/>
      <c r="J21" s="777"/>
      <c r="K21" s="777"/>
      <c r="L21" s="777"/>
      <c r="M21" s="777"/>
      <c r="N21" s="777"/>
      <c r="O21" s="777"/>
      <c r="P21" s="813"/>
    </row>
    <row r="22" spans="1:16">
      <c r="A22" s="26">
        <v>13</v>
      </c>
      <c r="B22" s="815"/>
      <c r="C22" s="816"/>
      <c r="D22" s="3"/>
      <c r="E22" s="777"/>
      <c r="F22" s="777"/>
      <c r="G22" s="777"/>
      <c r="H22" s="777"/>
      <c r="I22" s="777"/>
      <c r="J22" s="777"/>
      <c r="K22" s="777"/>
      <c r="L22" s="777"/>
      <c r="M22" s="777"/>
      <c r="N22" s="777"/>
      <c r="O22" s="777"/>
      <c r="P22" s="813"/>
    </row>
    <row r="23" spans="1:16">
      <c r="A23" s="26">
        <v>14</v>
      </c>
      <c r="B23" s="817"/>
      <c r="C23" s="818"/>
      <c r="D23" s="778"/>
      <c r="E23" s="778"/>
      <c r="F23" s="818"/>
      <c r="G23" s="818"/>
      <c r="H23" s="778"/>
      <c r="I23" s="778"/>
      <c r="J23" s="818"/>
      <c r="K23" s="818"/>
      <c r="L23" s="777"/>
      <c r="M23" s="777"/>
      <c r="N23" s="777"/>
      <c r="O23" s="777"/>
      <c r="P23" s="813"/>
    </row>
    <row r="24" spans="1:16" ht="15.75" thickBot="1">
      <c r="A24" s="26">
        <v>15</v>
      </c>
      <c r="B24" s="819"/>
      <c r="C24" s="820"/>
      <c r="D24" s="821"/>
      <c r="E24" s="821"/>
      <c r="F24" s="820"/>
      <c r="G24" s="820"/>
      <c r="H24" s="821"/>
      <c r="I24" s="821"/>
      <c r="J24" s="820"/>
      <c r="K24" s="820"/>
      <c r="L24" s="822"/>
      <c r="M24" s="822"/>
      <c r="N24" s="822"/>
      <c r="O24" s="822"/>
      <c r="P24" s="823"/>
    </row>
    <row r="25" spans="1:16">
      <c r="A25" s="26">
        <v>16</v>
      </c>
      <c r="B25" s="824" t="s">
        <v>1012</v>
      </c>
      <c r="C25" s="824"/>
      <c r="D25" s="824"/>
      <c r="E25" s="824"/>
      <c r="F25" s="824"/>
      <c r="G25" s="824"/>
      <c r="H25" s="824"/>
      <c r="I25" s="824"/>
      <c r="J25" s="824"/>
      <c r="K25" s="824"/>
      <c r="L25" s="824"/>
      <c r="M25" s="824"/>
      <c r="N25" s="824"/>
      <c r="O25" s="824"/>
      <c r="P25" s="824"/>
    </row>
    <row r="26" spans="1:16" ht="25.5">
      <c r="A26" s="26">
        <v>17</v>
      </c>
      <c r="B26" s="825" t="s">
        <v>1013</v>
      </c>
      <c r="C26" s="825"/>
      <c r="D26" s="778"/>
      <c r="E26" s="778"/>
      <c r="F26" s="791" t="s">
        <v>1014</v>
      </c>
      <c r="G26" s="818"/>
      <c r="H26" s="791" t="s">
        <v>1015</v>
      </c>
      <c r="I26" s="791"/>
      <c r="J26" s="780" t="s">
        <v>1016</v>
      </c>
      <c r="K26" s="780"/>
      <c r="L26" s="826" t="s">
        <v>1017</v>
      </c>
      <c r="M26" s="826"/>
      <c r="N26" s="791" t="s">
        <v>1018</v>
      </c>
      <c r="O26" s="827"/>
      <c r="P26" s="791" t="s">
        <v>1019</v>
      </c>
    </row>
    <row r="27" spans="1:16">
      <c r="A27" s="26">
        <v>18</v>
      </c>
      <c r="B27" s="825"/>
      <c r="C27" s="825"/>
      <c r="D27" s="778"/>
      <c r="E27" s="778"/>
      <c r="F27" s="778"/>
      <c r="G27" s="828"/>
      <c r="H27" s="828" t="s">
        <v>1020</v>
      </c>
      <c r="I27" s="829"/>
      <c r="J27" s="818"/>
      <c r="K27" s="818"/>
      <c r="L27" s="777"/>
      <c r="M27" s="777"/>
      <c r="N27" s="777"/>
      <c r="O27" s="777"/>
      <c r="P27" s="777"/>
    </row>
    <row r="28" spans="1:16">
      <c r="A28" s="26">
        <v>19</v>
      </c>
      <c r="B28" s="825"/>
      <c r="C28" s="825"/>
      <c r="D28" s="778"/>
      <c r="E28" s="778"/>
      <c r="F28" s="778" t="s">
        <v>1021</v>
      </c>
      <c r="G28" s="828"/>
      <c r="H28" s="778" t="s">
        <v>1022</v>
      </c>
      <c r="I28" s="829"/>
      <c r="J28" s="818"/>
      <c r="K28" s="818"/>
      <c r="L28" s="778" t="s">
        <v>1023</v>
      </c>
      <c r="M28" s="777"/>
      <c r="N28" s="777"/>
      <c r="O28" s="777"/>
      <c r="P28" s="777"/>
    </row>
    <row r="29" spans="1:16">
      <c r="A29" s="26">
        <v>20</v>
      </c>
      <c r="B29" s="830" t="s">
        <v>1024</v>
      </c>
      <c r="C29" s="830"/>
      <c r="D29" s="778"/>
      <c r="E29" s="778"/>
      <c r="F29" s="15" t="s">
        <v>1025</v>
      </c>
      <c r="G29" s="778"/>
      <c r="H29" s="15" t="s">
        <v>1026</v>
      </c>
      <c r="I29" s="778"/>
      <c r="J29" s="778" t="s">
        <v>1027</v>
      </c>
      <c r="K29" s="777"/>
      <c r="L29" s="778" t="s">
        <v>1028</v>
      </c>
      <c r="M29" s="777"/>
      <c r="N29" s="777"/>
      <c r="O29" s="777"/>
      <c r="P29" s="777"/>
    </row>
    <row r="30" spans="1:16">
      <c r="A30" s="26">
        <v>21</v>
      </c>
      <c r="B30" s="831" t="s">
        <v>1029</v>
      </c>
      <c r="C30" s="832"/>
      <c r="D30" s="833"/>
      <c r="E30" s="833"/>
      <c r="F30" s="833"/>
      <c r="G30" s="833"/>
      <c r="H30" s="834"/>
      <c r="I30" s="834"/>
      <c r="J30" s="834"/>
      <c r="K30" s="834"/>
      <c r="L30" s="835"/>
      <c r="M30" s="835"/>
      <c r="N30" s="833"/>
      <c r="O30" s="833"/>
      <c r="P30" s="836"/>
    </row>
    <row r="31" spans="1:16">
      <c r="A31" s="26">
        <v>22</v>
      </c>
      <c r="B31" s="837"/>
      <c r="C31" s="838"/>
      <c r="D31" s="778"/>
      <c r="E31" s="778"/>
      <c r="F31" s="778"/>
      <c r="G31" s="778"/>
      <c r="H31" s="777"/>
      <c r="I31" s="777"/>
      <c r="J31" s="777"/>
      <c r="K31" s="777"/>
      <c r="L31" s="780" t="s">
        <v>1030</v>
      </c>
      <c r="M31" s="780"/>
      <c r="N31" s="778"/>
      <c r="O31" s="778"/>
      <c r="P31" s="839"/>
    </row>
    <row r="32" spans="1:16">
      <c r="A32" s="26">
        <v>23</v>
      </c>
      <c r="B32" s="840"/>
      <c r="C32" s="838"/>
      <c r="D32" s="778"/>
      <c r="E32" s="778"/>
      <c r="F32" s="778"/>
      <c r="G32" s="778"/>
      <c r="H32" s="777"/>
      <c r="I32" s="777"/>
      <c r="J32" s="777"/>
      <c r="K32" s="777"/>
      <c r="L32" s="780"/>
      <c r="M32" s="780"/>
      <c r="N32" s="778"/>
      <c r="O32" s="778"/>
      <c r="P32" s="839"/>
    </row>
    <row r="33" spans="1:16">
      <c r="A33" s="26">
        <v>24</v>
      </c>
      <c r="B33" s="841" t="s">
        <v>577</v>
      </c>
      <c r="C33" s="777"/>
      <c r="D33" s="777" t="s">
        <v>1031</v>
      </c>
      <c r="E33" s="777"/>
      <c r="F33" s="842" t="s">
        <v>1032</v>
      </c>
      <c r="G33" s="843"/>
      <c r="H33" s="844">
        <f>+$N$10</f>
        <v>0</v>
      </c>
      <c r="I33" s="845"/>
      <c r="J33" s="846">
        <v>12</v>
      </c>
      <c r="K33" s="777"/>
      <c r="L33" s="843" t="s">
        <v>1032</v>
      </c>
      <c r="M33" s="843"/>
      <c r="N33" s="843"/>
      <c r="O33" s="843"/>
      <c r="P33" s="847" t="s">
        <v>1032</v>
      </c>
    </row>
    <row r="34" spans="1:16">
      <c r="A34" s="26">
        <v>25</v>
      </c>
      <c r="B34" s="841" t="s">
        <v>578</v>
      </c>
      <c r="C34" s="777"/>
      <c r="D34" s="777" t="s">
        <v>1031</v>
      </c>
      <c r="E34" s="777"/>
      <c r="F34" s="842" t="s">
        <v>1032</v>
      </c>
      <c r="G34" s="843"/>
      <c r="H34" s="844">
        <f t="shared" ref="H34:H44" si="0">+$N$10</f>
        <v>0</v>
      </c>
      <c r="I34" s="845"/>
      <c r="J34" s="848">
        <v>11</v>
      </c>
      <c r="K34" s="3"/>
      <c r="L34" s="843" t="s">
        <v>1032</v>
      </c>
      <c r="M34" s="843"/>
      <c r="N34" s="843"/>
      <c r="O34" s="843"/>
      <c r="P34" s="847" t="s">
        <v>1032</v>
      </c>
    </row>
    <row r="35" spans="1:16">
      <c r="A35" s="26">
        <v>26</v>
      </c>
      <c r="B35" s="841" t="s">
        <v>663</v>
      </c>
      <c r="C35" s="777"/>
      <c r="D35" s="777" t="s">
        <v>1031</v>
      </c>
      <c r="E35" s="777"/>
      <c r="F35" s="842">
        <f>+$L$10/10</f>
        <v>0</v>
      </c>
      <c r="G35" s="843"/>
      <c r="H35" s="844">
        <f t="shared" si="0"/>
        <v>0</v>
      </c>
      <c r="I35" s="845"/>
      <c r="J35" s="848">
        <v>10</v>
      </c>
      <c r="K35" s="3"/>
      <c r="L35" s="843">
        <f>+F35*H35*J35*-1</f>
        <v>0</v>
      </c>
      <c r="M35" s="843"/>
      <c r="N35" s="843"/>
      <c r="O35" s="843"/>
      <c r="P35" s="847">
        <f>+F35*-1+L35</f>
        <v>0</v>
      </c>
    </row>
    <row r="36" spans="1:16">
      <c r="A36" s="26">
        <v>27</v>
      </c>
      <c r="B36" s="841" t="s">
        <v>580</v>
      </c>
      <c r="C36" s="777"/>
      <c r="D36" s="777" t="s">
        <v>1031</v>
      </c>
      <c r="E36" s="777"/>
      <c r="F36" s="842">
        <f t="shared" ref="F36:F44" si="1">+$L$10/10</f>
        <v>0</v>
      </c>
      <c r="G36" s="843"/>
      <c r="H36" s="844">
        <f t="shared" si="0"/>
        <v>0</v>
      </c>
      <c r="I36" s="845"/>
      <c r="J36" s="848">
        <v>9</v>
      </c>
      <c r="K36" s="3"/>
      <c r="L36" s="843">
        <f t="shared" ref="L36:L44" si="2">+F36*H36*J36*-1</f>
        <v>0</v>
      </c>
      <c r="M36" s="843"/>
      <c r="N36" s="843"/>
      <c r="O36" s="843"/>
      <c r="P36" s="847">
        <f t="shared" ref="P36:P44" si="3">+F36*-1+L36</f>
        <v>0</v>
      </c>
    </row>
    <row r="37" spans="1:16">
      <c r="A37" s="26">
        <v>28</v>
      </c>
      <c r="B37" s="841" t="s">
        <v>581</v>
      </c>
      <c r="C37" s="777"/>
      <c r="D37" s="777" t="s">
        <v>1031</v>
      </c>
      <c r="E37" s="777"/>
      <c r="F37" s="842">
        <f t="shared" si="1"/>
        <v>0</v>
      </c>
      <c r="G37" s="843"/>
      <c r="H37" s="844">
        <f t="shared" si="0"/>
        <v>0</v>
      </c>
      <c r="I37" s="845"/>
      <c r="J37" s="848">
        <v>8</v>
      </c>
      <c r="K37" s="3"/>
      <c r="L37" s="843">
        <f t="shared" si="2"/>
        <v>0</v>
      </c>
      <c r="M37" s="843"/>
      <c r="N37" s="843"/>
      <c r="O37" s="843"/>
      <c r="P37" s="847">
        <f t="shared" si="3"/>
        <v>0</v>
      </c>
    </row>
    <row r="38" spans="1:16">
      <c r="A38" s="26">
        <v>29</v>
      </c>
      <c r="B38" s="841" t="s">
        <v>582</v>
      </c>
      <c r="C38" s="777"/>
      <c r="D38" s="777" t="s">
        <v>1031</v>
      </c>
      <c r="E38" s="777"/>
      <c r="F38" s="842">
        <f t="shared" si="1"/>
        <v>0</v>
      </c>
      <c r="G38" s="843"/>
      <c r="H38" s="844">
        <f t="shared" si="0"/>
        <v>0</v>
      </c>
      <c r="I38" s="845"/>
      <c r="J38" s="848">
        <v>7</v>
      </c>
      <c r="K38" s="3"/>
      <c r="L38" s="843">
        <f t="shared" si="2"/>
        <v>0</v>
      </c>
      <c r="M38" s="843"/>
      <c r="N38" s="843"/>
      <c r="O38" s="843"/>
      <c r="P38" s="847">
        <f t="shared" si="3"/>
        <v>0</v>
      </c>
    </row>
    <row r="39" spans="1:16">
      <c r="A39" s="26">
        <v>30</v>
      </c>
      <c r="B39" s="841" t="s">
        <v>583</v>
      </c>
      <c r="C39" s="777"/>
      <c r="D39" s="777" t="s">
        <v>1031</v>
      </c>
      <c r="E39" s="777"/>
      <c r="F39" s="842">
        <f t="shared" si="1"/>
        <v>0</v>
      </c>
      <c r="G39" s="843"/>
      <c r="H39" s="844">
        <f t="shared" si="0"/>
        <v>0</v>
      </c>
      <c r="I39" s="845"/>
      <c r="J39" s="848">
        <v>6</v>
      </c>
      <c r="K39" s="3"/>
      <c r="L39" s="843">
        <f t="shared" si="2"/>
        <v>0</v>
      </c>
      <c r="M39" s="843"/>
      <c r="N39" s="843"/>
      <c r="O39" s="843"/>
      <c r="P39" s="847">
        <f t="shared" si="3"/>
        <v>0</v>
      </c>
    </row>
    <row r="40" spans="1:16">
      <c r="A40" s="26">
        <v>31</v>
      </c>
      <c r="B40" s="841" t="s">
        <v>665</v>
      </c>
      <c r="C40" s="777"/>
      <c r="D40" s="777" t="s">
        <v>1031</v>
      </c>
      <c r="E40" s="777"/>
      <c r="F40" s="842">
        <f t="shared" si="1"/>
        <v>0</v>
      </c>
      <c r="G40" s="843"/>
      <c r="H40" s="844">
        <f t="shared" si="0"/>
        <v>0</v>
      </c>
      <c r="I40" s="845"/>
      <c r="J40" s="848">
        <v>5</v>
      </c>
      <c r="K40" s="3"/>
      <c r="L40" s="843">
        <f t="shared" si="2"/>
        <v>0</v>
      </c>
      <c r="M40" s="843"/>
      <c r="N40" s="843"/>
      <c r="O40" s="843"/>
      <c r="P40" s="847">
        <f t="shared" si="3"/>
        <v>0</v>
      </c>
    </row>
    <row r="41" spans="1:16">
      <c r="A41" s="26">
        <v>32</v>
      </c>
      <c r="B41" s="841" t="s">
        <v>585</v>
      </c>
      <c r="C41" s="777"/>
      <c r="D41" s="777" t="s">
        <v>1031</v>
      </c>
      <c r="E41" s="777"/>
      <c r="F41" s="842">
        <f t="shared" si="1"/>
        <v>0</v>
      </c>
      <c r="G41" s="843"/>
      <c r="H41" s="844">
        <f t="shared" si="0"/>
        <v>0</v>
      </c>
      <c r="I41" s="845"/>
      <c r="J41" s="848">
        <v>4</v>
      </c>
      <c r="K41" s="3"/>
      <c r="L41" s="843">
        <f t="shared" si="2"/>
        <v>0</v>
      </c>
      <c r="M41" s="843"/>
      <c r="N41" s="843"/>
      <c r="O41" s="843"/>
      <c r="P41" s="847">
        <f t="shared" si="3"/>
        <v>0</v>
      </c>
    </row>
    <row r="42" spans="1:16">
      <c r="A42" s="26">
        <v>33</v>
      </c>
      <c r="B42" s="841" t="s">
        <v>586</v>
      </c>
      <c r="C42" s="777"/>
      <c r="D42" s="777" t="s">
        <v>1031</v>
      </c>
      <c r="E42" s="777"/>
      <c r="F42" s="842">
        <f t="shared" si="1"/>
        <v>0</v>
      </c>
      <c r="G42" s="843"/>
      <c r="H42" s="844">
        <f t="shared" si="0"/>
        <v>0</v>
      </c>
      <c r="I42" s="845"/>
      <c r="J42" s="848">
        <v>3</v>
      </c>
      <c r="K42" s="3"/>
      <c r="L42" s="843">
        <f t="shared" si="2"/>
        <v>0</v>
      </c>
      <c r="M42" s="843"/>
      <c r="N42" s="843"/>
      <c r="O42" s="843"/>
      <c r="P42" s="847">
        <f t="shared" si="3"/>
        <v>0</v>
      </c>
    </row>
    <row r="43" spans="1:16">
      <c r="A43" s="26">
        <v>34</v>
      </c>
      <c r="B43" s="841" t="s">
        <v>587</v>
      </c>
      <c r="C43" s="777"/>
      <c r="D43" s="777" t="s">
        <v>1031</v>
      </c>
      <c r="E43" s="777"/>
      <c r="F43" s="842">
        <f t="shared" si="1"/>
        <v>0</v>
      </c>
      <c r="G43" s="843"/>
      <c r="H43" s="844">
        <f t="shared" si="0"/>
        <v>0</v>
      </c>
      <c r="I43" s="845"/>
      <c r="J43" s="848">
        <v>2</v>
      </c>
      <c r="K43" s="3"/>
      <c r="L43" s="843">
        <f t="shared" si="2"/>
        <v>0</v>
      </c>
      <c r="M43" s="843"/>
      <c r="N43" s="843"/>
      <c r="O43" s="843"/>
      <c r="P43" s="847">
        <f t="shared" si="3"/>
        <v>0</v>
      </c>
    </row>
    <row r="44" spans="1:16">
      <c r="A44" s="26">
        <v>35</v>
      </c>
      <c r="B44" s="841" t="s">
        <v>666</v>
      </c>
      <c r="C44" s="777"/>
      <c r="D44" s="777" t="s">
        <v>1031</v>
      </c>
      <c r="E44" s="777"/>
      <c r="F44" s="842">
        <f t="shared" si="1"/>
        <v>0</v>
      </c>
      <c r="G44" s="843"/>
      <c r="H44" s="844">
        <f t="shared" si="0"/>
        <v>0</v>
      </c>
      <c r="I44" s="845"/>
      <c r="J44" s="848">
        <v>1</v>
      </c>
      <c r="K44" s="3"/>
      <c r="L44" s="849">
        <f t="shared" si="2"/>
        <v>0</v>
      </c>
      <c r="M44" s="843"/>
      <c r="N44" s="843"/>
      <c r="O44" s="843"/>
      <c r="P44" s="850">
        <f t="shared" si="3"/>
        <v>0</v>
      </c>
    </row>
    <row r="45" spans="1:16">
      <c r="A45" s="26">
        <v>36</v>
      </c>
      <c r="B45" s="841"/>
      <c r="C45" s="777"/>
      <c r="D45" s="777"/>
      <c r="E45" s="777"/>
      <c r="F45" s="843"/>
      <c r="G45" s="843"/>
      <c r="H45" s="845"/>
      <c r="I45" s="845"/>
      <c r="J45" s="3"/>
      <c r="K45" s="3"/>
      <c r="L45" s="843">
        <f>+SUM(L33:L44)</f>
        <v>0</v>
      </c>
      <c r="M45" s="843"/>
      <c r="N45" s="843"/>
      <c r="O45" s="843"/>
      <c r="P45" s="851">
        <f>+SUM(P33:P44)</f>
        <v>0</v>
      </c>
    </row>
    <row r="46" spans="1:16">
      <c r="A46" s="26">
        <v>37</v>
      </c>
      <c r="B46" s="841"/>
      <c r="C46" s="777"/>
      <c r="D46" s="777"/>
      <c r="E46" s="777"/>
      <c r="F46" s="843"/>
      <c r="G46" s="843"/>
      <c r="H46" s="845"/>
      <c r="I46" s="845"/>
      <c r="J46" s="3"/>
      <c r="K46" s="3"/>
      <c r="L46" s="843"/>
      <c r="M46" s="843"/>
      <c r="N46" s="843"/>
      <c r="O46" s="843"/>
      <c r="P46" s="852"/>
    </row>
    <row r="47" spans="1:16">
      <c r="A47" s="26">
        <v>38</v>
      </c>
      <c r="B47" s="841"/>
      <c r="C47" s="777"/>
      <c r="D47" s="777"/>
      <c r="E47" s="777"/>
      <c r="F47" s="843"/>
      <c r="G47" s="843"/>
      <c r="H47" s="845"/>
      <c r="I47" s="845"/>
      <c r="J47" s="3"/>
      <c r="K47" s="3"/>
      <c r="L47" s="853" t="s">
        <v>1033</v>
      </c>
      <c r="M47" s="843"/>
      <c r="N47" s="843"/>
      <c r="O47" s="843"/>
      <c r="P47" s="852"/>
    </row>
    <row r="48" spans="1:16">
      <c r="A48" s="26">
        <v>39</v>
      </c>
      <c r="B48" s="841"/>
      <c r="C48" s="777"/>
      <c r="D48" s="777"/>
      <c r="E48" s="777"/>
      <c r="F48" s="843"/>
      <c r="G48" s="843"/>
      <c r="H48" s="845"/>
      <c r="I48" s="845"/>
      <c r="J48" s="3"/>
      <c r="K48" s="3"/>
      <c r="L48" s="853"/>
      <c r="M48" s="843"/>
      <c r="N48" s="843"/>
      <c r="O48" s="843"/>
      <c r="P48" s="852"/>
    </row>
    <row r="49" spans="1:16">
      <c r="A49" s="26">
        <v>40</v>
      </c>
      <c r="B49" s="841" t="s">
        <v>1034</v>
      </c>
      <c r="C49" s="777"/>
      <c r="D49" s="777" t="s">
        <v>1035</v>
      </c>
      <c r="E49" s="777"/>
      <c r="F49" s="843">
        <f>+P45</f>
        <v>0</v>
      </c>
      <c r="G49" s="843"/>
      <c r="H49" s="844">
        <f>+N11</f>
        <v>0</v>
      </c>
      <c r="I49" s="845"/>
      <c r="J49" s="846">
        <v>12</v>
      </c>
      <c r="K49" s="777"/>
      <c r="L49" s="843">
        <f>+F49*H49*J49</f>
        <v>0</v>
      </c>
      <c r="M49" s="843"/>
      <c r="N49" s="843" t="s">
        <v>1024</v>
      </c>
      <c r="O49" s="843"/>
      <c r="P49" s="852">
        <f>+F49+L49</f>
        <v>0</v>
      </c>
    </row>
    <row r="50" spans="1:16">
      <c r="A50" s="26">
        <v>41</v>
      </c>
      <c r="B50" s="841" t="s">
        <v>1034</v>
      </c>
      <c r="C50" s="777"/>
      <c r="D50" s="777" t="s">
        <v>1036</v>
      </c>
      <c r="E50" s="777"/>
      <c r="F50" s="818">
        <f>+P49</f>
        <v>0</v>
      </c>
      <c r="G50" s="818"/>
      <c r="H50" s="844">
        <f>+N12</f>
        <v>0</v>
      </c>
      <c r="I50" s="845"/>
      <c r="J50" s="846">
        <v>12</v>
      </c>
      <c r="K50" s="777"/>
      <c r="L50" s="843">
        <f t="shared" ref="L50:L53" si="4">+F50*H50*J50</f>
        <v>0</v>
      </c>
      <c r="M50" s="843"/>
      <c r="N50" s="843"/>
      <c r="O50" s="843"/>
      <c r="P50" s="852">
        <f t="shared" ref="P50:P53" si="5">+F50+L50</f>
        <v>0</v>
      </c>
    </row>
    <row r="51" spans="1:16">
      <c r="A51" s="26">
        <v>42</v>
      </c>
      <c r="B51" s="841" t="s">
        <v>1034</v>
      </c>
      <c r="C51" s="777"/>
      <c r="D51" s="3" t="s">
        <v>1037</v>
      </c>
      <c r="E51" s="777"/>
      <c r="F51" s="818">
        <f t="shared" ref="F51:F53" si="6">+P50</f>
        <v>0</v>
      </c>
      <c r="G51" s="818"/>
      <c r="H51" s="844">
        <f>+N13</f>
        <v>0</v>
      </c>
      <c r="I51" s="845"/>
      <c r="J51" s="846">
        <v>12</v>
      </c>
      <c r="K51" s="777"/>
      <c r="L51" s="843">
        <f t="shared" si="4"/>
        <v>0</v>
      </c>
      <c r="M51" s="843"/>
      <c r="N51" s="843"/>
      <c r="O51" s="843"/>
      <c r="P51" s="852">
        <f t="shared" si="5"/>
        <v>0</v>
      </c>
    </row>
    <row r="52" spans="1:16">
      <c r="A52" s="26">
        <v>43</v>
      </c>
      <c r="B52" s="841" t="s">
        <v>1034</v>
      </c>
      <c r="C52" s="777"/>
      <c r="D52" s="777" t="s">
        <v>1038</v>
      </c>
      <c r="E52" s="777"/>
      <c r="F52" s="818">
        <f t="shared" si="6"/>
        <v>0</v>
      </c>
      <c r="G52" s="818"/>
      <c r="H52" s="844">
        <f>+N14</f>
        <v>0</v>
      </c>
      <c r="I52" s="845"/>
      <c r="J52" s="846">
        <v>12</v>
      </c>
      <c r="K52" s="777"/>
      <c r="L52" s="843">
        <f t="shared" si="4"/>
        <v>0</v>
      </c>
      <c r="M52" s="843"/>
      <c r="N52" s="843"/>
      <c r="O52" s="843"/>
      <c r="P52" s="852">
        <f t="shared" si="5"/>
        <v>0</v>
      </c>
    </row>
    <row r="53" spans="1:16">
      <c r="A53" s="26">
        <v>44</v>
      </c>
      <c r="B53" s="841" t="s">
        <v>1034</v>
      </c>
      <c r="C53" s="777"/>
      <c r="D53" s="777" t="s">
        <v>1039</v>
      </c>
      <c r="E53" s="777"/>
      <c r="F53" s="818">
        <f t="shared" si="6"/>
        <v>0</v>
      </c>
      <c r="G53" s="818"/>
      <c r="H53" s="844">
        <f>+N14</f>
        <v>0</v>
      </c>
      <c r="I53" s="845"/>
      <c r="J53" s="846">
        <v>12</v>
      </c>
      <c r="K53" s="777"/>
      <c r="L53" s="843">
        <f t="shared" si="4"/>
        <v>0</v>
      </c>
      <c r="M53" s="843"/>
      <c r="N53" s="843"/>
      <c r="O53" s="843"/>
      <c r="P53" s="852">
        <f t="shared" si="5"/>
        <v>0</v>
      </c>
    </row>
    <row r="54" spans="1:16">
      <c r="A54" s="26">
        <v>45</v>
      </c>
      <c r="B54" s="841"/>
      <c r="C54" s="777"/>
      <c r="D54" s="777"/>
      <c r="E54" s="777"/>
      <c r="F54" s="818"/>
      <c r="G54" s="818"/>
      <c r="H54" s="845"/>
      <c r="I54" s="845"/>
      <c r="J54" s="777"/>
      <c r="K54" s="777"/>
      <c r="L54" s="843"/>
      <c r="M54" s="843"/>
      <c r="N54" s="843"/>
      <c r="O54" s="843"/>
      <c r="P54" s="852"/>
    </row>
    <row r="55" spans="1:16">
      <c r="A55" s="26">
        <v>46</v>
      </c>
      <c r="B55" s="841"/>
      <c r="C55" s="777"/>
      <c r="D55" s="777"/>
      <c r="E55" s="777"/>
      <c r="F55" s="818"/>
      <c r="G55" s="818"/>
      <c r="H55" s="845"/>
      <c r="I55" s="845"/>
      <c r="J55" s="777"/>
      <c r="K55" s="777"/>
      <c r="L55" s="843"/>
      <c r="M55" s="843"/>
      <c r="N55" s="843"/>
      <c r="O55" s="843"/>
      <c r="P55" s="847"/>
    </row>
    <row r="56" spans="1:16">
      <c r="A56" s="26">
        <v>47</v>
      </c>
      <c r="B56" s="854" t="s">
        <v>1040</v>
      </c>
      <c r="C56" s="855"/>
      <c r="D56" s="777"/>
      <c r="E56" s="777"/>
      <c r="F56" s="843"/>
      <c r="G56" s="843"/>
      <c r="H56" s="845"/>
      <c r="I56" s="845"/>
      <c r="J56" s="777"/>
      <c r="K56" s="777"/>
      <c r="L56" s="853" t="s">
        <v>1041</v>
      </c>
      <c r="M56" s="853"/>
      <c r="N56" s="843"/>
      <c r="O56" s="843"/>
      <c r="P56" s="847"/>
    </row>
    <row r="57" spans="1:16">
      <c r="A57" s="26">
        <v>48</v>
      </c>
      <c r="B57" s="841" t="s">
        <v>577</v>
      </c>
      <c r="C57" s="777"/>
      <c r="D57" s="777" t="s">
        <v>1042</v>
      </c>
      <c r="E57" s="777"/>
      <c r="F57" s="818">
        <f>+P53*-1</f>
        <v>0</v>
      </c>
      <c r="G57" s="818"/>
      <c r="H57" s="844">
        <f>+$N$14</f>
        <v>0</v>
      </c>
      <c r="I57" s="845"/>
      <c r="J57" s="777"/>
      <c r="K57" s="777"/>
      <c r="L57" s="843"/>
      <c r="M57" s="843"/>
      <c r="N57" s="843">
        <f>+$N$71/12</f>
        <v>0</v>
      </c>
      <c r="O57" s="843"/>
      <c r="P57" s="847">
        <f>+F57*-1+L57-N57</f>
        <v>0</v>
      </c>
    </row>
    <row r="58" spans="1:16">
      <c r="A58" s="26">
        <v>49</v>
      </c>
      <c r="B58" s="841" t="s">
        <v>578</v>
      </c>
      <c r="C58" s="777"/>
      <c r="D58" s="777" t="s">
        <v>1042</v>
      </c>
      <c r="E58" s="777"/>
      <c r="F58" s="843">
        <f>+F57-($F$57/12)</f>
        <v>0</v>
      </c>
      <c r="G58" s="818"/>
      <c r="H58" s="844">
        <f t="shared" ref="H58:H68" si="7">+$N$14</f>
        <v>0</v>
      </c>
      <c r="I58" s="845"/>
      <c r="J58" s="777"/>
      <c r="K58" s="777"/>
      <c r="L58" s="843"/>
      <c r="M58" s="843"/>
      <c r="N58" s="843">
        <f t="shared" ref="N58:N68" si="8">+$N$71/12</f>
        <v>0</v>
      </c>
      <c r="O58" s="843"/>
      <c r="P58" s="847">
        <f t="shared" ref="P58:P68" si="9">+F58*-1+L58-N58</f>
        <v>0</v>
      </c>
    </row>
    <row r="59" spans="1:16">
      <c r="A59" s="26">
        <v>50</v>
      </c>
      <c r="B59" s="841" t="s">
        <v>663</v>
      </c>
      <c r="C59" s="777"/>
      <c r="D59" s="777" t="s">
        <v>1042</v>
      </c>
      <c r="E59" s="777"/>
      <c r="F59" s="843">
        <f t="shared" ref="F59:F68" si="10">+F58-($F$57/12)</f>
        <v>0</v>
      </c>
      <c r="G59" s="818"/>
      <c r="H59" s="844">
        <f t="shared" si="7"/>
        <v>0</v>
      </c>
      <c r="I59" s="845"/>
      <c r="J59" s="777"/>
      <c r="K59" s="777"/>
      <c r="L59" s="843"/>
      <c r="M59" s="843"/>
      <c r="N59" s="843">
        <f t="shared" si="8"/>
        <v>0</v>
      </c>
      <c r="O59" s="843"/>
      <c r="P59" s="847">
        <f t="shared" si="9"/>
        <v>0</v>
      </c>
    </row>
    <row r="60" spans="1:16">
      <c r="A60" s="26">
        <v>51</v>
      </c>
      <c r="B60" s="841" t="s">
        <v>580</v>
      </c>
      <c r="C60" s="777"/>
      <c r="D60" s="777" t="s">
        <v>1042</v>
      </c>
      <c r="E60" s="777"/>
      <c r="F60" s="843">
        <f t="shared" si="10"/>
        <v>0</v>
      </c>
      <c r="G60" s="818"/>
      <c r="H60" s="844">
        <f t="shared" si="7"/>
        <v>0</v>
      </c>
      <c r="I60" s="845"/>
      <c r="J60" s="777"/>
      <c r="K60" s="777"/>
      <c r="L60" s="843"/>
      <c r="M60" s="843"/>
      <c r="N60" s="843">
        <f t="shared" si="8"/>
        <v>0</v>
      </c>
      <c r="O60" s="843"/>
      <c r="P60" s="847">
        <f t="shared" si="9"/>
        <v>0</v>
      </c>
    </row>
    <row r="61" spans="1:16">
      <c r="A61" s="26">
        <v>52</v>
      </c>
      <c r="B61" s="841" t="s">
        <v>581</v>
      </c>
      <c r="C61" s="777"/>
      <c r="D61" s="777" t="s">
        <v>1042</v>
      </c>
      <c r="E61" s="777"/>
      <c r="F61" s="843">
        <f t="shared" si="10"/>
        <v>0</v>
      </c>
      <c r="G61" s="818"/>
      <c r="H61" s="844">
        <f t="shared" si="7"/>
        <v>0</v>
      </c>
      <c r="I61" s="845"/>
      <c r="J61" s="777"/>
      <c r="K61" s="777"/>
      <c r="L61" s="843"/>
      <c r="M61" s="843"/>
      <c r="N61" s="843">
        <f t="shared" si="8"/>
        <v>0</v>
      </c>
      <c r="O61" s="843"/>
      <c r="P61" s="847">
        <f t="shared" si="9"/>
        <v>0</v>
      </c>
    </row>
    <row r="62" spans="1:16">
      <c r="A62" s="26">
        <v>53</v>
      </c>
      <c r="B62" s="841" t="s">
        <v>582</v>
      </c>
      <c r="C62" s="777"/>
      <c r="D62" s="777" t="s">
        <v>1042</v>
      </c>
      <c r="E62" s="777"/>
      <c r="F62" s="843">
        <f t="shared" si="10"/>
        <v>0</v>
      </c>
      <c r="G62" s="818"/>
      <c r="H62" s="844">
        <f t="shared" si="7"/>
        <v>0</v>
      </c>
      <c r="I62" s="845"/>
      <c r="J62" s="777"/>
      <c r="K62" s="777"/>
      <c r="L62" s="843"/>
      <c r="M62" s="843"/>
      <c r="N62" s="843">
        <f t="shared" si="8"/>
        <v>0</v>
      </c>
      <c r="O62" s="843"/>
      <c r="P62" s="847">
        <f t="shared" si="9"/>
        <v>0</v>
      </c>
    </row>
    <row r="63" spans="1:16">
      <c r="A63" s="26">
        <v>54</v>
      </c>
      <c r="B63" s="841" t="s">
        <v>583</v>
      </c>
      <c r="C63" s="777"/>
      <c r="D63" s="777" t="s">
        <v>1042</v>
      </c>
      <c r="E63" s="777"/>
      <c r="F63" s="843">
        <f t="shared" si="10"/>
        <v>0</v>
      </c>
      <c r="G63" s="818"/>
      <c r="H63" s="844">
        <f t="shared" si="7"/>
        <v>0</v>
      </c>
      <c r="I63" s="845"/>
      <c r="J63" s="777"/>
      <c r="K63" s="777"/>
      <c r="L63" s="843"/>
      <c r="M63" s="843"/>
      <c r="N63" s="843">
        <f t="shared" si="8"/>
        <v>0</v>
      </c>
      <c r="O63" s="843"/>
      <c r="P63" s="847">
        <f t="shared" si="9"/>
        <v>0</v>
      </c>
    </row>
    <row r="64" spans="1:16">
      <c r="A64" s="26">
        <v>55</v>
      </c>
      <c r="B64" s="841" t="s">
        <v>665</v>
      </c>
      <c r="C64" s="777"/>
      <c r="D64" s="777" t="s">
        <v>1042</v>
      </c>
      <c r="E64" s="777"/>
      <c r="F64" s="843">
        <f t="shared" si="10"/>
        <v>0</v>
      </c>
      <c r="G64" s="818"/>
      <c r="H64" s="844">
        <f t="shared" si="7"/>
        <v>0</v>
      </c>
      <c r="I64" s="845"/>
      <c r="J64" s="777"/>
      <c r="K64" s="777"/>
      <c r="L64" s="843"/>
      <c r="M64" s="843"/>
      <c r="N64" s="843">
        <f t="shared" si="8"/>
        <v>0</v>
      </c>
      <c r="O64" s="843"/>
      <c r="P64" s="847">
        <f t="shared" si="9"/>
        <v>0</v>
      </c>
    </row>
    <row r="65" spans="1:16">
      <c r="A65" s="26">
        <v>56</v>
      </c>
      <c r="B65" s="841" t="s">
        <v>585</v>
      </c>
      <c r="C65" s="777"/>
      <c r="D65" s="777" t="s">
        <v>1042</v>
      </c>
      <c r="E65" s="777"/>
      <c r="F65" s="843">
        <f t="shared" si="10"/>
        <v>0</v>
      </c>
      <c r="G65" s="818"/>
      <c r="H65" s="844">
        <f t="shared" si="7"/>
        <v>0</v>
      </c>
      <c r="I65" s="845"/>
      <c r="J65" s="777"/>
      <c r="K65" s="777"/>
      <c r="L65" s="843"/>
      <c r="M65" s="843"/>
      <c r="N65" s="843">
        <f t="shared" si="8"/>
        <v>0</v>
      </c>
      <c r="O65" s="843"/>
      <c r="P65" s="847">
        <f t="shared" si="9"/>
        <v>0</v>
      </c>
    </row>
    <row r="66" spans="1:16">
      <c r="A66" s="26">
        <v>57</v>
      </c>
      <c r="B66" s="841" t="s">
        <v>586</v>
      </c>
      <c r="C66" s="777"/>
      <c r="D66" s="777" t="s">
        <v>1042</v>
      </c>
      <c r="E66" s="777"/>
      <c r="F66" s="843">
        <f t="shared" si="10"/>
        <v>0</v>
      </c>
      <c r="G66" s="818"/>
      <c r="H66" s="844">
        <f t="shared" si="7"/>
        <v>0</v>
      </c>
      <c r="I66" s="845"/>
      <c r="J66" s="777"/>
      <c r="K66" s="777"/>
      <c r="L66" s="843"/>
      <c r="M66" s="843"/>
      <c r="N66" s="843">
        <f t="shared" si="8"/>
        <v>0</v>
      </c>
      <c r="O66" s="843"/>
      <c r="P66" s="847">
        <f t="shared" si="9"/>
        <v>0</v>
      </c>
    </row>
    <row r="67" spans="1:16">
      <c r="A67" s="26">
        <v>58</v>
      </c>
      <c r="B67" s="841" t="s">
        <v>587</v>
      </c>
      <c r="C67" s="777"/>
      <c r="D67" s="777" t="s">
        <v>1042</v>
      </c>
      <c r="E67" s="777"/>
      <c r="F67" s="843">
        <f t="shared" si="10"/>
        <v>0</v>
      </c>
      <c r="G67" s="818"/>
      <c r="H67" s="844">
        <f t="shared" si="7"/>
        <v>0</v>
      </c>
      <c r="I67" s="845"/>
      <c r="J67" s="777"/>
      <c r="K67" s="777"/>
      <c r="L67" s="843"/>
      <c r="M67" s="843"/>
      <c r="N67" s="843">
        <f t="shared" si="8"/>
        <v>0</v>
      </c>
      <c r="O67" s="843"/>
      <c r="P67" s="847">
        <f t="shared" si="9"/>
        <v>0</v>
      </c>
    </row>
    <row r="68" spans="1:16">
      <c r="A68" s="26">
        <v>59</v>
      </c>
      <c r="B68" s="841" t="s">
        <v>666</v>
      </c>
      <c r="C68" s="777"/>
      <c r="D68" s="777" t="s">
        <v>1042</v>
      </c>
      <c r="E68" s="777"/>
      <c r="F68" s="843">
        <f t="shared" si="10"/>
        <v>0</v>
      </c>
      <c r="G68" s="818"/>
      <c r="H68" s="844">
        <f t="shared" si="7"/>
        <v>0</v>
      </c>
      <c r="I68" s="845"/>
      <c r="J68" s="777"/>
      <c r="K68" s="777"/>
      <c r="L68" s="849"/>
      <c r="M68" s="843"/>
      <c r="N68" s="843">
        <f t="shared" si="8"/>
        <v>0</v>
      </c>
      <c r="O68" s="843"/>
      <c r="P68" s="847">
        <f t="shared" si="9"/>
        <v>0</v>
      </c>
    </row>
    <row r="69" spans="1:16">
      <c r="A69" s="26">
        <v>60</v>
      </c>
      <c r="B69" s="841"/>
      <c r="C69" s="777"/>
      <c r="D69" s="777"/>
      <c r="E69" s="777"/>
      <c r="F69" s="818"/>
      <c r="G69" s="818"/>
      <c r="H69" s="845"/>
      <c r="I69" s="845"/>
      <c r="J69" s="777"/>
      <c r="K69" s="777"/>
      <c r="L69" s="843">
        <f>+SUM(L57:L68)</f>
        <v>0</v>
      </c>
      <c r="M69" s="843"/>
      <c r="N69" s="843"/>
      <c r="O69" s="843"/>
      <c r="P69" s="847"/>
    </row>
    <row r="70" spans="1:16">
      <c r="A70" s="26">
        <v>61</v>
      </c>
      <c r="B70" s="652"/>
      <c r="C70" s="3"/>
      <c r="D70" s="3"/>
      <c r="E70" s="3"/>
      <c r="F70" s="3"/>
      <c r="G70" s="3"/>
      <c r="H70" s="3"/>
      <c r="I70" s="3"/>
      <c r="J70" s="3"/>
      <c r="K70" s="3"/>
      <c r="L70" s="3"/>
      <c r="M70" s="3"/>
      <c r="N70" s="3"/>
      <c r="O70" s="3"/>
      <c r="P70" s="643"/>
    </row>
    <row r="71" spans="1:16">
      <c r="A71" s="26">
        <v>62</v>
      </c>
      <c r="B71" s="841" t="s">
        <v>1043</v>
      </c>
      <c r="C71" s="777"/>
      <c r="D71" s="3"/>
      <c r="E71" s="3"/>
      <c r="F71" s="3" t="s">
        <v>1044</v>
      </c>
      <c r="G71" s="3"/>
      <c r="H71" s="3"/>
      <c r="I71" s="3"/>
      <c r="J71" s="3"/>
      <c r="K71" s="3"/>
      <c r="L71" s="3"/>
      <c r="M71" s="3"/>
      <c r="N71" s="638">
        <f>+F57*-1+L69</f>
        <v>0</v>
      </c>
      <c r="O71" s="3"/>
      <c r="P71" s="643"/>
    </row>
    <row r="72" spans="1:16">
      <c r="A72" s="26">
        <v>63</v>
      </c>
      <c r="B72" s="841" t="s">
        <v>1045</v>
      </c>
      <c r="C72" s="777"/>
      <c r="D72" s="3"/>
      <c r="E72" s="3"/>
      <c r="F72" s="3" t="s">
        <v>1046</v>
      </c>
      <c r="G72" s="3"/>
      <c r="H72" s="3"/>
      <c r="I72" s="3"/>
      <c r="J72" s="3"/>
      <c r="K72" s="3"/>
      <c r="L72" s="3"/>
      <c r="M72" s="3"/>
      <c r="N72" s="638"/>
      <c r="O72" s="3"/>
      <c r="P72" s="643"/>
    </row>
    <row r="73" spans="1:16">
      <c r="A73" s="26">
        <v>64</v>
      </c>
      <c r="B73" s="856" t="s">
        <v>1047</v>
      </c>
      <c r="C73" s="857"/>
      <c r="D73" s="322"/>
      <c r="E73" s="322"/>
      <c r="F73" s="322" t="s">
        <v>1048</v>
      </c>
      <c r="G73" s="322"/>
      <c r="H73" s="322"/>
      <c r="I73" s="322"/>
      <c r="J73" s="322"/>
      <c r="K73" s="322"/>
      <c r="L73" s="322"/>
      <c r="M73" s="322"/>
      <c r="N73" s="656">
        <f>+N71-N72</f>
        <v>0</v>
      </c>
      <c r="O73" s="322"/>
      <c r="P73" s="323"/>
    </row>
    <row r="74" spans="1:16">
      <c r="A74" s="26">
        <v>65</v>
      </c>
      <c r="B74" s="3"/>
      <c r="C74" s="3"/>
      <c r="D74" s="3"/>
      <c r="E74" s="3"/>
      <c r="F74" s="3"/>
      <c r="G74" s="3"/>
      <c r="H74" s="3"/>
      <c r="I74" s="3"/>
      <c r="J74" s="3"/>
      <c r="K74" s="3"/>
      <c r="L74" s="3"/>
      <c r="M74" s="3"/>
      <c r="N74" s="3"/>
      <c r="O74" s="3"/>
      <c r="P74" s="3"/>
    </row>
    <row r="75" spans="1:16">
      <c r="A75" s="26">
        <v>66</v>
      </c>
      <c r="B75" s="3"/>
      <c r="C75" s="3"/>
      <c r="D75" s="3"/>
      <c r="E75" s="3"/>
      <c r="F75" s="3"/>
      <c r="G75" s="3"/>
      <c r="H75" s="3"/>
      <c r="I75" s="3"/>
      <c r="J75" s="3"/>
      <c r="K75" s="3"/>
      <c r="L75" s="3"/>
      <c r="M75" s="3"/>
      <c r="N75" s="3"/>
      <c r="O75" s="3"/>
      <c r="P75" s="369" t="s">
        <v>1049</v>
      </c>
    </row>
    <row r="76" spans="1:16">
      <c r="A76" s="26">
        <v>67</v>
      </c>
      <c r="B76" s="780" t="s">
        <v>1050</v>
      </c>
      <c r="C76" s="780"/>
      <c r="D76" s="780"/>
      <c r="E76" s="780"/>
      <c r="F76" s="780"/>
      <c r="G76" s="780"/>
      <c r="H76" s="780"/>
      <c r="I76" s="780"/>
      <c r="J76" s="780"/>
      <c r="K76" s="780"/>
      <c r="L76" s="780"/>
      <c r="M76" s="780"/>
      <c r="N76" s="780"/>
      <c r="O76" s="3"/>
      <c r="P76" s="3"/>
    </row>
    <row r="77" spans="1:16">
      <c r="A77" s="26">
        <v>68</v>
      </c>
      <c r="B77" s="786" t="s">
        <v>766</v>
      </c>
      <c r="C77" s="786"/>
      <c r="D77" s="786"/>
      <c r="E77" s="786"/>
      <c r="F77" s="786"/>
      <c r="G77" s="786"/>
      <c r="H77" s="786"/>
      <c r="I77" s="786"/>
      <c r="J77" s="786"/>
      <c r="K77" s="786"/>
      <c r="L77" s="786"/>
      <c r="M77" s="786"/>
      <c r="N77" s="786"/>
      <c r="O77" s="3"/>
      <c r="P77" s="3"/>
    </row>
    <row r="78" spans="1:16">
      <c r="A78" s="26">
        <v>69</v>
      </c>
      <c r="B78" s="780"/>
      <c r="C78" s="780"/>
      <c r="D78" s="780"/>
      <c r="E78" s="780"/>
      <c r="F78" s="780"/>
      <c r="G78" s="780"/>
      <c r="H78" s="780"/>
      <c r="I78" s="780"/>
      <c r="J78" s="780"/>
      <c r="K78" s="780"/>
      <c r="L78" s="780"/>
      <c r="M78" s="780"/>
      <c r="N78" s="780"/>
      <c r="O78" s="3"/>
      <c r="P78" s="3"/>
    </row>
    <row r="79" spans="1:16">
      <c r="A79" s="26">
        <v>70</v>
      </c>
      <c r="B79" s="777"/>
      <c r="C79" s="777"/>
      <c r="D79" s="3"/>
      <c r="E79" s="3"/>
      <c r="F79" s="3"/>
      <c r="G79" s="3"/>
      <c r="H79" s="858"/>
      <c r="I79" s="858"/>
      <c r="J79" s="3"/>
      <c r="K79" s="3"/>
      <c r="L79" s="3"/>
      <c r="M79" s="3"/>
      <c r="N79" s="638"/>
      <c r="O79" s="3"/>
      <c r="P79" s="3"/>
    </row>
    <row r="80" spans="1:16">
      <c r="A80" s="26">
        <v>71</v>
      </c>
      <c r="B80" s="831" t="s">
        <v>1051</v>
      </c>
      <c r="C80" s="832"/>
      <c r="D80" s="833"/>
      <c r="E80" s="833"/>
      <c r="F80" s="833"/>
      <c r="G80" s="833"/>
      <c r="H80" s="834"/>
      <c r="I80" s="834"/>
      <c r="J80" s="834"/>
      <c r="K80" s="834"/>
      <c r="L80" s="835"/>
      <c r="M80" s="835"/>
      <c r="N80" s="833"/>
      <c r="O80" s="833"/>
      <c r="P80" s="836"/>
    </row>
    <row r="81" spans="1:16">
      <c r="A81" s="26">
        <v>72</v>
      </c>
      <c r="B81" s="837"/>
      <c r="C81" s="838"/>
      <c r="D81" s="778"/>
      <c r="E81" s="778"/>
      <c r="F81" s="778"/>
      <c r="G81" s="778"/>
      <c r="H81" s="777"/>
      <c r="I81" s="777"/>
      <c r="J81" s="777"/>
      <c r="K81" s="777"/>
      <c r="L81" s="780" t="s">
        <v>1030</v>
      </c>
      <c r="M81" s="780"/>
      <c r="N81" s="778"/>
      <c r="O81" s="778"/>
      <c r="P81" s="839"/>
    </row>
    <row r="82" spans="1:16">
      <c r="A82" s="26">
        <v>73</v>
      </c>
      <c r="B82" s="840"/>
      <c r="C82" s="838"/>
      <c r="D82" s="778"/>
      <c r="E82" s="778"/>
      <c r="F82" s="778"/>
      <c r="G82" s="778"/>
      <c r="H82" s="777"/>
      <c r="I82" s="777"/>
      <c r="J82" s="777"/>
      <c r="K82" s="777"/>
      <c r="L82" s="780"/>
      <c r="M82" s="780"/>
      <c r="N82" s="778"/>
      <c r="O82" s="778"/>
      <c r="P82" s="839"/>
    </row>
    <row r="83" spans="1:16">
      <c r="A83" s="26">
        <v>74</v>
      </c>
      <c r="B83" s="841" t="s">
        <v>577</v>
      </c>
      <c r="C83" s="777"/>
      <c r="D83" s="777" t="s">
        <v>1035</v>
      </c>
      <c r="E83" s="777"/>
      <c r="F83" s="842">
        <f>+$L$11/12</f>
        <v>0</v>
      </c>
      <c r="G83" s="843"/>
      <c r="H83" s="844">
        <f>+$N$11</f>
        <v>0</v>
      </c>
      <c r="I83" s="845"/>
      <c r="J83" s="846">
        <v>12</v>
      </c>
      <c r="K83" s="777"/>
      <c r="L83" s="843">
        <f>+F83*H83*J83*-1</f>
        <v>0</v>
      </c>
      <c r="M83" s="843"/>
      <c r="N83" s="843"/>
      <c r="O83" s="843"/>
      <c r="P83" s="847">
        <f>+F83*-1+L83</f>
        <v>0</v>
      </c>
    </row>
    <row r="84" spans="1:16">
      <c r="A84" s="26">
        <v>75</v>
      </c>
      <c r="B84" s="841" t="s">
        <v>578</v>
      </c>
      <c r="C84" s="777"/>
      <c r="D84" s="777" t="s">
        <v>1035</v>
      </c>
      <c r="E84" s="777"/>
      <c r="F84" s="842">
        <f t="shared" ref="F84:F94" si="11">+$L$11/12</f>
        <v>0</v>
      </c>
      <c r="G84" s="843"/>
      <c r="H84" s="844">
        <f t="shared" ref="H84:H94" si="12">+$N$11</f>
        <v>0</v>
      </c>
      <c r="I84" s="845"/>
      <c r="J84" s="848">
        <v>11</v>
      </c>
      <c r="K84" s="3"/>
      <c r="L84" s="843">
        <f t="shared" ref="L84:L94" si="13">+F84*H84*J84*-1</f>
        <v>0</v>
      </c>
      <c r="M84" s="843"/>
      <c r="N84" s="843"/>
      <c r="O84" s="843"/>
      <c r="P84" s="847">
        <f t="shared" ref="P84:P94" si="14">+F84*-1+L84</f>
        <v>0</v>
      </c>
    </row>
    <row r="85" spans="1:16">
      <c r="A85" s="26">
        <v>76</v>
      </c>
      <c r="B85" s="841" t="s">
        <v>663</v>
      </c>
      <c r="C85" s="777"/>
      <c r="D85" s="777" t="s">
        <v>1035</v>
      </c>
      <c r="E85" s="777"/>
      <c r="F85" s="842">
        <f t="shared" si="11"/>
        <v>0</v>
      </c>
      <c r="G85" s="843"/>
      <c r="H85" s="844">
        <f t="shared" si="12"/>
        <v>0</v>
      </c>
      <c r="I85" s="845"/>
      <c r="J85" s="848">
        <v>10</v>
      </c>
      <c r="K85" s="3"/>
      <c r="L85" s="843">
        <f t="shared" si="13"/>
        <v>0</v>
      </c>
      <c r="M85" s="843"/>
      <c r="N85" s="843"/>
      <c r="O85" s="843"/>
      <c r="P85" s="847">
        <f t="shared" si="14"/>
        <v>0</v>
      </c>
    </row>
    <row r="86" spans="1:16">
      <c r="A86" s="26">
        <v>77</v>
      </c>
      <c r="B86" s="841" t="s">
        <v>580</v>
      </c>
      <c r="C86" s="777"/>
      <c r="D86" s="777" t="s">
        <v>1035</v>
      </c>
      <c r="E86" s="777"/>
      <c r="F86" s="842">
        <f t="shared" si="11"/>
        <v>0</v>
      </c>
      <c r="G86" s="843"/>
      <c r="H86" s="844">
        <f t="shared" si="12"/>
        <v>0</v>
      </c>
      <c r="I86" s="845"/>
      <c r="J86" s="848">
        <v>9</v>
      </c>
      <c r="K86" s="3"/>
      <c r="L86" s="843">
        <f t="shared" si="13"/>
        <v>0</v>
      </c>
      <c r="M86" s="843"/>
      <c r="N86" s="843"/>
      <c r="O86" s="843"/>
      <c r="P86" s="847">
        <f t="shared" si="14"/>
        <v>0</v>
      </c>
    </row>
    <row r="87" spans="1:16">
      <c r="A87" s="26">
        <v>78</v>
      </c>
      <c r="B87" s="841" t="s">
        <v>581</v>
      </c>
      <c r="C87" s="777"/>
      <c r="D87" s="777" t="s">
        <v>1035</v>
      </c>
      <c r="E87" s="777"/>
      <c r="F87" s="842">
        <f t="shared" si="11"/>
        <v>0</v>
      </c>
      <c r="G87" s="843"/>
      <c r="H87" s="844">
        <f t="shared" si="12"/>
        <v>0</v>
      </c>
      <c r="I87" s="845"/>
      <c r="J87" s="848">
        <v>8</v>
      </c>
      <c r="K87" s="3"/>
      <c r="L87" s="843">
        <f t="shared" si="13"/>
        <v>0</v>
      </c>
      <c r="M87" s="843"/>
      <c r="N87" s="843"/>
      <c r="O87" s="843"/>
      <c r="P87" s="847">
        <f t="shared" si="14"/>
        <v>0</v>
      </c>
    </row>
    <row r="88" spans="1:16">
      <c r="A88" s="26">
        <v>79</v>
      </c>
      <c r="B88" s="841" t="s">
        <v>582</v>
      </c>
      <c r="C88" s="777"/>
      <c r="D88" s="777" t="s">
        <v>1035</v>
      </c>
      <c r="E88" s="777"/>
      <c r="F88" s="842">
        <f t="shared" si="11"/>
        <v>0</v>
      </c>
      <c r="G88" s="843"/>
      <c r="H88" s="844">
        <f t="shared" si="12"/>
        <v>0</v>
      </c>
      <c r="I88" s="845"/>
      <c r="J88" s="848">
        <v>7</v>
      </c>
      <c r="K88" s="3"/>
      <c r="L88" s="843">
        <f t="shared" si="13"/>
        <v>0</v>
      </c>
      <c r="M88" s="843"/>
      <c r="N88" s="843"/>
      <c r="O88" s="843"/>
      <c r="P88" s="847">
        <f t="shared" si="14"/>
        <v>0</v>
      </c>
    </row>
    <row r="89" spans="1:16">
      <c r="A89" s="26">
        <v>80</v>
      </c>
      <c r="B89" s="841" t="s">
        <v>583</v>
      </c>
      <c r="C89" s="777"/>
      <c r="D89" s="777" t="s">
        <v>1035</v>
      </c>
      <c r="E89" s="777"/>
      <c r="F89" s="842">
        <f t="shared" si="11"/>
        <v>0</v>
      </c>
      <c r="G89" s="843"/>
      <c r="H89" s="844">
        <f t="shared" si="12"/>
        <v>0</v>
      </c>
      <c r="I89" s="845"/>
      <c r="J89" s="848">
        <v>6</v>
      </c>
      <c r="K89" s="3"/>
      <c r="L89" s="843">
        <f t="shared" si="13"/>
        <v>0</v>
      </c>
      <c r="M89" s="843"/>
      <c r="N89" s="843"/>
      <c r="O89" s="843"/>
      <c r="P89" s="847">
        <f t="shared" si="14"/>
        <v>0</v>
      </c>
    </row>
    <row r="90" spans="1:16">
      <c r="A90" s="26">
        <v>81</v>
      </c>
      <c r="B90" s="841" t="s">
        <v>665</v>
      </c>
      <c r="C90" s="777"/>
      <c r="D90" s="777" t="s">
        <v>1035</v>
      </c>
      <c r="E90" s="777"/>
      <c r="F90" s="842">
        <f t="shared" si="11"/>
        <v>0</v>
      </c>
      <c r="G90" s="843"/>
      <c r="H90" s="844">
        <f t="shared" si="12"/>
        <v>0</v>
      </c>
      <c r="I90" s="845"/>
      <c r="J90" s="848">
        <v>5</v>
      </c>
      <c r="K90" s="3"/>
      <c r="L90" s="843">
        <f t="shared" si="13"/>
        <v>0</v>
      </c>
      <c r="M90" s="843"/>
      <c r="N90" s="843"/>
      <c r="O90" s="843"/>
      <c r="P90" s="847">
        <f t="shared" si="14"/>
        <v>0</v>
      </c>
    </row>
    <row r="91" spans="1:16">
      <c r="A91" s="26">
        <v>82</v>
      </c>
      <c r="B91" s="841" t="s">
        <v>585</v>
      </c>
      <c r="C91" s="777"/>
      <c r="D91" s="777" t="s">
        <v>1035</v>
      </c>
      <c r="E91" s="777"/>
      <c r="F91" s="842">
        <f t="shared" si="11"/>
        <v>0</v>
      </c>
      <c r="G91" s="843"/>
      <c r="H91" s="844">
        <f t="shared" si="12"/>
        <v>0</v>
      </c>
      <c r="I91" s="845"/>
      <c r="J91" s="848">
        <v>4</v>
      </c>
      <c r="K91" s="3"/>
      <c r="L91" s="843">
        <f t="shared" si="13"/>
        <v>0</v>
      </c>
      <c r="M91" s="843"/>
      <c r="N91" s="843"/>
      <c r="O91" s="843"/>
      <c r="P91" s="847">
        <f t="shared" si="14"/>
        <v>0</v>
      </c>
    </row>
    <row r="92" spans="1:16">
      <c r="A92" s="26">
        <v>83</v>
      </c>
      <c r="B92" s="841" t="s">
        <v>586</v>
      </c>
      <c r="C92" s="777"/>
      <c r="D92" s="777" t="s">
        <v>1035</v>
      </c>
      <c r="E92" s="777"/>
      <c r="F92" s="842">
        <f t="shared" si="11"/>
        <v>0</v>
      </c>
      <c r="G92" s="843"/>
      <c r="H92" s="844">
        <f t="shared" si="12"/>
        <v>0</v>
      </c>
      <c r="I92" s="845"/>
      <c r="J92" s="848">
        <v>3</v>
      </c>
      <c r="K92" s="3"/>
      <c r="L92" s="843">
        <f t="shared" si="13"/>
        <v>0</v>
      </c>
      <c r="M92" s="843"/>
      <c r="N92" s="843"/>
      <c r="O92" s="843"/>
      <c r="P92" s="847">
        <f t="shared" si="14"/>
        <v>0</v>
      </c>
    </row>
    <row r="93" spans="1:16">
      <c r="A93" s="26">
        <v>84</v>
      </c>
      <c r="B93" s="841" t="s">
        <v>587</v>
      </c>
      <c r="C93" s="777"/>
      <c r="D93" s="777" t="s">
        <v>1035</v>
      </c>
      <c r="E93" s="777"/>
      <c r="F93" s="842">
        <f t="shared" si="11"/>
        <v>0</v>
      </c>
      <c r="G93" s="843"/>
      <c r="H93" s="844">
        <f t="shared" si="12"/>
        <v>0</v>
      </c>
      <c r="I93" s="845"/>
      <c r="J93" s="848">
        <v>2</v>
      </c>
      <c r="K93" s="3"/>
      <c r="L93" s="843">
        <f t="shared" si="13"/>
        <v>0</v>
      </c>
      <c r="M93" s="843"/>
      <c r="N93" s="843"/>
      <c r="O93" s="843"/>
      <c r="P93" s="847">
        <f t="shared" si="14"/>
        <v>0</v>
      </c>
    </row>
    <row r="94" spans="1:16" ht="17.25">
      <c r="A94" s="26">
        <v>85</v>
      </c>
      <c r="B94" s="841" t="s">
        <v>666</v>
      </c>
      <c r="C94" s="777"/>
      <c r="D94" s="777" t="s">
        <v>1035</v>
      </c>
      <c r="E94" s="777"/>
      <c r="F94" s="842">
        <f t="shared" si="11"/>
        <v>0</v>
      </c>
      <c r="G94" s="843"/>
      <c r="H94" s="844">
        <f t="shared" si="12"/>
        <v>0</v>
      </c>
      <c r="I94" s="845"/>
      <c r="J94" s="848">
        <v>1</v>
      </c>
      <c r="K94" s="3"/>
      <c r="L94" s="849">
        <f t="shared" si="13"/>
        <v>0</v>
      </c>
      <c r="M94" s="843"/>
      <c r="N94" s="843"/>
      <c r="O94" s="843"/>
      <c r="P94" s="859">
        <f t="shared" si="14"/>
        <v>0</v>
      </c>
    </row>
    <row r="95" spans="1:16">
      <c r="A95" s="26">
        <v>86</v>
      </c>
      <c r="B95" s="841"/>
      <c r="C95" s="777"/>
      <c r="D95" s="777"/>
      <c r="E95" s="777"/>
      <c r="F95" s="843"/>
      <c r="G95" s="843"/>
      <c r="H95" s="845"/>
      <c r="I95" s="845"/>
      <c r="J95" s="3"/>
      <c r="K95" s="3"/>
      <c r="L95" s="843">
        <f>SUM(L83:L94)</f>
        <v>0</v>
      </c>
      <c r="M95" s="843"/>
      <c r="N95" s="843"/>
      <c r="O95" s="843"/>
      <c r="P95" s="851">
        <f>SUM(P83:P94)</f>
        <v>0</v>
      </c>
    </row>
    <row r="96" spans="1:16">
      <c r="A96" s="26">
        <v>87</v>
      </c>
      <c r="B96" s="841"/>
      <c r="C96" s="777"/>
      <c r="D96" s="777"/>
      <c r="E96" s="777"/>
      <c r="F96" s="843"/>
      <c r="G96" s="843"/>
      <c r="H96" s="845"/>
      <c r="I96" s="845"/>
      <c r="J96" s="3"/>
      <c r="K96" s="3"/>
      <c r="L96" s="843"/>
      <c r="M96" s="843"/>
      <c r="N96" s="843"/>
      <c r="O96" s="843"/>
      <c r="P96" s="852"/>
    </row>
    <row r="97" spans="1:16">
      <c r="A97" s="26">
        <v>88</v>
      </c>
      <c r="B97" s="841"/>
      <c r="C97" s="777"/>
      <c r="D97" s="777"/>
      <c r="E97" s="777"/>
      <c r="F97" s="843"/>
      <c r="G97" s="843"/>
      <c r="H97" s="845"/>
      <c r="I97" s="845"/>
      <c r="J97" s="3"/>
      <c r="K97" s="3"/>
      <c r="L97" s="853" t="s">
        <v>1033</v>
      </c>
      <c r="M97" s="843"/>
      <c r="N97" s="843"/>
      <c r="O97" s="843"/>
      <c r="P97" s="852"/>
    </row>
    <row r="98" spans="1:16">
      <c r="A98" s="26">
        <v>89</v>
      </c>
      <c r="B98" s="841"/>
      <c r="C98" s="777"/>
      <c r="D98" s="777"/>
      <c r="E98" s="777"/>
      <c r="F98" s="843"/>
      <c r="G98" s="843"/>
      <c r="H98" s="845"/>
      <c r="I98" s="845"/>
      <c r="J98" s="3"/>
      <c r="K98" s="3"/>
      <c r="L98" s="853"/>
      <c r="M98" s="843"/>
      <c r="N98" s="843"/>
      <c r="O98" s="843"/>
      <c r="P98" s="852"/>
    </row>
    <row r="99" spans="1:16">
      <c r="A99" s="26">
        <v>90</v>
      </c>
      <c r="B99" s="841" t="s">
        <v>1034</v>
      </c>
      <c r="C99" s="777"/>
      <c r="D99" s="777" t="s">
        <v>1036</v>
      </c>
      <c r="E99" s="777"/>
      <c r="F99" s="818">
        <f>+P95</f>
        <v>0</v>
      </c>
      <c r="G99" s="818"/>
      <c r="H99" s="844">
        <f>+N12</f>
        <v>0</v>
      </c>
      <c r="I99" s="845"/>
      <c r="J99" s="846">
        <v>12</v>
      </c>
      <c r="K99" s="777"/>
      <c r="L99" s="843">
        <f>+F99*H99*J99</f>
        <v>0</v>
      </c>
      <c r="M99" s="843"/>
      <c r="N99" s="843"/>
      <c r="O99" s="843"/>
      <c r="P99" s="852">
        <f>+F99+L99</f>
        <v>0</v>
      </c>
    </row>
    <row r="100" spans="1:16">
      <c r="A100" s="26">
        <v>91</v>
      </c>
      <c r="B100" s="841" t="s">
        <v>1034</v>
      </c>
      <c r="C100" s="777"/>
      <c r="D100" s="777" t="s">
        <v>1037</v>
      </c>
      <c r="E100" s="777"/>
      <c r="F100" s="818">
        <f>+P99</f>
        <v>0</v>
      </c>
      <c r="G100" s="818"/>
      <c r="H100" s="844">
        <f>+N13</f>
        <v>0</v>
      </c>
      <c r="I100" s="845"/>
      <c r="J100" s="846">
        <v>12</v>
      </c>
      <c r="K100" s="777"/>
      <c r="L100" s="843">
        <f t="shared" ref="L100:L102" si="15">+F100*H100*J100</f>
        <v>0</v>
      </c>
      <c r="M100" s="843"/>
      <c r="N100" s="843"/>
      <c r="O100" s="843"/>
      <c r="P100" s="852"/>
    </row>
    <row r="101" spans="1:16">
      <c r="A101" s="26">
        <v>92</v>
      </c>
      <c r="B101" s="841" t="s">
        <v>1034</v>
      </c>
      <c r="C101" s="777"/>
      <c r="D101" s="777" t="s">
        <v>1038</v>
      </c>
      <c r="E101" s="777"/>
      <c r="F101" s="818">
        <f>+P100</f>
        <v>0</v>
      </c>
      <c r="G101" s="818"/>
      <c r="H101" s="844">
        <f>+N14</f>
        <v>0</v>
      </c>
      <c r="I101" s="845"/>
      <c r="J101" s="846">
        <v>12</v>
      </c>
      <c r="K101" s="777"/>
      <c r="L101" s="843">
        <f t="shared" si="15"/>
        <v>0</v>
      </c>
      <c r="M101" s="843"/>
      <c r="N101" s="843"/>
      <c r="O101" s="843"/>
      <c r="P101" s="852"/>
    </row>
    <row r="102" spans="1:16">
      <c r="A102" s="26">
        <v>93</v>
      </c>
      <c r="B102" s="841" t="s">
        <v>1034</v>
      </c>
      <c r="C102" s="777"/>
      <c r="D102" s="777" t="s">
        <v>1039</v>
      </c>
      <c r="E102" s="777"/>
      <c r="F102" s="818">
        <f>+P101</f>
        <v>0</v>
      </c>
      <c r="G102" s="818"/>
      <c r="H102" s="844">
        <f>+N14</f>
        <v>0</v>
      </c>
      <c r="I102" s="845"/>
      <c r="J102" s="846">
        <v>12</v>
      </c>
      <c r="K102" s="777"/>
      <c r="L102" s="843">
        <f t="shared" si="15"/>
        <v>0</v>
      </c>
      <c r="M102" s="843"/>
      <c r="N102" s="843"/>
      <c r="O102" s="843"/>
      <c r="P102" s="852"/>
    </row>
    <row r="103" spans="1:16">
      <c r="A103" s="26">
        <v>94</v>
      </c>
      <c r="B103" s="841"/>
      <c r="C103" s="777"/>
      <c r="D103" s="777"/>
      <c r="E103" s="777"/>
      <c r="F103" s="818"/>
      <c r="G103" s="818"/>
      <c r="H103" s="845"/>
      <c r="I103" s="845"/>
      <c r="J103" s="777"/>
      <c r="K103" s="777"/>
      <c r="L103" s="843"/>
      <c r="M103" s="843"/>
      <c r="N103" s="843"/>
      <c r="O103" s="843"/>
      <c r="P103" s="852"/>
    </row>
    <row r="104" spans="1:16">
      <c r="A104" s="26">
        <v>95</v>
      </c>
      <c r="B104" s="841"/>
      <c r="C104" s="777"/>
      <c r="D104" s="777"/>
      <c r="E104" s="777"/>
      <c r="F104" s="818"/>
      <c r="G104" s="818"/>
      <c r="H104" s="845"/>
      <c r="I104" s="845"/>
      <c r="J104" s="777"/>
      <c r="K104" s="777"/>
      <c r="L104" s="843"/>
      <c r="M104" s="843"/>
      <c r="N104" s="843"/>
      <c r="O104" s="843"/>
      <c r="P104" s="847"/>
    </row>
    <row r="105" spans="1:16">
      <c r="A105" s="26">
        <v>96</v>
      </c>
      <c r="B105" s="854" t="s">
        <v>1040</v>
      </c>
      <c r="C105" s="855"/>
      <c r="D105" s="777"/>
      <c r="E105" s="777"/>
      <c r="F105" s="843"/>
      <c r="G105" s="843"/>
      <c r="H105" s="845"/>
      <c r="I105" s="845"/>
      <c r="J105" s="777"/>
      <c r="K105" s="777"/>
      <c r="L105" s="853" t="s">
        <v>1041</v>
      </c>
      <c r="M105" s="853"/>
      <c r="N105" s="843"/>
      <c r="O105" s="843"/>
      <c r="P105" s="847"/>
    </row>
    <row r="106" spans="1:16">
      <c r="A106" s="26">
        <v>97</v>
      </c>
      <c r="B106" s="841" t="s">
        <v>577</v>
      </c>
      <c r="C106" s="777"/>
      <c r="D106" s="777" t="s">
        <v>1042</v>
      </c>
      <c r="E106" s="777"/>
      <c r="F106" s="818">
        <f>+P102*-1</f>
        <v>0</v>
      </c>
      <c r="G106" s="818"/>
      <c r="H106" s="844">
        <f>+$N$14</f>
        <v>0</v>
      </c>
      <c r="I106" s="845"/>
      <c r="J106" s="777"/>
      <c r="K106" s="777"/>
      <c r="L106" s="843">
        <f>+F106*H106*-1</f>
        <v>0</v>
      </c>
      <c r="M106" s="843"/>
      <c r="N106" s="843">
        <f>+$N$120/12</f>
        <v>0</v>
      </c>
      <c r="O106" s="843"/>
      <c r="P106" s="847">
        <f>+F106*-1+L106-N106</f>
        <v>0</v>
      </c>
    </row>
    <row r="107" spans="1:16">
      <c r="A107" s="26">
        <v>98</v>
      </c>
      <c r="B107" s="841" t="s">
        <v>578</v>
      </c>
      <c r="C107" s="777"/>
      <c r="D107" s="777" t="s">
        <v>1042</v>
      </c>
      <c r="E107" s="777"/>
      <c r="F107" s="843">
        <f>+F106-($F$106/12)</f>
        <v>0</v>
      </c>
      <c r="G107" s="818"/>
      <c r="H107" s="844">
        <f t="shared" ref="H107:H117" si="16">+$N$14</f>
        <v>0</v>
      </c>
      <c r="I107" s="845"/>
      <c r="J107" s="777"/>
      <c r="K107" s="777"/>
      <c r="L107" s="843">
        <f t="shared" ref="L107:L117" si="17">+F107*H107*-1</f>
        <v>0</v>
      </c>
      <c r="M107" s="843"/>
      <c r="N107" s="843">
        <f t="shared" ref="N107:N117" si="18">+$N$120/12</f>
        <v>0</v>
      </c>
      <c r="O107" s="843"/>
      <c r="P107" s="847">
        <f t="shared" ref="P107:P117" si="19">+F107*-1+L107-N107</f>
        <v>0</v>
      </c>
    </row>
    <row r="108" spans="1:16">
      <c r="A108" s="26">
        <v>99</v>
      </c>
      <c r="B108" s="841" t="s">
        <v>663</v>
      </c>
      <c r="C108" s="777"/>
      <c r="D108" s="777" t="s">
        <v>1042</v>
      </c>
      <c r="E108" s="777"/>
      <c r="F108" s="843">
        <f t="shared" ref="F108:F117" si="20">+F107-($F$106/12)</f>
        <v>0</v>
      </c>
      <c r="G108" s="818"/>
      <c r="H108" s="844">
        <f t="shared" si="16"/>
        <v>0</v>
      </c>
      <c r="I108" s="845"/>
      <c r="J108" s="777"/>
      <c r="K108" s="777"/>
      <c r="L108" s="843">
        <f t="shared" si="17"/>
        <v>0</v>
      </c>
      <c r="M108" s="843"/>
      <c r="N108" s="843">
        <f t="shared" si="18"/>
        <v>0</v>
      </c>
      <c r="O108" s="843"/>
      <c r="P108" s="847">
        <f t="shared" si="19"/>
        <v>0</v>
      </c>
    </row>
    <row r="109" spans="1:16">
      <c r="A109" s="26">
        <v>100</v>
      </c>
      <c r="B109" s="841" t="s">
        <v>580</v>
      </c>
      <c r="C109" s="777"/>
      <c r="D109" s="777" t="s">
        <v>1042</v>
      </c>
      <c r="E109" s="777"/>
      <c r="F109" s="843">
        <f t="shared" si="20"/>
        <v>0</v>
      </c>
      <c r="G109" s="818"/>
      <c r="H109" s="844">
        <f t="shared" si="16"/>
        <v>0</v>
      </c>
      <c r="I109" s="845"/>
      <c r="J109" s="777"/>
      <c r="K109" s="777"/>
      <c r="L109" s="843">
        <f t="shared" si="17"/>
        <v>0</v>
      </c>
      <c r="M109" s="843"/>
      <c r="N109" s="843">
        <f t="shared" si="18"/>
        <v>0</v>
      </c>
      <c r="O109" s="843"/>
      <c r="P109" s="847">
        <f t="shared" si="19"/>
        <v>0</v>
      </c>
    </row>
    <row r="110" spans="1:16">
      <c r="A110" s="26">
        <v>101</v>
      </c>
      <c r="B110" s="841" t="s">
        <v>581</v>
      </c>
      <c r="C110" s="777"/>
      <c r="D110" s="777" t="s">
        <v>1042</v>
      </c>
      <c r="E110" s="777"/>
      <c r="F110" s="843">
        <f t="shared" si="20"/>
        <v>0</v>
      </c>
      <c r="G110" s="818"/>
      <c r="H110" s="844">
        <f t="shared" si="16"/>
        <v>0</v>
      </c>
      <c r="I110" s="845"/>
      <c r="J110" s="777"/>
      <c r="K110" s="777"/>
      <c r="L110" s="843">
        <f t="shared" si="17"/>
        <v>0</v>
      </c>
      <c r="M110" s="843"/>
      <c r="N110" s="843">
        <f t="shared" si="18"/>
        <v>0</v>
      </c>
      <c r="O110" s="843"/>
      <c r="P110" s="847">
        <f t="shared" si="19"/>
        <v>0</v>
      </c>
    </row>
    <row r="111" spans="1:16">
      <c r="A111" s="26">
        <v>102</v>
      </c>
      <c r="B111" s="841" t="s">
        <v>582</v>
      </c>
      <c r="C111" s="777"/>
      <c r="D111" s="777" t="s">
        <v>1042</v>
      </c>
      <c r="E111" s="777"/>
      <c r="F111" s="843">
        <f t="shared" si="20"/>
        <v>0</v>
      </c>
      <c r="G111" s="818"/>
      <c r="H111" s="844">
        <f t="shared" si="16"/>
        <v>0</v>
      </c>
      <c r="I111" s="845"/>
      <c r="J111" s="777"/>
      <c r="K111" s="777"/>
      <c r="L111" s="843">
        <f t="shared" si="17"/>
        <v>0</v>
      </c>
      <c r="M111" s="843"/>
      <c r="N111" s="843">
        <f t="shared" si="18"/>
        <v>0</v>
      </c>
      <c r="O111" s="843"/>
      <c r="P111" s="847">
        <f t="shared" si="19"/>
        <v>0</v>
      </c>
    </row>
    <row r="112" spans="1:16">
      <c r="A112" s="26">
        <v>103</v>
      </c>
      <c r="B112" s="841" t="s">
        <v>583</v>
      </c>
      <c r="C112" s="777"/>
      <c r="D112" s="777" t="s">
        <v>1042</v>
      </c>
      <c r="E112" s="777"/>
      <c r="F112" s="843">
        <f t="shared" si="20"/>
        <v>0</v>
      </c>
      <c r="G112" s="818"/>
      <c r="H112" s="844">
        <f t="shared" si="16"/>
        <v>0</v>
      </c>
      <c r="I112" s="845"/>
      <c r="J112" s="777"/>
      <c r="K112" s="777"/>
      <c r="L112" s="843">
        <f t="shared" si="17"/>
        <v>0</v>
      </c>
      <c r="M112" s="843"/>
      <c r="N112" s="843">
        <f t="shared" si="18"/>
        <v>0</v>
      </c>
      <c r="O112" s="843"/>
      <c r="P112" s="847">
        <f t="shared" si="19"/>
        <v>0</v>
      </c>
    </row>
    <row r="113" spans="1:16">
      <c r="A113" s="26">
        <v>104</v>
      </c>
      <c r="B113" s="841" t="s">
        <v>665</v>
      </c>
      <c r="C113" s="777"/>
      <c r="D113" s="777" t="s">
        <v>1042</v>
      </c>
      <c r="E113" s="777"/>
      <c r="F113" s="843">
        <f t="shared" si="20"/>
        <v>0</v>
      </c>
      <c r="G113" s="818"/>
      <c r="H113" s="844">
        <f t="shared" si="16"/>
        <v>0</v>
      </c>
      <c r="I113" s="845"/>
      <c r="J113" s="777"/>
      <c r="K113" s="777"/>
      <c r="L113" s="843">
        <f t="shared" si="17"/>
        <v>0</v>
      </c>
      <c r="M113" s="843"/>
      <c r="N113" s="843">
        <f t="shared" si="18"/>
        <v>0</v>
      </c>
      <c r="O113" s="843"/>
      <c r="P113" s="847">
        <f t="shared" si="19"/>
        <v>0</v>
      </c>
    </row>
    <row r="114" spans="1:16">
      <c r="A114" s="26">
        <v>105</v>
      </c>
      <c r="B114" s="841" t="s">
        <v>585</v>
      </c>
      <c r="C114" s="777"/>
      <c r="D114" s="777" t="s">
        <v>1042</v>
      </c>
      <c r="E114" s="777"/>
      <c r="F114" s="843">
        <f t="shared" si="20"/>
        <v>0</v>
      </c>
      <c r="G114" s="818"/>
      <c r="H114" s="844">
        <f t="shared" si="16"/>
        <v>0</v>
      </c>
      <c r="I114" s="845"/>
      <c r="J114" s="777"/>
      <c r="K114" s="777"/>
      <c r="L114" s="843">
        <f t="shared" si="17"/>
        <v>0</v>
      </c>
      <c r="M114" s="843"/>
      <c r="N114" s="843">
        <f t="shared" si="18"/>
        <v>0</v>
      </c>
      <c r="O114" s="843"/>
      <c r="P114" s="847">
        <f t="shared" si="19"/>
        <v>0</v>
      </c>
    </row>
    <row r="115" spans="1:16">
      <c r="A115" s="26">
        <v>106</v>
      </c>
      <c r="B115" s="841" t="s">
        <v>586</v>
      </c>
      <c r="C115" s="777"/>
      <c r="D115" s="777" t="s">
        <v>1042</v>
      </c>
      <c r="E115" s="777"/>
      <c r="F115" s="843">
        <f t="shared" si="20"/>
        <v>0</v>
      </c>
      <c r="G115" s="818"/>
      <c r="H115" s="844">
        <f t="shared" si="16"/>
        <v>0</v>
      </c>
      <c r="I115" s="845"/>
      <c r="J115" s="777"/>
      <c r="K115" s="777"/>
      <c r="L115" s="843">
        <f t="shared" si="17"/>
        <v>0</v>
      </c>
      <c r="M115" s="843"/>
      <c r="N115" s="843">
        <f t="shared" si="18"/>
        <v>0</v>
      </c>
      <c r="O115" s="843"/>
      <c r="P115" s="847">
        <f t="shared" si="19"/>
        <v>0</v>
      </c>
    </row>
    <row r="116" spans="1:16">
      <c r="A116" s="26">
        <v>107</v>
      </c>
      <c r="B116" s="841" t="s">
        <v>587</v>
      </c>
      <c r="C116" s="777"/>
      <c r="D116" s="777" t="s">
        <v>1042</v>
      </c>
      <c r="E116" s="777"/>
      <c r="F116" s="843">
        <f t="shared" si="20"/>
        <v>0</v>
      </c>
      <c r="G116" s="818"/>
      <c r="H116" s="844">
        <f t="shared" si="16"/>
        <v>0</v>
      </c>
      <c r="I116" s="845"/>
      <c r="J116" s="777"/>
      <c r="K116" s="777"/>
      <c r="L116" s="843">
        <f t="shared" si="17"/>
        <v>0</v>
      </c>
      <c r="M116" s="843"/>
      <c r="N116" s="843">
        <f t="shared" si="18"/>
        <v>0</v>
      </c>
      <c r="O116" s="843"/>
      <c r="P116" s="847">
        <f t="shared" si="19"/>
        <v>0</v>
      </c>
    </row>
    <row r="117" spans="1:16">
      <c r="A117" s="26">
        <v>108</v>
      </c>
      <c r="B117" s="841" t="s">
        <v>666</v>
      </c>
      <c r="C117" s="777"/>
      <c r="D117" s="777" t="s">
        <v>1042</v>
      </c>
      <c r="E117" s="777"/>
      <c r="F117" s="843">
        <f t="shared" si="20"/>
        <v>0</v>
      </c>
      <c r="G117" s="818"/>
      <c r="H117" s="844">
        <f t="shared" si="16"/>
        <v>0</v>
      </c>
      <c r="I117" s="845"/>
      <c r="J117" s="777"/>
      <c r="K117" s="777"/>
      <c r="L117" s="849">
        <f t="shared" si="17"/>
        <v>0</v>
      </c>
      <c r="M117" s="843"/>
      <c r="N117" s="843">
        <f t="shared" si="18"/>
        <v>0</v>
      </c>
      <c r="O117" s="843"/>
      <c r="P117" s="847">
        <f t="shared" si="19"/>
        <v>0</v>
      </c>
    </row>
    <row r="118" spans="1:16">
      <c r="A118" s="26">
        <v>109</v>
      </c>
      <c r="B118" s="841"/>
      <c r="C118" s="777"/>
      <c r="D118" s="777"/>
      <c r="E118" s="777"/>
      <c r="F118" s="818"/>
      <c r="G118" s="818"/>
      <c r="H118" s="845"/>
      <c r="I118" s="845"/>
      <c r="J118" s="777"/>
      <c r="K118" s="777"/>
      <c r="L118" s="843">
        <f>+SUM(L106:L117)</f>
        <v>0</v>
      </c>
      <c r="M118" s="843"/>
      <c r="N118" s="843"/>
      <c r="O118" s="843"/>
      <c r="P118" s="847"/>
    </row>
    <row r="119" spans="1:16">
      <c r="A119" s="26">
        <v>110</v>
      </c>
      <c r="B119" s="652"/>
      <c r="C119" s="3"/>
      <c r="D119" s="3"/>
      <c r="E119" s="3"/>
      <c r="F119" s="3"/>
      <c r="G119" s="3"/>
      <c r="H119" s="3"/>
      <c r="I119" s="3"/>
      <c r="J119" s="3"/>
      <c r="K119" s="3"/>
      <c r="L119" s="3"/>
      <c r="M119" s="3"/>
      <c r="N119" s="3"/>
      <c r="O119" s="3"/>
      <c r="P119" s="643"/>
    </row>
    <row r="120" spans="1:16">
      <c r="A120" s="26">
        <v>111</v>
      </c>
      <c r="B120" s="841" t="s">
        <v>1052</v>
      </c>
      <c r="C120" s="777"/>
      <c r="D120" s="3"/>
      <c r="E120" s="3"/>
      <c r="F120" s="3" t="s">
        <v>1053</v>
      </c>
      <c r="G120" s="3"/>
      <c r="H120" s="3"/>
      <c r="I120" s="3"/>
      <c r="J120" s="3"/>
      <c r="K120" s="3"/>
      <c r="L120" s="3"/>
      <c r="M120" s="3"/>
      <c r="N120" s="638">
        <f>+F106*-1+L118</f>
        <v>0</v>
      </c>
      <c r="O120" s="3"/>
      <c r="P120" s="643"/>
    </row>
    <row r="121" spans="1:16">
      <c r="A121" s="26">
        <v>112</v>
      </c>
      <c r="B121" s="841" t="s">
        <v>1045</v>
      </c>
      <c r="C121" s="777"/>
      <c r="D121" s="3"/>
      <c r="E121" s="3"/>
      <c r="F121" s="3" t="s">
        <v>1054</v>
      </c>
      <c r="G121" s="3"/>
      <c r="H121" s="3"/>
      <c r="I121" s="3"/>
      <c r="J121" s="3"/>
      <c r="K121" s="3"/>
      <c r="L121" s="3"/>
      <c r="M121" s="3"/>
      <c r="N121" s="638"/>
      <c r="O121" s="3"/>
      <c r="P121" s="643"/>
    </row>
    <row r="122" spans="1:16">
      <c r="A122" s="26">
        <v>113</v>
      </c>
      <c r="B122" s="856" t="s">
        <v>1047</v>
      </c>
      <c r="C122" s="857"/>
      <c r="D122" s="322"/>
      <c r="E122" s="322"/>
      <c r="F122" s="322" t="s">
        <v>1055</v>
      </c>
      <c r="G122" s="322"/>
      <c r="H122" s="322"/>
      <c r="I122" s="322"/>
      <c r="J122" s="322"/>
      <c r="K122" s="322"/>
      <c r="L122" s="322"/>
      <c r="M122" s="322"/>
      <c r="N122" s="656"/>
      <c r="O122" s="322"/>
      <c r="P122" s="323"/>
    </row>
    <row r="123" spans="1:16">
      <c r="A123" s="26">
        <v>114</v>
      </c>
      <c r="B123" s="3"/>
      <c r="C123" s="3"/>
      <c r="D123" s="3"/>
      <c r="E123" s="3"/>
      <c r="F123" s="3"/>
      <c r="G123" s="3"/>
      <c r="H123" s="3"/>
      <c r="I123" s="3"/>
      <c r="J123" s="3"/>
      <c r="K123" s="3"/>
      <c r="L123" s="3"/>
      <c r="M123" s="3"/>
      <c r="N123" s="3"/>
      <c r="O123" s="3"/>
      <c r="P123" s="3"/>
    </row>
    <row r="124" spans="1:16">
      <c r="A124" s="26">
        <v>115</v>
      </c>
      <c r="B124" s="3"/>
      <c r="C124" s="3"/>
      <c r="D124" s="3"/>
      <c r="E124" s="3"/>
      <c r="F124" s="3"/>
      <c r="G124" s="3"/>
      <c r="H124" s="3"/>
      <c r="I124" s="3"/>
      <c r="J124" s="3"/>
      <c r="K124" s="3"/>
      <c r="L124" s="3"/>
      <c r="M124" s="3"/>
      <c r="N124" s="3"/>
      <c r="O124" s="3"/>
      <c r="P124" s="3"/>
    </row>
    <row r="125" spans="1:16">
      <c r="A125" s="26">
        <v>116</v>
      </c>
      <c r="B125" s="831" t="s">
        <v>1056</v>
      </c>
      <c r="C125" s="832"/>
      <c r="D125" s="833"/>
      <c r="E125" s="833"/>
      <c r="F125" s="833"/>
      <c r="G125" s="833"/>
      <c r="H125" s="834"/>
      <c r="I125" s="834"/>
      <c r="J125" s="834"/>
      <c r="K125" s="834"/>
      <c r="L125" s="835"/>
      <c r="M125" s="835"/>
      <c r="N125" s="833"/>
      <c r="O125" s="833"/>
      <c r="P125" s="836"/>
    </row>
    <row r="126" spans="1:16">
      <c r="A126" s="26">
        <v>117</v>
      </c>
      <c r="B126" s="837"/>
      <c r="C126" s="838"/>
      <c r="D126" s="778"/>
      <c r="E126" s="778"/>
      <c r="F126" s="778"/>
      <c r="G126" s="778"/>
      <c r="H126" s="777"/>
      <c r="I126" s="777"/>
      <c r="J126" s="777"/>
      <c r="K126" s="777"/>
      <c r="L126" s="780" t="s">
        <v>1030</v>
      </c>
      <c r="M126" s="780"/>
      <c r="N126" s="778"/>
      <c r="O126" s="778"/>
      <c r="P126" s="839"/>
    </row>
    <row r="127" spans="1:16">
      <c r="A127" s="26">
        <v>118</v>
      </c>
      <c r="B127" s="840"/>
      <c r="C127" s="838"/>
      <c r="D127" s="778"/>
      <c r="E127" s="778"/>
      <c r="F127" s="778"/>
      <c r="G127" s="778"/>
      <c r="H127" s="777"/>
      <c r="I127" s="777"/>
      <c r="J127" s="777"/>
      <c r="K127" s="777"/>
      <c r="L127" s="780"/>
      <c r="M127" s="780"/>
      <c r="N127" s="778"/>
      <c r="O127" s="778"/>
      <c r="P127" s="839"/>
    </row>
    <row r="128" spans="1:16">
      <c r="A128" s="26">
        <v>119</v>
      </c>
      <c r="B128" s="841" t="s">
        <v>577</v>
      </c>
      <c r="C128" s="777"/>
      <c r="D128" s="777" t="s">
        <v>1036</v>
      </c>
      <c r="E128" s="777"/>
      <c r="F128" s="842">
        <f>+$L$12/12</f>
        <v>0</v>
      </c>
      <c r="G128" s="843"/>
      <c r="H128" s="844">
        <f>+$N$12</f>
        <v>0</v>
      </c>
      <c r="I128" s="845"/>
      <c r="J128" s="846">
        <v>12</v>
      </c>
      <c r="K128" s="777"/>
      <c r="L128" s="843">
        <f>+F128*H128*J128*-1</f>
        <v>0</v>
      </c>
      <c r="M128" s="843"/>
      <c r="N128" s="843"/>
      <c r="O128" s="843"/>
      <c r="P128" s="847">
        <f>+F128*-1+L128</f>
        <v>0</v>
      </c>
    </row>
    <row r="129" spans="1:16">
      <c r="A129" s="26">
        <v>120</v>
      </c>
      <c r="B129" s="841" t="s">
        <v>578</v>
      </c>
      <c r="C129" s="777"/>
      <c r="D129" s="777" t="s">
        <v>1036</v>
      </c>
      <c r="E129" s="777"/>
      <c r="F129" s="842">
        <f t="shared" ref="F129:F139" si="21">+$L$12/12</f>
        <v>0</v>
      </c>
      <c r="G129" s="843"/>
      <c r="H129" s="844">
        <f t="shared" ref="H129:H139" si="22">+$N$12</f>
        <v>0</v>
      </c>
      <c r="I129" s="845"/>
      <c r="J129" s="848">
        <v>11</v>
      </c>
      <c r="K129" s="3"/>
      <c r="L129" s="843">
        <f t="shared" ref="L129:L139" si="23">+F129*H129*J129*-1</f>
        <v>0</v>
      </c>
      <c r="M129" s="843"/>
      <c r="N129" s="843"/>
      <c r="O129" s="843"/>
      <c r="P129" s="847">
        <f t="shared" ref="P129:P139" si="24">+F129*-1+L129</f>
        <v>0</v>
      </c>
    </row>
    <row r="130" spans="1:16">
      <c r="A130" s="26">
        <v>121</v>
      </c>
      <c r="B130" s="841" t="s">
        <v>663</v>
      </c>
      <c r="C130" s="777"/>
      <c r="D130" s="777" t="s">
        <v>1036</v>
      </c>
      <c r="E130" s="777"/>
      <c r="F130" s="842">
        <f t="shared" si="21"/>
        <v>0</v>
      </c>
      <c r="G130" s="843"/>
      <c r="H130" s="844">
        <f t="shared" si="22"/>
        <v>0</v>
      </c>
      <c r="I130" s="845"/>
      <c r="J130" s="848">
        <v>10</v>
      </c>
      <c r="K130" s="3"/>
      <c r="L130" s="843">
        <f t="shared" si="23"/>
        <v>0</v>
      </c>
      <c r="M130" s="843"/>
      <c r="N130" s="843"/>
      <c r="O130" s="843"/>
      <c r="P130" s="847">
        <f t="shared" si="24"/>
        <v>0</v>
      </c>
    </row>
    <row r="131" spans="1:16">
      <c r="A131" s="26">
        <v>122</v>
      </c>
      <c r="B131" s="841" t="s">
        <v>580</v>
      </c>
      <c r="C131" s="777"/>
      <c r="D131" s="777" t="s">
        <v>1036</v>
      </c>
      <c r="E131" s="777"/>
      <c r="F131" s="842">
        <f t="shared" si="21"/>
        <v>0</v>
      </c>
      <c r="G131" s="843"/>
      <c r="H131" s="844">
        <f t="shared" si="22"/>
        <v>0</v>
      </c>
      <c r="I131" s="845"/>
      <c r="J131" s="848">
        <v>9</v>
      </c>
      <c r="K131" s="3"/>
      <c r="L131" s="843">
        <f t="shared" si="23"/>
        <v>0</v>
      </c>
      <c r="M131" s="843"/>
      <c r="N131" s="843"/>
      <c r="O131" s="843"/>
      <c r="P131" s="847">
        <f t="shared" si="24"/>
        <v>0</v>
      </c>
    </row>
    <row r="132" spans="1:16">
      <c r="A132" s="26">
        <v>123</v>
      </c>
      <c r="B132" s="841" t="s">
        <v>581</v>
      </c>
      <c r="C132" s="777"/>
      <c r="D132" s="777" t="s">
        <v>1036</v>
      </c>
      <c r="E132" s="777"/>
      <c r="F132" s="842">
        <f t="shared" si="21"/>
        <v>0</v>
      </c>
      <c r="G132" s="843"/>
      <c r="H132" s="844">
        <f t="shared" si="22"/>
        <v>0</v>
      </c>
      <c r="I132" s="845"/>
      <c r="J132" s="848">
        <v>8</v>
      </c>
      <c r="K132" s="3"/>
      <c r="L132" s="843">
        <f t="shared" si="23"/>
        <v>0</v>
      </c>
      <c r="M132" s="843"/>
      <c r="N132" s="843"/>
      <c r="O132" s="843"/>
      <c r="P132" s="847">
        <f t="shared" si="24"/>
        <v>0</v>
      </c>
    </row>
    <row r="133" spans="1:16">
      <c r="A133" s="26">
        <v>124</v>
      </c>
      <c r="B133" s="841" t="s">
        <v>582</v>
      </c>
      <c r="C133" s="777"/>
      <c r="D133" s="777" t="s">
        <v>1036</v>
      </c>
      <c r="E133" s="777"/>
      <c r="F133" s="842">
        <f t="shared" si="21"/>
        <v>0</v>
      </c>
      <c r="G133" s="843"/>
      <c r="H133" s="844">
        <f t="shared" si="22"/>
        <v>0</v>
      </c>
      <c r="I133" s="845"/>
      <c r="J133" s="848">
        <v>7</v>
      </c>
      <c r="K133" s="3"/>
      <c r="L133" s="843">
        <f t="shared" si="23"/>
        <v>0</v>
      </c>
      <c r="M133" s="843"/>
      <c r="N133" s="843"/>
      <c r="O133" s="843"/>
      <c r="P133" s="847">
        <f t="shared" si="24"/>
        <v>0</v>
      </c>
    </row>
    <row r="134" spans="1:16">
      <c r="A134" s="26">
        <v>125</v>
      </c>
      <c r="B134" s="841" t="s">
        <v>583</v>
      </c>
      <c r="C134" s="777"/>
      <c r="D134" s="777" t="s">
        <v>1036</v>
      </c>
      <c r="E134" s="777"/>
      <c r="F134" s="842">
        <f t="shared" si="21"/>
        <v>0</v>
      </c>
      <c r="G134" s="843"/>
      <c r="H134" s="844">
        <f t="shared" si="22"/>
        <v>0</v>
      </c>
      <c r="I134" s="845"/>
      <c r="J134" s="848">
        <v>6</v>
      </c>
      <c r="K134" s="3"/>
      <c r="L134" s="843">
        <f t="shared" si="23"/>
        <v>0</v>
      </c>
      <c r="M134" s="843"/>
      <c r="N134" s="843"/>
      <c r="O134" s="843"/>
      <c r="P134" s="847">
        <f t="shared" si="24"/>
        <v>0</v>
      </c>
    </row>
    <row r="135" spans="1:16">
      <c r="A135" s="26">
        <v>126</v>
      </c>
      <c r="B135" s="841" t="s">
        <v>665</v>
      </c>
      <c r="C135" s="777"/>
      <c r="D135" s="777" t="s">
        <v>1036</v>
      </c>
      <c r="E135" s="777"/>
      <c r="F135" s="842">
        <f t="shared" si="21"/>
        <v>0</v>
      </c>
      <c r="G135" s="843"/>
      <c r="H135" s="844">
        <f t="shared" si="22"/>
        <v>0</v>
      </c>
      <c r="I135" s="845"/>
      <c r="J135" s="848">
        <v>5</v>
      </c>
      <c r="K135" s="3"/>
      <c r="L135" s="843">
        <f t="shared" si="23"/>
        <v>0</v>
      </c>
      <c r="M135" s="843"/>
      <c r="N135" s="843"/>
      <c r="O135" s="843"/>
      <c r="P135" s="847">
        <f t="shared" si="24"/>
        <v>0</v>
      </c>
    </row>
    <row r="136" spans="1:16">
      <c r="A136" s="26">
        <v>127</v>
      </c>
      <c r="B136" s="841" t="s">
        <v>585</v>
      </c>
      <c r="C136" s="777"/>
      <c r="D136" s="777" t="s">
        <v>1036</v>
      </c>
      <c r="E136" s="777"/>
      <c r="F136" s="842">
        <f t="shared" si="21"/>
        <v>0</v>
      </c>
      <c r="G136" s="843"/>
      <c r="H136" s="844">
        <f t="shared" si="22"/>
        <v>0</v>
      </c>
      <c r="I136" s="845"/>
      <c r="J136" s="848">
        <v>4</v>
      </c>
      <c r="K136" s="3"/>
      <c r="L136" s="843">
        <f t="shared" si="23"/>
        <v>0</v>
      </c>
      <c r="M136" s="843"/>
      <c r="N136" s="843"/>
      <c r="O136" s="843"/>
      <c r="P136" s="847">
        <f t="shared" si="24"/>
        <v>0</v>
      </c>
    </row>
    <row r="137" spans="1:16">
      <c r="A137" s="26">
        <v>128</v>
      </c>
      <c r="B137" s="841" t="s">
        <v>586</v>
      </c>
      <c r="C137" s="777"/>
      <c r="D137" s="777" t="s">
        <v>1036</v>
      </c>
      <c r="E137" s="777"/>
      <c r="F137" s="842">
        <f t="shared" si="21"/>
        <v>0</v>
      </c>
      <c r="G137" s="843"/>
      <c r="H137" s="844">
        <f t="shared" si="22"/>
        <v>0</v>
      </c>
      <c r="I137" s="845"/>
      <c r="J137" s="848">
        <v>3</v>
      </c>
      <c r="K137" s="3"/>
      <c r="L137" s="843">
        <f t="shared" si="23"/>
        <v>0</v>
      </c>
      <c r="M137" s="843"/>
      <c r="N137" s="843"/>
      <c r="O137" s="843"/>
      <c r="P137" s="847">
        <f t="shared" si="24"/>
        <v>0</v>
      </c>
    </row>
    <row r="138" spans="1:16">
      <c r="A138" s="26">
        <v>129</v>
      </c>
      <c r="B138" s="841" t="s">
        <v>587</v>
      </c>
      <c r="C138" s="777"/>
      <c r="D138" s="777" t="s">
        <v>1036</v>
      </c>
      <c r="E138" s="777"/>
      <c r="F138" s="842">
        <f t="shared" si="21"/>
        <v>0</v>
      </c>
      <c r="G138" s="843"/>
      <c r="H138" s="844">
        <f t="shared" si="22"/>
        <v>0</v>
      </c>
      <c r="I138" s="845"/>
      <c r="J138" s="848">
        <v>2</v>
      </c>
      <c r="K138" s="3"/>
      <c r="L138" s="843">
        <f t="shared" si="23"/>
        <v>0</v>
      </c>
      <c r="M138" s="843"/>
      <c r="N138" s="843"/>
      <c r="O138" s="843"/>
      <c r="P138" s="847">
        <f t="shared" si="24"/>
        <v>0</v>
      </c>
    </row>
    <row r="139" spans="1:16" ht="17.25">
      <c r="A139" s="26">
        <v>130</v>
      </c>
      <c r="B139" s="841" t="s">
        <v>666</v>
      </c>
      <c r="C139" s="777"/>
      <c r="D139" s="777" t="s">
        <v>1036</v>
      </c>
      <c r="E139" s="777"/>
      <c r="F139" s="842">
        <f t="shared" si="21"/>
        <v>0</v>
      </c>
      <c r="G139" s="843"/>
      <c r="H139" s="844">
        <f t="shared" si="22"/>
        <v>0</v>
      </c>
      <c r="I139" s="845"/>
      <c r="J139" s="848">
        <v>1</v>
      </c>
      <c r="K139" s="3"/>
      <c r="L139" s="860">
        <f t="shared" si="23"/>
        <v>0</v>
      </c>
      <c r="M139" s="843"/>
      <c r="N139" s="843"/>
      <c r="O139" s="843"/>
      <c r="P139" s="859">
        <f t="shared" si="24"/>
        <v>0</v>
      </c>
    </row>
    <row r="140" spans="1:16">
      <c r="A140" s="26">
        <v>131</v>
      </c>
      <c r="B140" s="841"/>
      <c r="C140" s="777"/>
      <c r="D140" s="777"/>
      <c r="E140" s="777"/>
      <c r="F140" s="843"/>
      <c r="G140" s="843"/>
      <c r="H140" s="845"/>
      <c r="I140" s="845"/>
      <c r="J140" s="3"/>
      <c r="K140" s="3"/>
      <c r="L140" s="843">
        <f>SUM(L128:L139)</f>
        <v>0</v>
      </c>
      <c r="M140" s="843"/>
      <c r="N140" s="843"/>
      <c r="O140" s="843"/>
      <c r="P140" s="851">
        <f>SUM(P128:P139)</f>
        <v>0</v>
      </c>
    </row>
    <row r="141" spans="1:16">
      <c r="A141" s="26">
        <v>132</v>
      </c>
      <c r="B141" s="841"/>
      <c r="C141" s="777"/>
      <c r="D141" s="777"/>
      <c r="E141" s="777"/>
      <c r="F141" s="843"/>
      <c r="G141" s="843"/>
      <c r="H141" s="845"/>
      <c r="I141" s="845"/>
      <c r="J141" s="3"/>
      <c r="K141" s="3"/>
      <c r="L141" s="843"/>
      <c r="M141" s="843"/>
      <c r="N141" s="843"/>
      <c r="O141" s="843"/>
      <c r="P141" s="852"/>
    </row>
    <row r="142" spans="1:16">
      <c r="A142" s="26">
        <v>133</v>
      </c>
      <c r="B142" s="841"/>
      <c r="C142" s="777"/>
      <c r="D142" s="777"/>
      <c r="E142" s="777"/>
      <c r="F142" s="843"/>
      <c r="G142" s="843"/>
      <c r="H142" s="845"/>
      <c r="I142" s="845"/>
      <c r="J142" s="3"/>
      <c r="K142" s="3"/>
      <c r="L142" s="853" t="s">
        <v>1033</v>
      </c>
      <c r="M142" s="843"/>
      <c r="N142" s="843"/>
      <c r="O142" s="843"/>
      <c r="P142" s="852"/>
    </row>
    <row r="143" spans="1:16">
      <c r="A143" s="26">
        <v>134</v>
      </c>
      <c r="B143" s="841"/>
      <c r="C143" s="777"/>
      <c r="D143" s="777"/>
      <c r="E143" s="777"/>
      <c r="F143" s="843"/>
      <c r="G143" s="843"/>
      <c r="H143" s="845"/>
      <c r="I143" s="845"/>
      <c r="J143" s="3"/>
      <c r="K143" s="3"/>
      <c r="L143" s="853"/>
      <c r="M143" s="843"/>
      <c r="N143" s="843"/>
      <c r="O143" s="843"/>
      <c r="P143" s="852"/>
    </row>
    <row r="144" spans="1:16">
      <c r="A144" s="26">
        <v>135</v>
      </c>
      <c r="B144" s="841" t="s">
        <v>1034</v>
      </c>
      <c r="C144" s="777"/>
      <c r="D144" s="3" t="s">
        <v>1037</v>
      </c>
      <c r="E144" s="777"/>
      <c r="F144" s="818">
        <f>+P140</f>
        <v>0</v>
      </c>
      <c r="G144" s="818"/>
      <c r="H144" s="844">
        <f>+N13</f>
        <v>0</v>
      </c>
      <c r="I144" s="845"/>
      <c r="J144" s="846">
        <v>12</v>
      </c>
      <c r="K144" s="777"/>
      <c r="L144" s="843">
        <f>+F144*H144*J144</f>
        <v>0</v>
      </c>
      <c r="M144" s="843"/>
      <c r="N144" s="843"/>
      <c r="O144" s="843"/>
      <c r="P144" s="852">
        <f>+F144+L144</f>
        <v>0</v>
      </c>
    </row>
    <row r="145" spans="1:16">
      <c r="A145" s="26">
        <v>136</v>
      </c>
      <c r="B145" s="841" t="s">
        <v>1034</v>
      </c>
      <c r="C145" s="777"/>
      <c r="D145" s="3" t="s">
        <v>1038</v>
      </c>
      <c r="E145" s="777"/>
      <c r="F145" s="818"/>
      <c r="G145" s="818"/>
      <c r="H145" s="844">
        <f>+N14</f>
        <v>0</v>
      </c>
      <c r="I145" s="845"/>
      <c r="J145" s="846">
        <v>12</v>
      </c>
      <c r="K145" s="777"/>
      <c r="L145" s="843">
        <f t="shared" ref="L145:L146" si="25">+F145*H145*J145</f>
        <v>0</v>
      </c>
      <c r="M145" s="843"/>
      <c r="N145" s="843"/>
      <c r="O145" s="843"/>
      <c r="P145" s="852">
        <f t="shared" ref="P145:P146" si="26">+F145+L145</f>
        <v>0</v>
      </c>
    </row>
    <row r="146" spans="1:16">
      <c r="A146" s="26">
        <v>137</v>
      </c>
      <c r="B146" s="841" t="s">
        <v>1034</v>
      </c>
      <c r="C146" s="777"/>
      <c r="D146" s="3" t="s">
        <v>1039</v>
      </c>
      <c r="E146" s="777"/>
      <c r="F146" s="818"/>
      <c r="G146" s="818"/>
      <c r="H146" s="844">
        <f>+N14</f>
        <v>0</v>
      </c>
      <c r="I146" s="845"/>
      <c r="J146" s="846">
        <v>12</v>
      </c>
      <c r="K146" s="777"/>
      <c r="L146" s="843">
        <f t="shared" si="25"/>
        <v>0</v>
      </c>
      <c r="M146" s="843"/>
      <c r="N146" s="843"/>
      <c r="O146" s="843"/>
      <c r="P146" s="852">
        <f t="shared" si="26"/>
        <v>0</v>
      </c>
    </row>
    <row r="147" spans="1:16">
      <c r="A147" s="26">
        <v>138</v>
      </c>
      <c r="B147" s="841"/>
      <c r="C147" s="777"/>
      <c r="D147" s="777"/>
      <c r="E147" s="777"/>
      <c r="F147" s="818"/>
      <c r="G147" s="818"/>
      <c r="H147" s="845"/>
      <c r="I147" s="845"/>
      <c r="J147" s="777"/>
      <c r="K147" s="777"/>
      <c r="L147" s="843"/>
      <c r="M147" s="843"/>
      <c r="N147" s="843"/>
      <c r="O147" s="843"/>
      <c r="P147" s="852"/>
    </row>
    <row r="148" spans="1:16">
      <c r="A148" s="26">
        <v>139</v>
      </c>
      <c r="B148" s="841"/>
      <c r="C148" s="777"/>
      <c r="D148" s="777"/>
      <c r="E148" s="777"/>
      <c r="F148" s="818"/>
      <c r="G148" s="818"/>
      <c r="H148" s="845"/>
      <c r="I148" s="845"/>
      <c r="J148" s="777"/>
      <c r="K148" s="777"/>
      <c r="L148" s="843"/>
      <c r="M148" s="843"/>
      <c r="N148" s="843"/>
      <c r="O148" s="843"/>
      <c r="P148" s="847"/>
    </row>
    <row r="149" spans="1:16">
      <c r="A149" s="26">
        <v>140</v>
      </c>
      <c r="B149" s="854" t="s">
        <v>1040</v>
      </c>
      <c r="C149" s="855"/>
      <c r="D149" s="777"/>
      <c r="E149" s="777"/>
      <c r="F149" s="843"/>
      <c r="G149" s="843"/>
      <c r="H149" s="845"/>
      <c r="I149" s="845"/>
      <c r="J149" s="777"/>
      <c r="K149" s="777"/>
      <c r="L149" s="853" t="s">
        <v>1041</v>
      </c>
      <c r="M149" s="853"/>
      <c r="N149" s="843"/>
      <c r="O149" s="843"/>
      <c r="P149" s="847"/>
    </row>
    <row r="150" spans="1:16">
      <c r="A150" s="26">
        <v>141</v>
      </c>
      <c r="B150" s="841" t="s">
        <v>577</v>
      </c>
      <c r="C150" s="777"/>
      <c r="D150" s="777" t="s">
        <v>1042</v>
      </c>
      <c r="E150" s="777"/>
      <c r="F150" s="861">
        <f>+P146*-1</f>
        <v>0</v>
      </c>
      <c r="G150" s="818"/>
      <c r="H150" s="844">
        <f>+$N$14</f>
        <v>0</v>
      </c>
      <c r="I150" s="845"/>
      <c r="J150" s="777"/>
      <c r="K150" s="777"/>
      <c r="L150" s="843">
        <f>+F150*H150*-1</f>
        <v>0</v>
      </c>
      <c r="M150" s="843"/>
      <c r="N150" s="843">
        <f>+$N$164/12</f>
        <v>0</v>
      </c>
      <c r="O150" s="843"/>
      <c r="P150" s="847">
        <f>+F150*-1-N150</f>
        <v>0</v>
      </c>
    </row>
    <row r="151" spans="1:16">
      <c r="A151" s="26">
        <v>142</v>
      </c>
      <c r="B151" s="841" t="s">
        <v>578</v>
      </c>
      <c r="C151" s="777"/>
      <c r="D151" s="777" t="s">
        <v>1042</v>
      </c>
      <c r="E151" s="777"/>
      <c r="F151" s="843">
        <f>+F150-($F$150/12)</f>
        <v>0</v>
      </c>
      <c r="G151" s="818"/>
      <c r="H151" s="844">
        <f t="shared" ref="H151:H161" si="27">+$N$14</f>
        <v>0</v>
      </c>
      <c r="I151" s="845"/>
      <c r="J151" s="777"/>
      <c r="K151" s="777"/>
      <c r="L151" s="843">
        <f t="shared" ref="L151:L161" si="28">+F151*H151*-1</f>
        <v>0</v>
      </c>
      <c r="M151" s="843"/>
      <c r="N151" s="843">
        <f t="shared" ref="N151:N161" si="29">+$N$164/12</f>
        <v>0</v>
      </c>
      <c r="O151" s="843"/>
      <c r="P151" s="847">
        <f t="shared" ref="P151:P161" si="30">+F151*-1-N151</f>
        <v>0</v>
      </c>
    </row>
    <row r="152" spans="1:16">
      <c r="A152" s="26">
        <v>143</v>
      </c>
      <c r="B152" s="841" t="s">
        <v>663</v>
      </c>
      <c r="C152" s="777"/>
      <c r="D152" s="777" t="s">
        <v>1042</v>
      </c>
      <c r="E152" s="777"/>
      <c r="F152" s="843">
        <f t="shared" ref="F152:F161" si="31">+F151-($F$150/12)</f>
        <v>0</v>
      </c>
      <c r="G152" s="818"/>
      <c r="H152" s="844">
        <f t="shared" si="27"/>
        <v>0</v>
      </c>
      <c r="I152" s="845"/>
      <c r="J152" s="777"/>
      <c r="K152" s="777"/>
      <c r="L152" s="843">
        <f t="shared" si="28"/>
        <v>0</v>
      </c>
      <c r="M152" s="843"/>
      <c r="N152" s="843">
        <f t="shared" si="29"/>
        <v>0</v>
      </c>
      <c r="O152" s="843"/>
      <c r="P152" s="847">
        <f t="shared" si="30"/>
        <v>0</v>
      </c>
    </row>
    <row r="153" spans="1:16">
      <c r="A153" s="26">
        <v>144</v>
      </c>
      <c r="B153" s="841" t="s">
        <v>580</v>
      </c>
      <c r="C153" s="777"/>
      <c r="D153" s="777" t="s">
        <v>1042</v>
      </c>
      <c r="E153" s="777"/>
      <c r="F153" s="843">
        <f t="shared" si="31"/>
        <v>0</v>
      </c>
      <c r="G153" s="818"/>
      <c r="H153" s="844">
        <f t="shared" si="27"/>
        <v>0</v>
      </c>
      <c r="I153" s="845"/>
      <c r="J153" s="777"/>
      <c r="K153" s="777"/>
      <c r="L153" s="843">
        <f t="shared" si="28"/>
        <v>0</v>
      </c>
      <c r="M153" s="843"/>
      <c r="N153" s="843">
        <f t="shared" si="29"/>
        <v>0</v>
      </c>
      <c r="O153" s="843"/>
      <c r="P153" s="847">
        <f t="shared" si="30"/>
        <v>0</v>
      </c>
    </row>
    <row r="154" spans="1:16">
      <c r="A154" s="26">
        <v>145</v>
      </c>
      <c r="B154" s="841" t="s">
        <v>581</v>
      </c>
      <c r="C154" s="777"/>
      <c r="D154" s="777" t="s">
        <v>1042</v>
      </c>
      <c r="E154" s="777"/>
      <c r="F154" s="843">
        <f t="shared" si="31"/>
        <v>0</v>
      </c>
      <c r="G154" s="818"/>
      <c r="H154" s="844">
        <f t="shared" si="27"/>
        <v>0</v>
      </c>
      <c r="I154" s="845"/>
      <c r="J154" s="777"/>
      <c r="K154" s="777"/>
      <c r="L154" s="843">
        <f t="shared" si="28"/>
        <v>0</v>
      </c>
      <c r="M154" s="843"/>
      <c r="N154" s="843">
        <f t="shared" si="29"/>
        <v>0</v>
      </c>
      <c r="O154" s="843"/>
      <c r="P154" s="847">
        <f t="shared" si="30"/>
        <v>0</v>
      </c>
    </row>
    <row r="155" spans="1:16">
      <c r="A155" s="26">
        <v>146</v>
      </c>
      <c r="B155" s="841" t="s">
        <v>582</v>
      </c>
      <c r="C155" s="777"/>
      <c r="D155" s="777" t="s">
        <v>1042</v>
      </c>
      <c r="E155" s="777"/>
      <c r="F155" s="843">
        <f t="shared" si="31"/>
        <v>0</v>
      </c>
      <c r="G155" s="818"/>
      <c r="H155" s="844">
        <f t="shared" si="27"/>
        <v>0</v>
      </c>
      <c r="I155" s="845"/>
      <c r="J155" s="777"/>
      <c r="K155" s="777"/>
      <c r="L155" s="843">
        <f t="shared" si="28"/>
        <v>0</v>
      </c>
      <c r="M155" s="843"/>
      <c r="N155" s="843">
        <f t="shared" si="29"/>
        <v>0</v>
      </c>
      <c r="O155" s="843"/>
      <c r="P155" s="847">
        <f t="shared" si="30"/>
        <v>0</v>
      </c>
    </row>
    <row r="156" spans="1:16">
      <c r="A156" s="26">
        <v>147</v>
      </c>
      <c r="B156" s="841" t="s">
        <v>583</v>
      </c>
      <c r="C156" s="777"/>
      <c r="D156" s="777" t="s">
        <v>1042</v>
      </c>
      <c r="E156" s="777"/>
      <c r="F156" s="843">
        <f t="shared" si="31"/>
        <v>0</v>
      </c>
      <c r="G156" s="818"/>
      <c r="H156" s="844">
        <f t="shared" si="27"/>
        <v>0</v>
      </c>
      <c r="I156" s="845"/>
      <c r="J156" s="777"/>
      <c r="K156" s="777"/>
      <c r="L156" s="843">
        <f t="shared" si="28"/>
        <v>0</v>
      </c>
      <c r="M156" s="843"/>
      <c r="N156" s="843">
        <f t="shared" si="29"/>
        <v>0</v>
      </c>
      <c r="O156" s="843"/>
      <c r="P156" s="847">
        <f t="shared" si="30"/>
        <v>0</v>
      </c>
    </row>
    <row r="157" spans="1:16">
      <c r="A157" s="26">
        <v>148</v>
      </c>
      <c r="B157" s="841" t="s">
        <v>665</v>
      </c>
      <c r="C157" s="777"/>
      <c r="D157" s="777" t="s">
        <v>1042</v>
      </c>
      <c r="E157" s="777"/>
      <c r="F157" s="843">
        <f t="shared" si="31"/>
        <v>0</v>
      </c>
      <c r="G157" s="818"/>
      <c r="H157" s="844">
        <f t="shared" si="27"/>
        <v>0</v>
      </c>
      <c r="I157" s="845"/>
      <c r="J157" s="777"/>
      <c r="K157" s="777"/>
      <c r="L157" s="843">
        <f t="shared" si="28"/>
        <v>0</v>
      </c>
      <c r="M157" s="843"/>
      <c r="N157" s="843">
        <f t="shared" si="29"/>
        <v>0</v>
      </c>
      <c r="O157" s="843"/>
      <c r="P157" s="847">
        <f t="shared" si="30"/>
        <v>0</v>
      </c>
    </row>
    <row r="158" spans="1:16">
      <c r="A158" s="26">
        <v>149</v>
      </c>
      <c r="B158" s="841" t="s">
        <v>585</v>
      </c>
      <c r="C158" s="777"/>
      <c r="D158" s="777" t="s">
        <v>1042</v>
      </c>
      <c r="E158" s="777"/>
      <c r="F158" s="843">
        <f t="shared" si="31"/>
        <v>0</v>
      </c>
      <c r="G158" s="818"/>
      <c r="H158" s="844">
        <f t="shared" si="27"/>
        <v>0</v>
      </c>
      <c r="I158" s="845"/>
      <c r="J158" s="777"/>
      <c r="K158" s="777"/>
      <c r="L158" s="843">
        <f t="shared" si="28"/>
        <v>0</v>
      </c>
      <c r="M158" s="843"/>
      <c r="N158" s="843">
        <f t="shared" si="29"/>
        <v>0</v>
      </c>
      <c r="O158" s="843"/>
      <c r="P158" s="847">
        <f t="shared" si="30"/>
        <v>0</v>
      </c>
    </row>
    <row r="159" spans="1:16">
      <c r="A159" s="26">
        <v>150</v>
      </c>
      <c r="B159" s="841" t="s">
        <v>586</v>
      </c>
      <c r="C159" s="777"/>
      <c r="D159" s="777" t="s">
        <v>1042</v>
      </c>
      <c r="E159" s="777"/>
      <c r="F159" s="843">
        <f t="shared" si="31"/>
        <v>0</v>
      </c>
      <c r="G159" s="818"/>
      <c r="H159" s="844">
        <f t="shared" si="27"/>
        <v>0</v>
      </c>
      <c r="I159" s="845"/>
      <c r="J159" s="777"/>
      <c r="K159" s="777"/>
      <c r="L159" s="843">
        <f t="shared" si="28"/>
        <v>0</v>
      </c>
      <c r="M159" s="843"/>
      <c r="N159" s="843">
        <f t="shared" si="29"/>
        <v>0</v>
      </c>
      <c r="O159" s="843"/>
      <c r="P159" s="847">
        <f t="shared" si="30"/>
        <v>0</v>
      </c>
    </row>
    <row r="160" spans="1:16">
      <c r="A160" s="26">
        <v>151</v>
      </c>
      <c r="B160" s="841" t="s">
        <v>587</v>
      </c>
      <c r="C160" s="777"/>
      <c r="D160" s="777" t="s">
        <v>1042</v>
      </c>
      <c r="E160" s="777"/>
      <c r="F160" s="843">
        <f t="shared" si="31"/>
        <v>0</v>
      </c>
      <c r="G160" s="818"/>
      <c r="H160" s="844">
        <f t="shared" si="27"/>
        <v>0</v>
      </c>
      <c r="I160" s="845"/>
      <c r="J160" s="777"/>
      <c r="K160" s="777"/>
      <c r="L160" s="843">
        <f t="shared" si="28"/>
        <v>0</v>
      </c>
      <c r="M160" s="843"/>
      <c r="N160" s="843">
        <f t="shared" si="29"/>
        <v>0</v>
      </c>
      <c r="O160" s="843"/>
      <c r="P160" s="847">
        <f t="shared" si="30"/>
        <v>0</v>
      </c>
    </row>
    <row r="161" spans="1:16">
      <c r="A161" s="26">
        <v>152</v>
      </c>
      <c r="B161" s="841" t="s">
        <v>666</v>
      </c>
      <c r="C161" s="777"/>
      <c r="D161" s="777" t="s">
        <v>1042</v>
      </c>
      <c r="E161" s="777"/>
      <c r="F161" s="843">
        <f t="shared" si="31"/>
        <v>0</v>
      </c>
      <c r="G161" s="818"/>
      <c r="H161" s="844">
        <f t="shared" si="27"/>
        <v>0</v>
      </c>
      <c r="I161" s="845"/>
      <c r="J161" s="777"/>
      <c r="K161" s="777"/>
      <c r="L161" s="849">
        <f t="shared" si="28"/>
        <v>0</v>
      </c>
      <c r="M161" s="843"/>
      <c r="N161" s="843">
        <f t="shared" si="29"/>
        <v>0</v>
      </c>
      <c r="O161" s="843"/>
      <c r="P161" s="847">
        <f t="shared" si="30"/>
        <v>0</v>
      </c>
    </row>
    <row r="162" spans="1:16">
      <c r="A162" s="26">
        <v>153</v>
      </c>
      <c r="B162" s="841"/>
      <c r="C162" s="777"/>
      <c r="D162" s="777"/>
      <c r="E162" s="777"/>
      <c r="F162" s="818"/>
      <c r="G162" s="818"/>
      <c r="H162" s="845"/>
      <c r="I162" s="845"/>
      <c r="J162" s="777"/>
      <c r="K162" s="777"/>
      <c r="L162" s="843">
        <f>SUM(L150:L161)</f>
        <v>0</v>
      </c>
      <c r="M162" s="843"/>
      <c r="N162" s="843"/>
      <c r="O162" s="843"/>
      <c r="P162" s="847"/>
    </row>
    <row r="163" spans="1:16">
      <c r="A163" s="26">
        <v>154</v>
      </c>
      <c r="B163" s="652"/>
      <c r="C163" s="3"/>
      <c r="D163" s="3"/>
      <c r="E163" s="3"/>
      <c r="F163" s="3"/>
      <c r="G163" s="3"/>
      <c r="H163" s="3"/>
      <c r="I163" s="3"/>
      <c r="J163" s="3"/>
      <c r="K163" s="3"/>
      <c r="L163" s="3"/>
      <c r="M163" s="3"/>
      <c r="N163" s="3"/>
      <c r="O163" s="3"/>
      <c r="P163" s="643"/>
    </row>
    <row r="164" spans="1:16">
      <c r="A164" s="26">
        <v>155</v>
      </c>
      <c r="B164" s="841" t="s">
        <v>1057</v>
      </c>
      <c r="C164" s="777"/>
      <c r="D164" s="3"/>
      <c r="E164" s="3"/>
      <c r="F164" s="3" t="s">
        <v>1058</v>
      </c>
      <c r="G164" s="3"/>
      <c r="H164" s="3"/>
      <c r="I164" s="3"/>
      <c r="J164" s="3"/>
      <c r="K164" s="3"/>
      <c r="L164" s="3"/>
      <c r="M164" s="3"/>
      <c r="N164" s="638">
        <f>+F150*-1+L162</f>
        <v>0</v>
      </c>
      <c r="O164" s="3"/>
      <c r="P164" s="643"/>
    </row>
    <row r="165" spans="1:16">
      <c r="A165" s="26">
        <v>156</v>
      </c>
      <c r="B165" s="841" t="s">
        <v>1045</v>
      </c>
      <c r="C165" s="777"/>
      <c r="D165" s="3"/>
      <c r="E165" s="3"/>
      <c r="F165" s="3" t="s">
        <v>1059</v>
      </c>
      <c r="G165" s="3"/>
      <c r="H165" s="3"/>
      <c r="I165" s="3"/>
      <c r="J165" s="3"/>
      <c r="K165" s="3"/>
      <c r="L165" s="3"/>
      <c r="M165" s="3"/>
      <c r="N165" s="638"/>
      <c r="O165" s="3"/>
      <c r="P165" s="643"/>
    </row>
    <row r="166" spans="1:16">
      <c r="A166" s="26">
        <v>157</v>
      </c>
      <c r="B166" s="856" t="s">
        <v>1047</v>
      </c>
      <c r="C166" s="857"/>
      <c r="D166" s="322"/>
      <c r="E166" s="322"/>
      <c r="F166" s="322" t="s">
        <v>1060</v>
      </c>
      <c r="G166" s="322"/>
      <c r="H166" s="322"/>
      <c r="I166" s="322"/>
      <c r="J166" s="322"/>
      <c r="K166" s="322"/>
      <c r="L166" s="322"/>
      <c r="M166" s="322"/>
      <c r="N166" s="656"/>
      <c r="O166" s="322"/>
      <c r="P166" s="323"/>
    </row>
    <row r="167" spans="1:16">
      <c r="A167" s="26">
        <v>158</v>
      </c>
      <c r="B167" s="3"/>
      <c r="C167" s="3"/>
      <c r="D167" s="3"/>
      <c r="E167" s="3"/>
      <c r="F167" s="3"/>
      <c r="G167" s="3"/>
      <c r="H167" s="3"/>
      <c r="I167" s="3"/>
      <c r="J167" s="3"/>
      <c r="K167" s="3"/>
      <c r="L167" s="3"/>
      <c r="M167" s="3"/>
      <c r="N167" s="3"/>
      <c r="O167" s="3"/>
      <c r="P167" s="3"/>
    </row>
    <row r="168" spans="1:16">
      <c r="A168" s="26">
        <v>159</v>
      </c>
      <c r="B168" s="3"/>
      <c r="C168" s="3"/>
      <c r="D168" s="3"/>
      <c r="E168" s="3"/>
      <c r="F168" s="3"/>
      <c r="G168" s="3"/>
      <c r="H168" s="3"/>
      <c r="I168" s="3"/>
      <c r="J168" s="3"/>
      <c r="K168" s="3"/>
      <c r="L168" s="3"/>
      <c r="M168" s="3"/>
      <c r="N168" s="3"/>
      <c r="O168" s="3"/>
      <c r="P168" s="369" t="s">
        <v>1061</v>
      </c>
    </row>
    <row r="169" spans="1:16">
      <c r="A169" s="26">
        <v>160</v>
      </c>
      <c r="B169" s="780" t="s">
        <v>1050</v>
      </c>
      <c r="C169" s="780"/>
      <c r="D169" s="780"/>
      <c r="E169" s="780"/>
      <c r="F169" s="780"/>
      <c r="G169" s="780"/>
      <c r="H169" s="780"/>
      <c r="I169" s="780"/>
      <c r="J169" s="780"/>
      <c r="K169" s="780"/>
      <c r="L169" s="780"/>
      <c r="M169" s="780"/>
      <c r="N169" s="780"/>
      <c r="O169" s="3"/>
      <c r="P169" s="3"/>
    </row>
    <row r="170" spans="1:16">
      <c r="A170" s="26">
        <v>161</v>
      </c>
      <c r="B170" s="786" t="s">
        <v>766</v>
      </c>
      <c r="C170" s="786"/>
      <c r="D170" s="786"/>
      <c r="E170" s="786"/>
      <c r="F170" s="786"/>
      <c r="G170" s="786"/>
      <c r="H170" s="786"/>
      <c r="I170" s="786"/>
      <c r="J170" s="786"/>
      <c r="K170" s="786"/>
      <c r="L170" s="786"/>
      <c r="M170" s="786"/>
      <c r="N170" s="786"/>
      <c r="O170" s="3"/>
      <c r="P170" s="3"/>
    </row>
    <row r="171" spans="1:16">
      <c r="A171" s="26">
        <v>162</v>
      </c>
      <c r="B171" s="780"/>
      <c r="C171" s="780"/>
      <c r="D171" s="780"/>
      <c r="E171" s="780"/>
      <c r="F171" s="780"/>
      <c r="G171" s="780"/>
      <c r="H171" s="780"/>
      <c r="I171" s="780"/>
      <c r="J171" s="780"/>
      <c r="K171" s="780"/>
      <c r="L171" s="780"/>
      <c r="M171" s="780"/>
      <c r="N171" s="780"/>
      <c r="O171" s="3"/>
      <c r="P171" s="3"/>
    </row>
    <row r="172" spans="1:16">
      <c r="A172" s="26">
        <v>163</v>
      </c>
      <c r="B172" s="3"/>
      <c r="C172" s="3"/>
      <c r="D172" s="3"/>
      <c r="E172" s="3"/>
      <c r="F172" s="3"/>
      <c r="G172" s="3"/>
      <c r="H172" s="3"/>
      <c r="I172" s="3"/>
      <c r="J172" s="3"/>
      <c r="K172" s="3"/>
      <c r="L172" s="3"/>
      <c r="M172" s="3"/>
      <c r="N172" s="3"/>
      <c r="O172" s="3"/>
      <c r="P172" s="3"/>
    </row>
    <row r="173" spans="1:16">
      <c r="A173" s="26">
        <v>164</v>
      </c>
      <c r="B173" s="831" t="s">
        <v>1062</v>
      </c>
      <c r="C173" s="832"/>
      <c r="D173" s="833"/>
      <c r="E173" s="833"/>
      <c r="F173" s="833"/>
      <c r="G173" s="833"/>
      <c r="H173" s="834"/>
      <c r="I173" s="834"/>
      <c r="J173" s="834"/>
      <c r="K173" s="834"/>
      <c r="L173" s="835"/>
      <c r="M173" s="835"/>
      <c r="N173" s="833"/>
      <c r="O173" s="833"/>
      <c r="P173" s="836"/>
    </row>
    <row r="174" spans="1:16">
      <c r="A174" s="26">
        <v>165</v>
      </c>
      <c r="B174" s="837"/>
      <c r="C174" s="838"/>
      <c r="D174" s="778"/>
      <c r="E174" s="778"/>
      <c r="F174" s="778"/>
      <c r="G174" s="778"/>
      <c r="H174" s="777"/>
      <c r="I174" s="777"/>
      <c r="J174" s="777"/>
      <c r="K174" s="777"/>
      <c r="L174" s="780" t="s">
        <v>1030</v>
      </c>
      <c r="M174" s="780"/>
      <c r="N174" s="778"/>
      <c r="O174" s="778"/>
      <c r="P174" s="839"/>
    </row>
    <row r="175" spans="1:16">
      <c r="A175" s="26">
        <v>166</v>
      </c>
      <c r="B175" s="840"/>
      <c r="C175" s="838"/>
      <c r="D175" s="778"/>
      <c r="E175" s="778"/>
      <c r="F175" s="778"/>
      <c r="G175" s="778"/>
      <c r="H175" s="777"/>
      <c r="I175" s="777"/>
      <c r="J175" s="777"/>
      <c r="K175" s="777"/>
      <c r="L175" s="780"/>
      <c r="M175" s="780"/>
      <c r="N175" s="778"/>
      <c r="O175" s="778"/>
      <c r="P175" s="839"/>
    </row>
    <row r="176" spans="1:16">
      <c r="A176" s="26">
        <v>167</v>
      </c>
      <c r="B176" s="841" t="s">
        <v>577</v>
      </c>
      <c r="C176" s="777"/>
      <c r="D176" s="777" t="s">
        <v>1037</v>
      </c>
      <c r="E176" s="777"/>
      <c r="F176" s="842">
        <f>+$L$13/12</f>
        <v>0</v>
      </c>
      <c r="G176" s="843"/>
      <c r="H176" s="844">
        <f>+$N$13</f>
        <v>0</v>
      </c>
      <c r="I176" s="845"/>
      <c r="J176" s="846">
        <v>12</v>
      </c>
      <c r="K176" s="777"/>
      <c r="L176" s="843">
        <f>+F176*H176*J176*-1</f>
        <v>0</v>
      </c>
      <c r="M176" s="843"/>
      <c r="N176" s="843"/>
      <c r="O176" s="843"/>
      <c r="P176" s="847">
        <f>+F176*-1+L176</f>
        <v>0</v>
      </c>
    </row>
    <row r="177" spans="1:16">
      <c r="A177" s="26">
        <v>168</v>
      </c>
      <c r="B177" s="841" t="s">
        <v>578</v>
      </c>
      <c r="C177" s="777"/>
      <c r="D177" s="777" t="s">
        <v>1037</v>
      </c>
      <c r="E177" s="777"/>
      <c r="F177" s="842">
        <f t="shared" ref="F177:F187" si="32">+$L$13/12</f>
        <v>0</v>
      </c>
      <c r="G177" s="843"/>
      <c r="H177" s="844">
        <f t="shared" ref="H177:H187" si="33">+$N$13</f>
        <v>0</v>
      </c>
      <c r="I177" s="845"/>
      <c r="J177" s="848">
        <v>11</v>
      </c>
      <c r="K177" s="3"/>
      <c r="L177" s="843">
        <f t="shared" ref="L177:L187" si="34">+F177*H177*J177*-1</f>
        <v>0</v>
      </c>
      <c r="M177" s="843"/>
      <c r="N177" s="843"/>
      <c r="O177" s="843"/>
      <c r="P177" s="847">
        <f t="shared" ref="P177:P187" si="35">+F177*-1+L177</f>
        <v>0</v>
      </c>
    </row>
    <row r="178" spans="1:16">
      <c r="A178" s="26">
        <v>169</v>
      </c>
      <c r="B178" s="841" t="s">
        <v>663</v>
      </c>
      <c r="C178" s="777"/>
      <c r="D178" s="777" t="s">
        <v>1037</v>
      </c>
      <c r="E178" s="777"/>
      <c r="F178" s="842">
        <f t="shared" si="32"/>
        <v>0</v>
      </c>
      <c r="G178" s="843"/>
      <c r="H178" s="844">
        <f t="shared" si="33"/>
        <v>0</v>
      </c>
      <c r="I178" s="845"/>
      <c r="J178" s="848">
        <v>10</v>
      </c>
      <c r="K178" s="3"/>
      <c r="L178" s="843">
        <f t="shared" si="34"/>
        <v>0</v>
      </c>
      <c r="M178" s="843"/>
      <c r="N178" s="843"/>
      <c r="O178" s="843"/>
      <c r="P178" s="847">
        <f t="shared" si="35"/>
        <v>0</v>
      </c>
    </row>
    <row r="179" spans="1:16">
      <c r="A179" s="26">
        <v>170</v>
      </c>
      <c r="B179" s="841" t="s">
        <v>580</v>
      </c>
      <c r="C179" s="777"/>
      <c r="D179" s="777" t="s">
        <v>1037</v>
      </c>
      <c r="E179" s="777"/>
      <c r="F179" s="842">
        <f t="shared" si="32"/>
        <v>0</v>
      </c>
      <c r="G179" s="843"/>
      <c r="H179" s="844">
        <f t="shared" si="33"/>
        <v>0</v>
      </c>
      <c r="I179" s="845"/>
      <c r="J179" s="848">
        <v>9</v>
      </c>
      <c r="K179" s="3"/>
      <c r="L179" s="843">
        <f t="shared" si="34"/>
        <v>0</v>
      </c>
      <c r="M179" s="843"/>
      <c r="N179" s="843"/>
      <c r="O179" s="843"/>
      <c r="P179" s="847">
        <f t="shared" si="35"/>
        <v>0</v>
      </c>
    </row>
    <row r="180" spans="1:16">
      <c r="A180" s="26">
        <v>171</v>
      </c>
      <c r="B180" s="841" t="s">
        <v>581</v>
      </c>
      <c r="C180" s="777"/>
      <c r="D180" s="777" t="s">
        <v>1037</v>
      </c>
      <c r="E180" s="777"/>
      <c r="F180" s="842">
        <f t="shared" si="32"/>
        <v>0</v>
      </c>
      <c r="G180" s="843"/>
      <c r="H180" s="844">
        <f t="shared" si="33"/>
        <v>0</v>
      </c>
      <c r="I180" s="845"/>
      <c r="J180" s="848">
        <v>8</v>
      </c>
      <c r="K180" s="3"/>
      <c r="L180" s="843">
        <f t="shared" si="34"/>
        <v>0</v>
      </c>
      <c r="M180" s="843"/>
      <c r="N180" s="843"/>
      <c r="O180" s="843"/>
      <c r="P180" s="847">
        <f t="shared" si="35"/>
        <v>0</v>
      </c>
    </row>
    <row r="181" spans="1:16">
      <c r="A181" s="26">
        <v>172</v>
      </c>
      <c r="B181" s="841" t="s">
        <v>582</v>
      </c>
      <c r="C181" s="777"/>
      <c r="D181" s="777" t="s">
        <v>1037</v>
      </c>
      <c r="E181" s="777"/>
      <c r="F181" s="842">
        <f t="shared" si="32"/>
        <v>0</v>
      </c>
      <c r="G181" s="843"/>
      <c r="H181" s="844">
        <f t="shared" si="33"/>
        <v>0</v>
      </c>
      <c r="I181" s="845"/>
      <c r="J181" s="848">
        <v>7</v>
      </c>
      <c r="K181" s="3"/>
      <c r="L181" s="843">
        <f t="shared" si="34"/>
        <v>0</v>
      </c>
      <c r="M181" s="843"/>
      <c r="N181" s="843"/>
      <c r="O181" s="843"/>
      <c r="P181" s="847">
        <f t="shared" si="35"/>
        <v>0</v>
      </c>
    </row>
    <row r="182" spans="1:16">
      <c r="A182" s="26">
        <v>173</v>
      </c>
      <c r="B182" s="841" t="s">
        <v>583</v>
      </c>
      <c r="C182" s="777"/>
      <c r="D182" s="777" t="s">
        <v>1037</v>
      </c>
      <c r="E182" s="777"/>
      <c r="F182" s="842">
        <f t="shared" si="32"/>
        <v>0</v>
      </c>
      <c r="G182" s="843"/>
      <c r="H182" s="844">
        <f t="shared" si="33"/>
        <v>0</v>
      </c>
      <c r="I182" s="845"/>
      <c r="J182" s="848">
        <v>6</v>
      </c>
      <c r="K182" s="3"/>
      <c r="L182" s="843">
        <f t="shared" si="34"/>
        <v>0</v>
      </c>
      <c r="M182" s="843"/>
      <c r="N182" s="843"/>
      <c r="O182" s="843"/>
      <c r="P182" s="847">
        <f t="shared" si="35"/>
        <v>0</v>
      </c>
    </row>
    <row r="183" spans="1:16">
      <c r="A183" s="26">
        <v>174</v>
      </c>
      <c r="B183" s="841" t="s">
        <v>665</v>
      </c>
      <c r="C183" s="777"/>
      <c r="D183" s="777" t="s">
        <v>1037</v>
      </c>
      <c r="E183" s="777"/>
      <c r="F183" s="842">
        <f t="shared" si="32"/>
        <v>0</v>
      </c>
      <c r="G183" s="843"/>
      <c r="H183" s="844">
        <f t="shared" si="33"/>
        <v>0</v>
      </c>
      <c r="I183" s="845"/>
      <c r="J183" s="848">
        <v>5</v>
      </c>
      <c r="K183" s="3"/>
      <c r="L183" s="843">
        <f t="shared" si="34"/>
        <v>0</v>
      </c>
      <c r="M183" s="843"/>
      <c r="N183" s="843"/>
      <c r="O183" s="843"/>
      <c r="P183" s="847">
        <f t="shared" si="35"/>
        <v>0</v>
      </c>
    </row>
    <row r="184" spans="1:16">
      <c r="A184" s="26">
        <v>175</v>
      </c>
      <c r="B184" s="841" t="s">
        <v>585</v>
      </c>
      <c r="C184" s="777"/>
      <c r="D184" s="777" t="s">
        <v>1037</v>
      </c>
      <c r="E184" s="777"/>
      <c r="F184" s="842">
        <f t="shared" si="32"/>
        <v>0</v>
      </c>
      <c r="G184" s="843"/>
      <c r="H184" s="844">
        <f t="shared" si="33"/>
        <v>0</v>
      </c>
      <c r="I184" s="845"/>
      <c r="J184" s="848">
        <v>4</v>
      </c>
      <c r="K184" s="3"/>
      <c r="L184" s="843">
        <f t="shared" si="34"/>
        <v>0</v>
      </c>
      <c r="M184" s="843"/>
      <c r="N184" s="843"/>
      <c r="O184" s="843"/>
      <c r="P184" s="847">
        <f t="shared" si="35"/>
        <v>0</v>
      </c>
    </row>
    <row r="185" spans="1:16">
      <c r="A185" s="26">
        <v>176</v>
      </c>
      <c r="B185" s="841" t="s">
        <v>586</v>
      </c>
      <c r="C185" s="777"/>
      <c r="D185" s="777" t="s">
        <v>1037</v>
      </c>
      <c r="E185" s="777"/>
      <c r="F185" s="842">
        <f t="shared" si="32"/>
        <v>0</v>
      </c>
      <c r="G185" s="843"/>
      <c r="H185" s="844">
        <f t="shared" si="33"/>
        <v>0</v>
      </c>
      <c r="I185" s="845"/>
      <c r="J185" s="848">
        <v>3</v>
      </c>
      <c r="K185" s="3"/>
      <c r="L185" s="843">
        <f t="shared" si="34"/>
        <v>0</v>
      </c>
      <c r="M185" s="843"/>
      <c r="N185" s="843"/>
      <c r="O185" s="843"/>
      <c r="P185" s="847">
        <f t="shared" si="35"/>
        <v>0</v>
      </c>
    </row>
    <row r="186" spans="1:16">
      <c r="A186" s="26">
        <v>177</v>
      </c>
      <c r="B186" s="841" t="s">
        <v>587</v>
      </c>
      <c r="C186" s="777"/>
      <c r="D186" s="777" t="s">
        <v>1037</v>
      </c>
      <c r="E186" s="777"/>
      <c r="F186" s="842">
        <f t="shared" si="32"/>
        <v>0</v>
      </c>
      <c r="G186" s="843"/>
      <c r="H186" s="844">
        <f t="shared" si="33"/>
        <v>0</v>
      </c>
      <c r="I186" s="845"/>
      <c r="J186" s="848">
        <v>2</v>
      </c>
      <c r="K186" s="3"/>
      <c r="L186" s="843">
        <f t="shared" si="34"/>
        <v>0</v>
      </c>
      <c r="M186" s="843"/>
      <c r="N186" s="843"/>
      <c r="O186" s="843"/>
      <c r="P186" s="847">
        <f t="shared" si="35"/>
        <v>0</v>
      </c>
    </row>
    <row r="187" spans="1:16" ht="17.25">
      <c r="A187" s="26">
        <v>178</v>
      </c>
      <c r="B187" s="841" t="s">
        <v>666</v>
      </c>
      <c r="C187" s="777"/>
      <c r="D187" s="777" t="s">
        <v>1037</v>
      </c>
      <c r="E187" s="777"/>
      <c r="F187" s="842">
        <f t="shared" si="32"/>
        <v>0</v>
      </c>
      <c r="G187" s="843"/>
      <c r="H187" s="844">
        <f t="shared" si="33"/>
        <v>0</v>
      </c>
      <c r="I187" s="845"/>
      <c r="J187" s="848">
        <v>1</v>
      </c>
      <c r="K187" s="3"/>
      <c r="L187" s="860">
        <f t="shared" si="34"/>
        <v>0</v>
      </c>
      <c r="M187" s="843"/>
      <c r="N187" s="843"/>
      <c r="O187" s="843"/>
      <c r="P187" s="859">
        <f t="shared" si="35"/>
        <v>0</v>
      </c>
    </row>
    <row r="188" spans="1:16">
      <c r="A188" s="26">
        <v>179</v>
      </c>
      <c r="B188" s="841"/>
      <c r="C188" s="777"/>
      <c r="D188" s="777"/>
      <c r="E188" s="777"/>
      <c r="F188" s="843"/>
      <c r="G188" s="843"/>
      <c r="H188" s="845"/>
      <c r="I188" s="845"/>
      <c r="J188" s="3"/>
      <c r="K188" s="3"/>
      <c r="L188" s="843">
        <f>+SUM(L176:L187)</f>
        <v>0</v>
      </c>
      <c r="M188" s="843"/>
      <c r="N188" s="843"/>
      <c r="O188" s="843"/>
      <c r="P188" s="851">
        <f>+SUM(P176:P187)</f>
        <v>0</v>
      </c>
    </row>
    <row r="189" spans="1:16">
      <c r="A189" s="26">
        <v>180</v>
      </c>
      <c r="B189" s="841"/>
      <c r="C189" s="777"/>
      <c r="D189" s="777"/>
      <c r="E189" s="777"/>
      <c r="F189" s="843"/>
      <c r="G189" s="843"/>
      <c r="H189" s="845"/>
      <c r="I189" s="845"/>
      <c r="J189" s="3"/>
      <c r="K189" s="3"/>
      <c r="L189" s="843"/>
      <c r="M189" s="843"/>
      <c r="N189" s="843"/>
      <c r="O189" s="843"/>
      <c r="P189" s="852"/>
    </row>
    <row r="190" spans="1:16">
      <c r="A190" s="26">
        <v>181</v>
      </c>
      <c r="B190" s="841"/>
      <c r="C190" s="777"/>
      <c r="D190" s="777"/>
      <c r="E190" s="777"/>
      <c r="F190" s="843"/>
      <c r="G190" s="843"/>
      <c r="H190" s="845"/>
      <c r="I190" s="845"/>
      <c r="J190" s="3"/>
      <c r="K190" s="3"/>
      <c r="L190" s="853" t="s">
        <v>1033</v>
      </c>
      <c r="M190" s="843"/>
      <c r="N190" s="843"/>
      <c r="O190" s="843"/>
      <c r="P190" s="852"/>
    </row>
    <row r="191" spans="1:16">
      <c r="A191" s="26">
        <v>182</v>
      </c>
      <c r="B191" s="841"/>
      <c r="C191" s="777"/>
      <c r="D191" s="777"/>
      <c r="E191" s="777"/>
      <c r="F191" s="843"/>
      <c r="G191" s="843"/>
      <c r="H191" s="845"/>
      <c r="I191" s="845"/>
      <c r="J191" s="3"/>
      <c r="K191" s="3"/>
      <c r="L191" s="853"/>
      <c r="M191" s="843"/>
      <c r="N191" s="843"/>
      <c r="O191" s="843"/>
      <c r="P191" s="852"/>
    </row>
    <row r="192" spans="1:16">
      <c r="A192" s="26">
        <v>183</v>
      </c>
      <c r="B192" s="841" t="s">
        <v>1034</v>
      </c>
      <c r="C192" s="777"/>
      <c r="D192" s="777" t="s">
        <v>1038</v>
      </c>
      <c r="E192" s="777"/>
      <c r="F192" s="818">
        <f>+P188</f>
        <v>0</v>
      </c>
      <c r="G192" s="818"/>
      <c r="H192" s="844">
        <f>+N14</f>
        <v>0</v>
      </c>
      <c r="I192" s="845"/>
      <c r="J192" s="846">
        <v>12</v>
      </c>
      <c r="K192" s="777"/>
      <c r="L192" s="843">
        <f>+F192*H192*J192</f>
        <v>0</v>
      </c>
      <c r="M192" s="843"/>
      <c r="N192" s="843"/>
      <c r="O192" s="843"/>
      <c r="P192" s="852">
        <f>+F192+L192</f>
        <v>0</v>
      </c>
    </row>
    <row r="193" spans="1:16">
      <c r="A193" s="26">
        <v>184</v>
      </c>
      <c r="B193" s="841" t="s">
        <v>1034</v>
      </c>
      <c r="C193" s="777"/>
      <c r="D193" s="777" t="s">
        <v>1039</v>
      </c>
      <c r="E193" s="777"/>
      <c r="F193" s="818"/>
      <c r="G193" s="818"/>
      <c r="H193" s="844">
        <f>+N14</f>
        <v>0</v>
      </c>
      <c r="I193" s="845"/>
      <c r="J193" s="846">
        <v>12</v>
      </c>
      <c r="K193" s="777"/>
      <c r="L193" s="843">
        <f>+F193*H193*J193</f>
        <v>0</v>
      </c>
      <c r="M193" s="843"/>
      <c r="N193" s="843"/>
      <c r="O193" s="843"/>
      <c r="P193" s="852">
        <f>+F193+L193</f>
        <v>0</v>
      </c>
    </row>
    <row r="194" spans="1:16">
      <c r="A194" s="26">
        <v>185</v>
      </c>
      <c r="B194" s="841"/>
      <c r="C194" s="777"/>
      <c r="D194" s="777"/>
      <c r="E194" s="777"/>
      <c r="F194" s="818"/>
      <c r="G194" s="818"/>
      <c r="H194" s="845"/>
      <c r="I194" s="845"/>
      <c r="J194" s="777"/>
      <c r="K194" s="777"/>
      <c r="L194" s="843"/>
      <c r="M194" s="843"/>
      <c r="N194" s="843"/>
      <c r="O194" s="843"/>
      <c r="P194" s="852"/>
    </row>
    <row r="195" spans="1:16">
      <c r="A195" s="26">
        <v>186</v>
      </c>
      <c r="B195" s="841"/>
      <c r="C195" s="777"/>
      <c r="D195" s="777"/>
      <c r="E195" s="777"/>
      <c r="F195" s="818"/>
      <c r="G195" s="818"/>
      <c r="H195" s="845"/>
      <c r="I195" s="845"/>
      <c r="J195" s="777"/>
      <c r="K195" s="777"/>
      <c r="L195" s="843"/>
      <c r="M195" s="843"/>
      <c r="N195" s="843"/>
      <c r="O195" s="843"/>
      <c r="P195" s="847"/>
    </row>
    <row r="196" spans="1:16">
      <c r="A196" s="26">
        <v>187</v>
      </c>
      <c r="B196" s="854" t="s">
        <v>1040</v>
      </c>
      <c r="C196" s="855"/>
      <c r="D196" s="777"/>
      <c r="E196" s="777"/>
      <c r="F196" s="843"/>
      <c r="G196" s="843"/>
      <c r="H196" s="845"/>
      <c r="I196" s="845"/>
      <c r="J196" s="777"/>
      <c r="K196" s="777"/>
      <c r="L196" s="853" t="s">
        <v>1041</v>
      </c>
      <c r="M196" s="853"/>
      <c r="N196" s="843"/>
      <c r="O196" s="843"/>
      <c r="P196" s="847"/>
    </row>
    <row r="197" spans="1:16">
      <c r="A197" s="26">
        <v>188</v>
      </c>
      <c r="B197" s="841" t="s">
        <v>577</v>
      </c>
      <c r="C197" s="777"/>
      <c r="D197" s="777" t="s">
        <v>1042</v>
      </c>
      <c r="E197" s="777"/>
      <c r="F197" s="861">
        <f>+P193*-1</f>
        <v>0</v>
      </c>
      <c r="G197" s="818"/>
      <c r="H197" s="844">
        <f>+$N$14</f>
        <v>0</v>
      </c>
      <c r="I197" s="845"/>
      <c r="J197" s="777"/>
      <c r="K197" s="777"/>
      <c r="L197" s="843">
        <f>+F197*H197*-1</f>
        <v>0</v>
      </c>
      <c r="M197" s="843"/>
      <c r="N197" s="843">
        <f>+$N$211/12</f>
        <v>0</v>
      </c>
      <c r="O197" s="843"/>
      <c r="P197" s="847">
        <f>+F197*-1-N197</f>
        <v>0</v>
      </c>
    </row>
    <row r="198" spans="1:16">
      <c r="A198" s="26">
        <v>189</v>
      </c>
      <c r="B198" s="841" t="s">
        <v>578</v>
      </c>
      <c r="C198" s="777"/>
      <c r="D198" s="777" t="s">
        <v>1042</v>
      </c>
      <c r="E198" s="777"/>
      <c r="F198" s="862">
        <f>+F197-($F$197/12)</f>
        <v>0</v>
      </c>
      <c r="G198" s="818"/>
      <c r="H198" s="844">
        <f t="shared" ref="H198:H208" si="36">+$N$14</f>
        <v>0</v>
      </c>
      <c r="I198" s="845"/>
      <c r="J198" s="777"/>
      <c r="K198" s="777"/>
      <c r="L198" s="843">
        <f t="shared" ref="L198:L208" si="37">+F198*H198*-1</f>
        <v>0</v>
      </c>
      <c r="M198" s="843"/>
      <c r="N198" s="843">
        <f t="shared" ref="N198:N208" si="38">+$N$211/12</f>
        <v>0</v>
      </c>
      <c r="O198" s="843"/>
      <c r="P198" s="847">
        <f t="shared" ref="P198:P208" si="39">+F198*-1-N198</f>
        <v>0</v>
      </c>
    </row>
    <row r="199" spans="1:16">
      <c r="A199" s="26">
        <v>190</v>
      </c>
      <c r="B199" s="841" t="s">
        <v>663</v>
      </c>
      <c r="C199" s="777"/>
      <c r="D199" s="777" t="s">
        <v>1042</v>
      </c>
      <c r="E199" s="777"/>
      <c r="F199" s="862">
        <f t="shared" ref="F199:F208" si="40">+F198-($F$197/12)</f>
        <v>0</v>
      </c>
      <c r="G199" s="818"/>
      <c r="H199" s="844">
        <f t="shared" si="36"/>
        <v>0</v>
      </c>
      <c r="I199" s="845"/>
      <c r="J199" s="777"/>
      <c r="K199" s="777"/>
      <c r="L199" s="843">
        <f t="shared" si="37"/>
        <v>0</v>
      </c>
      <c r="M199" s="843"/>
      <c r="N199" s="843">
        <f t="shared" si="38"/>
        <v>0</v>
      </c>
      <c r="O199" s="843"/>
      <c r="P199" s="847">
        <f t="shared" si="39"/>
        <v>0</v>
      </c>
    </row>
    <row r="200" spans="1:16">
      <c r="A200" s="26">
        <v>191</v>
      </c>
      <c r="B200" s="841" t="s">
        <v>580</v>
      </c>
      <c r="C200" s="777"/>
      <c r="D200" s="777" t="s">
        <v>1042</v>
      </c>
      <c r="E200" s="777"/>
      <c r="F200" s="862">
        <f t="shared" si="40"/>
        <v>0</v>
      </c>
      <c r="G200" s="818"/>
      <c r="H200" s="844">
        <f t="shared" si="36"/>
        <v>0</v>
      </c>
      <c r="I200" s="845"/>
      <c r="J200" s="777"/>
      <c r="K200" s="777"/>
      <c r="L200" s="843">
        <f t="shared" si="37"/>
        <v>0</v>
      </c>
      <c r="M200" s="843"/>
      <c r="N200" s="843">
        <f t="shared" si="38"/>
        <v>0</v>
      </c>
      <c r="O200" s="843"/>
      <c r="P200" s="847">
        <f t="shared" si="39"/>
        <v>0</v>
      </c>
    </row>
    <row r="201" spans="1:16">
      <c r="A201" s="26">
        <v>192</v>
      </c>
      <c r="B201" s="841" t="s">
        <v>581</v>
      </c>
      <c r="C201" s="777"/>
      <c r="D201" s="777" t="s">
        <v>1042</v>
      </c>
      <c r="E201" s="777"/>
      <c r="F201" s="862">
        <f t="shared" si="40"/>
        <v>0</v>
      </c>
      <c r="G201" s="818"/>
      <c r="H201" s="844">
        <f t="shared" si="36"/>
        <v>0</v>
      </c>
      <c r="I201" s="845"/>
      <c r="J201" s="777"/>
      <c r="K201" s="777"/>
      <c r="L201" s="843">
        <f t="shared" si="37"/>
        <v>0</v>
      </c>
      <c r="M201" s="843"/>
      <c r="N201" s="843">
        <f t="shared" si="38"/>
        <v>0</v>
      </c>
      <c r="O201" s="843"/>
      <c r="P201" s="847">
        <f t="shared" si="39"/>
        <v>0</v>
      </c>
    </row>
    <row r="202" spans="1:16">
      <c r="A202" s="26">
        <v>193</v>
      </c>
      <c r="B202" s="841" t="s">
        <v>582</v>
      </c>
      <c r="C202" s="777"/>
      <c r="D202" s="777" t="s">
        <v>1042</v>
      </c>
      <c r="E202" s="777"/>
      <c r="F202" s="862">
        <f t="shared" si="40"/>
        <v>0</v>
      </c>
      <c r="G202" s="818"/>
      <c r="H202" s="844">
        <f t="shared" si="36"/>
        <v>0</v>
      </c>
      <c r="I202" s="845"/>
      <c r="J202" s="777"/>
      <c r="K202" s="777"/>
      <c r="L202" s="843">
        <f t="shared" si="37"/>
        <v>0</v>
      </c>
      <c r="M202" s="843"/>
      <c r="N202" s="843">
        <f t="shared" si="38"/>
        <v>0</v>
      </c>
      <c r="O202" s="843"/>
      <c r="P202" s="847">
        <f t="shared" si="39"/>
        <v>0</v>
      </c>
    </row>
    <row r="203" spans="1:16">
      <c r="A203" s="26">
        <v>194</v>
      </c>
      <c r="B203" s="841" t="s">
        <v>583</v>
      </c>
      <c r="C203" s="777"/>
      <c r="D203" s="777" t="s">
        <v>1042</v>
      </c>
      <c r="E203" s="777"/>
      <c r="F203" s="862">
        <f t="shared" si="40"/>
        <v>0</v>
      </c>
      <c r="G203" s="818"/>
      <c r="H203" s="844">
        <f t="shared" si="36"/>
        <v>0</v>
      </c>
      <c r="I203" s="845"/>
      <c r="J203" s="777"/>
      <c r="K203" s="777"/>
      <c r="L203" s="843">
        <f t="shared" si="37"/>
        <v>0</v>
      </c>
      <c r="M203" s="843"/>
      <c r="N203" s="843">
        <f t="shared" si="38"/>
        <v>0</v>
      </c>
      <c r="O203" s="843"/>
      <c r="P203" s="847">
        <f t="shared" si="39"/>
        <v>0</v>
      </c>
    </row>
    <row r="204" spans="1:16">
      <c r="A204" s="26">
        <v>195</v>
      </c>
      <c r="B204" s="841" t="s">
        <v>665</v>
      </c>
      <c r="C204" s="777"/>
      <c r="D204" s="777" t="s">
        <v>1042</v>
      </c>
      <c r="E204" s="777"/>
      <c r="F204" s="862">
        <f t="shared" si="40"/>
        <v>0</v>
      </c>
      <c r="G204" s="818"/>
      <c r="H204" s="844">
        <f t="shared" si="36"/>
        <v>0</v>
      </c>
      <c r="I204" s="845"/>
      <c r="J204" s="777"/>
      <c r="K204" s="777"/>
      <c r="L204" s="843">
        <f t="shared" si="37"/>
        <v>0</v>
      </c>
      <c r="M204" s="843"/>
      <c r="N204" s="843">
        <f t="shared" si="38"/>
        <v>0</v>
      </c>
      <c r="O204" s="843"/>
      <c r="P204" s="847">
        <f t="shared" si="39"/>
        <v>0</v>
      </c>
    </row>
    <row r="205" spans="1:16">
      <c r="A205" s="26">
        <v>196</v>
      </c>
      <c r="B205" s="841" t="s">
        <v>585</v>
      </c>
      <c r="C205" s="777"/>
      <c r="D205" s="777" t="s">
        <v>1042</v>
      </c>
      <c r="E205" s="777"/>
      <c r="F205" s="862">
        <f t="shared" si="40"/>
        <v>0</v>
      </c>
      <c r="G205" s="818"/>
      <c r="H205" s="844">
        <f t="shared" si="36"/>
        <v>0</v>
      </c>
      <c r="I205" s="845"/>
      <c r="J205" s="777"/>
      <c r="K205" s="777"/>
      <c r="L205" s="843">
        <f t="shared" si="37"/>
        <v>0</v>
      </c>
      <c r="M205" s="843"/>
      <c r="N205" s="843">
        <f t="shared" si="38"/>
        <v>0</v>
      </c>
      <c r="O205" s="843"/>
      <c r="P205" s="847">
        <f t="shared" si="39"/>
        <v>0</v>
      </c>
    </row>
    <row r="206" spans="1:16">
      <c r="A206" s="26">
        <v>197</v>
      </c>
      <c r="B206" s="841" t="s">
        <v>586</v>
      </c>
      <c r="C206" s="777"/>
      <c r="D206" s="777" t="s">
        <v>1042</v>
      </c>
      <c r="E206" s="777"/>
      <c r="F206" s="862">
        <f t="shared" si="40"/>
        <v>0</v>
      </c>
      <c r="G206" s="818"/>
      <c r="H206" s="844">
        <f t="shared" si="36"/>
        <v>0</v>
      </c>
      <c r="I206" s="845"/>
      <c r="J206" s="777"/>
      <c r="K206" s="777"/>
      <c r="L206" s="843">
        <f t="shared" si="37"/>
        <v>0</v>
      </c>
      <c r="M206" s="843"/>
      <c r="N206" s="843">
        <f t="shared" si="38"/>
        <v>0</v>
      </c>
      <c r="O206" s="843"/>
      <c r="P206" s="847">
        <f t="shared" si="39"/>
        <v>0</v>
      </c>
    </row>
    <row r="207" spans="1:16">
      <c r="A207" s="26">
        <v>198</v>
      </c>
      <c r="B207" s="841" t="s">
        <v>587</v>
      </c>
      <c r="C207" s="777"/>
      <c r="D207" s="777" t="s">
        <v>1042</v>
      </c>
      <c r="E207" s="777"/>
      <c r="F207" s="862">
        <f t="shared" si="40"/>
        <v>0</v>
      </c>
      <c r="G207" s="818"/>
      <c r="H207" s="844">
        <f t="shared" si="36"/>
        <v>0</v>
      </c>
      <c r="I207" s="845"/>
      <c r="J207" s="777"/>
      <c r="K207" s="777"/>
      <c r="L207" s="843">
        <f t="shared" si="37"/>
        <v>0</v>
      </c>
      <c r="M207" s="843"/>
      <c r="N207" s="843">
        <f t="shared" si="38"/>
        <v>0</v>
      </c>
      <c r="O207" s="843"/>
      <c r="P207" s="847">
        <f t="shared" si="39"/>
        <v>0</v>
      </c>
    </row>
    <row r="208" spans="1:16">
      <c r="A208" s="26">
        <v>199</v>
      </c>
      <c r="B208" s="841" t="s">
        <v>666</v>
      </c>
      <c r="C208" s="777"/>
      <c r="D208" s="777" t="s">
        <v>1042</v>
      </c>
      <c r="E208" s="777"/>
      <c r="F208" s="862">
        <f t="shared" si="40"/>
        <v>0</v>
      </c>
      <c r="G208" s="818"/>
      <c r="H208" s="844">
        <f t="shared" si="36"/>
        <v>0</v>
      </c>
      <c r="I208" s="845"/>
      <c r="J208" s="777"/>
      <c r="K208" s="777"/>
      <c r="L208" s="849">
        <f t="shared" si="37"/>
        <v>0</v>
      </c>
      <c r="M208" s="843"/>
      <c r="N208" s="843">
        <f t="shared" si="38"/>
        <v>0</v>
      </c>
      <c r="O208" s="843"/>
      <c r="P208" s="847">
        <f t="shared" si="39"/>
        <v>0</v>
      </c>
    </row>
    <row r="209" spans="1:16">
      <c r="A209" s="26">
        <v>200</v>
      </c>
      <c r="B209" s="841"/>
      <c r="C209" s="777"/>
      <c r="D209" s="777"/>
      <c r="E209" s="777"/>
      <c r="F209" s="818"/>
      <c r="G209" s="818"/>
      <c r="H209" s="845"/>
      <c r="I209" s="845"/>
      <c r="J209" s="777"/>
      <c r="K209" s="777"/>
      <c r="L209" s="843">
        <f>SUM(L197:L208)</f>
        <v>0</v>
      </c>
      <c r="M209" s="843"/>
      <c r="N209" s="843"/>
      <c r="O209" s="843"/>
      <c r="P209" s="847"/>
    </row>
    <row r="210" spans="1:16">
      <c r="A210" s="26">
        <v>201</v>
      </c>
      <c r="B210" s="652"/>
      <c r="C210" s="3"/>
      <c r="D210" s="3"/>
      <c r="E210" s="3"/>
      <c r="F210" s="3"/>
      <c r="G210" s="3"/>
      <c r="H210" s="3"/>
      <c r="I210" s="3"/>
      <c r="J210" s="3"/>
      <c r="K210" s="3"/>
      <c r="L210" s="3"/>
      <c r="M210" s="3"/>
      <c r="N210" s="3"/>
      <c r="O210" s="3"/>
      <c r="P210" s="643"/>
    </row>
    <row r="211" spans="1:16">
      <c r="A211" s="26">
        <v>202</v>
      </c>
      <c r="B211" s="841" t="s">
        <v>1063</v>
      </c>
      <c r="C211" s="777"/>
      <c r="D211" s="3"/>
      <c r="E211" s="3"/>
      <c r="F211" s="3" t="s">
        <v>1064</v>
      </c>
      <c r="G211" s="3"/>
      <c r="H211" s="3"/>
      <c r="I211" s="3"/>
      <c r="J211" s="3"/>
      <c r="K211" s="3"/>
      <c r="L211" s="3"/>
      <c r="M211" s="3"/>
      <c r="N211" s="638">
        <f>+F197*-1+L209</f>
        <v>0</v>
      </c>
      <c r="O211" s="3"/>
      <c r="P211" s="643"/>
    </row>
    <row r="212" spans="1:16">
      <c r="A212" s="26">
        <v>203</v>
      </c>
      <c r="B212" s="841" t="s">
        <v>1045</v>
      </c>
      <c r="C212" s="777"/>
      <c r="D212" s="3"/>
      <c r="E212" s="3"/>
      <c r="F212" s="3" t="s">
        <v>1065</v>
      </c>
      <c r="G212" s="3"/>
      <c r="H212" s="3"/>
      <c r="I212" s="3"/>
      <c r="J212" s="3"/>
      <c r="K212" s="3"/>
      <c r="L212" s="3"/>
      <c r="M212" s="3"/>
      <c r="N212" s="638"/>
      <c r="O212" s="3"/>
      <c r="P212" s="643"/>
    </row>
    <row r="213" spans="1:16">
      <c r="A213" s="26">
        <v>204</v>
      </c>
      <c r="B213" s="856" t="s">
        <v>1047</v>
      </c>
      <c r="C213" s="857"/>
      <c r="D213" s="322"/>
      <c r="E213" s="322"/>
      <c r="F213" s="322" t="s">
        <v>1066</v>
      </c>
      <c r="G213" s="322"/>
      <c r="H213" s="322"/>
      <c r="I213" s="322"/>
      <c r="J213" s="322"/>
      <c r="K213" s="322"/>
      <c r="L213" s="322"/>
      <c r="M213" s="322"/>
      <c r="N213" s="656"/>
      <c r="O213" s="322"/>
      <c r="P213" s="323"/>
    </row>
    <row r="214" spans="1:16">
      <c r="A214" s="26">
        <v>205</v>
      </c>
      <c r="B214" s="3"/>
      <c r="C214" s="3"/>
      <c r="D214" s="3"/>
      <c r="E214" s="3"/>
      <c r="F214" s="3"/>
      <c r="G214" s="3"/>
      <c r="H214" s="3"/>
      <c r="I214" s="3"/>
      <c r="J214" s="3"/>
      <c r="K214" s="3"/>
      <c r="L214" s="3"/>
      <c r="M214" s="3"/>
      <c r="N214" s="3"/>
      <c r="O214" s="3"/>
      <c r="P214" s="3"/>
    </row>
    <row r="215" spans="1:16">
      <c r="A215" s="26">
        <v>206</v>
      </c>
      <c r="B215" s="3"/>
      <c r="C215" s="3"/>
      <c r="D215" s="3"/>
      <c r="E215" s="3"/>
      <c r="F215" s="3"/>
      <c r="G215" s="3"/>
      <c r="H215" s="3"/>
      <c r="I215" s="3"/>
      <c r="J215" s="3"/>
      <c r="K215" s="3"/>
      <c r="L215" s="3"/>
      <c r="M215" s="3"/>
      <c r="N215" s="3"/>
      <c r="O215" s="3"/>
      <c r="P215" s="3"/>
    </row>
    <row r="216" spans="1:16">
      <c r="A216" s="26">
        <v>207</v>
      </c>
      <c r="B216" s="831" t="s">
        <v>1067</v>
      </c>
      <c r="C216" s="832"/>
      <c r="D216" s="833"/>
      <c r="E216" s="833"/>
      <c r="F216" s="833"/>
      <c r="G216" s="833"/>
      <c r="H216" s="834"/>
      <c r="I216" s="834"/>
      <c r="J216" s="834"/>
      <c r="K216" s="834"/>
      <c r="L216" s="835"/>
      <c r="M216" s="835"/>
      <c r="N216" s="833"/>
      <c r="O216" s="833"/>
      <c r="P216" s="836"/>
    </row>
    <row r="217" spans="1:16">
      <c r="A217" s="26">
        <v>208</v>
      </c>
      <c r="B217" s="837"/>
      <c r="C217" s="838"/>
      <c r="D217" s="778"/>
      <c r="E217" s="778"/>
      <c r="F217" s="778"/>
      <c r="G217" s="778"/>
      <c r="H217" s="777"/>
      <c r="I217" s="777"/>
      <c r="J217" s="777"/>
      <c r="K217" s="777"/>
      <c r="L217" s="780" t="s">
        <v>1030</v>
      </c>
      <c r="M217" s="780"/>
      <c r="N217" s="778"/>
      <c r="O217" s="778"/>
      <c r="P217" s="839"/>
    </row>
    <row r="218" spans="1:16">
      <c r="A218" s="26">
        <v>209</v>
      </c>
      <c r="B218" s="840"/>
      <c r="C218" s="838"/>
      <c r="D218" s="778"/>
      <c r="E218" s="778"/>
      <c r="F218" s="778"/>
      <c r="G218" s="778"/>
      <c r="H218" s="777"/>
      <c r="I218" s="777"/>
      <c r="J218" s="777"/>
      <c r="K218" s="777"/>
      <c r="L218" s="780"/>
      <c r="M218" s="780"/>
      <c r="N218" s="778"/>
      <c r="O218" s="778"/>
      <c r="P218" s="839"/>
    </row>
    <row r="219" spans="1:16">
      <c r="A219" s="26">
        <v>210</v>
      </c>
      <c r="B219" s="841" t="s">
        <v>577</v>
      </c>
      <c r="C219" s="777"/>
      <c r="D219" s="777" t="s">
        <v>1038</v>
      </c>
      <c r="E219" s="777"/>
      <c r="F219" s="842">
        <f>+$L$14/12</f>
        <v>0</v>
      </c>
      <c r="G219" s="843"/>
      <c r="H219" s="844">
        <f>+$N$14</f>
        <v>0</v>
      </c>
      <c r="I219" s="845"/>
      <c r="J219" s="846">
        <v>12</v>
      </c>
      <c r="K219" s="777"/>
      <c r="L219" s="843">
        <f>+F219*H219*J219*-1</f>
        <v>0</v>
      </c>
      <c r="M219" s="843"/>
      <c r="N219" s="843"/>
      <c r="O219" s="843"/>
      <c r="P219" s="847">
        <f>+F219*-1+L219</f>
        <v>0</v>
      </c>
    </row>
    <row r="220" spans="1:16">
      <c r="A220" s="26">
        <v>211</v>
      </c>
      <c r="B220" s="841" t="s">
        <v>578</v>
      </c>
      <c r="C220" s="777"/>
      <c r="D220" s="777" t="s">
        <v>1038</v>
      </c>
      <c r="E220" s="777"/>
      <c r="F220" s="842">
        <f t="shared" ref="F220:F230" si="41">+$L$14/12</f>
        <v>0</v>
      </c>
      <c r="G220" s="843"/>
      <c r="H220" s="844">
        <f t="shared" ref="H220:H230" si="42">+$N$14</f>
        <v>0</v>
      </c>
      <c r="I220" s="845"/>
      <c r="J220" s="848">
        <v>11</v>
      </c>
      <c r="K220" s="3"/>
      <c r="L220" s="843">
        <f t="shared" ref="L220:L230" si="43">+F220*H220*J220*-1</f>
        <v>0</v>
      </c>
      <c r="M220" s="843"/>
      <c r="N220" s="843"/>
      <c r="O220" s="843"/>
      <c r="P220" s="847">
        <f t="shared" ref="P220:P230" si="44">+F220*-1+L220</f>
        <v>0</v>
      </c>
    </row>
    <row r="221" spans="1:16">
      <c r="A221" s="26">
        <v>212</v>
      </c>
      <c r="B221" s="841" t="s">
        <v>663</v>
      </c>
      <c r="C221" s="777"/>
      <c r="D221" s="777" t="s">
        <v>1038</v>
      </c>
      <c r="E221" s="777"/>
      <c r="F221" s="842">
        <f t="shared" si="41"/>
        <v>0</v>
      </c>
      <c r="G221" s="843"/>
      <c r="H221" s="844">
        <f t="shared" si="42"/>
        <v>0</v>
      </c>
      <c r="I221" s="845"/>
      <c r="J221" s="848">
        <v>10</v>
      </c>
      <c r="K221" s="3"/>
      <c r="L221" s="843">
        <f t="shared" si="43"/>
        <v>0</v>
      </c>
      <c r="M221" s="843"/>
      <c r="N221" s="843"/>
      <c r="O221" s="843"/>
      <c r="P221" s="847">
        <f t="shared" si="44"/>
        <v>0</v>
      </c>
    </row>
    <row r="222" spans="1:16">
      <c r="A222" s="26">
        <v>213</v>
      </c>
      <c r="B222" s="841" t="s">
        <v>580</v>
      </c>
      <c r="C222" s="777"/>
      <c r="D222" s="777" t="s">
        <v>1038</v>
      </c>
      <c r="E222" s="777"/>
      <c r="F222" s="842">
        <f t="shared" si="41"/>
        <v>0</v>
      </c>
      <c r="G222" s="843"/>
      <c r="H222" s="844">
        <f t="shared" si="42"/>
        <v>0</v>
      </c>
      <c r="I222" s="845"/>
      <c r="J222" s="848">
        <v>9</v>
      </c>
      <c r="K222" s="3"/>
      <c r="L222" s="843">
        <f t="shared" si="43"/>
        <v>0</v>
      </c>
      <c r="M222" s="843"/>
      <c r="N222" s="843"/>
      <c r="O222" s="843"/>
      <c r="P222" s="847">
        <f t="shared" si="44"/>
        <v>0</v>
      </c>
    </row>
    <row r="223" spans="1:16">
      <c r="A223" s="26">
        <v>214</v>
      </c>
      <c r="B223" s="841" t="s">
        <v>581</v>
      </c>
      <c r="C223" s="777"/>
      <c r="D223" s="777" t="s">
        <v>1038</v>
      </c>
      <c r="E223" s="777"/>
      <c r="F223" s="842">
        <f t="shared" si="41"/>
        <v>0</v>
      </c>
      <c r="G223" s="843"/>
      <c r="H223" s="844">
        <f t="shared" si="42"/>
        <v>0</v>
      </c>
      <c r="I223" s="845"/>
      <c r="J223" s="848">
        <v>8</v>
      </c>
      <c r="K223" s="3"/>
      <c r="L223" s="843">
        <f t="shared" si="43"/>
        <v>0</v>
      </c>
      <c r="M223" s="843"/>
      <c r="N223" s="843"/>
      <c r="O223" s="843"/>
      <c r="P223" s="847">
        <f t="shared" si="44"/>
        <v>0</v>
      </c>
    </row>
    <row r="224" spans="1:16">
      <c r="A224" s="26">
        <v>215</v>
      </c>
      <c r="B224" s="841" t="s">
        <v>582</v>
      </c>
      <c r="C224" s="777"/>
      <c r="D224" s="777" t="s">
        <v>1038</v>
      </c>
      <c r="E224" s="777"/>
      <c r="F224" s="842">
        <f t="shared" si="41"/>
        <v>0</v>
      </c>
      <c r="G224" s="843"/>
      <c r="H224" s="844">
        <f t="shared" si="42"/>
        <v>0</v>
      </c>
      <c r="I224" s="845"/>
      <c r="J224" s="848">
        <v>7</v>
      </c>
      <c r="K224" s="3"/>
      <c r="L224" s="843">
        <f t="shared" si="43"/>
        <v>0</v>
      </c>
      <c r="M224" s="843"/>
      <c r="N224" s="843"/>
      <c r="O224" s="843"/>
      <c r="P224" s="847">
        <f t="shared" si="44"/>
        <v>0</v>
      </c>
    </row>
    <row r="225" spans="1:16">
      <c r="A225" s="26">
        <v>216</v>
      </c>
      <c r="B225" s="841" t="s">
        <v>583</v>
      </c>
      <c r="C225" s="777"/>
      <c r="D225" s="777" t="s">
        <v>1038</v>
      </c>
      <c r="E225" s="777"/>
      <c r="F225" s="842">
        <f t="shared" si="41"/>
        <v>0</v>
      </c>
      <c r="G225" s="843"/>
      <c r="H225" s="844">
        <f t="shared" si="42"/>
        <v>0</v>
      </c>
      <c r="I225" s="845"/>
      <c r="J225" s="848">
        <v>6</v>
      </c>
      <c r="K225" s="3"/>
      <c r="L225" s="843">
        <f t="shared" si="43"/>
        <v>0</v>
      </c>
      <c r="M225" s="843"/>
      <c r="N225" s="843"/>
      <c r="O225" s="843"/>
      <c r="P225" s="847">
        <f t="shared" si="44"/>
        <v>0</v>
      </c>
    </row>
    <row r="226" spans="1:16">
      <c r="A226" s="26">
        <v>217</v>
      </c>
      <c r="B226" s="841" t="s">
        <v>665</v>
      </c>
      <c r="C226" s="777"/>
      <c r="D226" s="777" t="s">
        <v>1038</v>
      </c>
      <c r="E226" s="777"/>
      <c r="F226" s="842">
        <f t="shared" si="41"/>
        <v>0</v>
      </c>
      <c r="G226" s="843"/>
      <c r="H226" s="844">
        <f t="shared" si="42"/>
        <v>0</v>
      </c>
      <c r="I226" s="845"/>
      <c r="J226" s="848">
        <v>5</v>
      </c>
      <c r="K226" s="3"/>
      <c r="L226" s="843">
        <f t="shared" si="43"/>
        <v>0</v>
      </c>
      <c r="M226" s="843"/>
      <c r="N226" s="843"/>
      <c r="O226" s="843"/>
      <c r="P226" s="847">
        <f t="shared" si="44"/>
        <v>0</v>
      </c>
    </row>
    <row r="227" spans="1:16">
      <c r="A227" s="26">
        <v>218</v>
      </c>
      <c r="B227" s="841" t="s">
        <v>585</v>
      </c>
      <c r="C227" s="777"/>
      <c r="D227" s="777" t="s">
        <v>1038</v>
      </c>
      <c r="E227" s="777"/>
      <c r="F227" s="842">
        <f t="shared" si="41"/>
        <v>0</v>
      </c>
      <c r="G227" s="843"/>
      <c r="H227" s="844">
        <f t="shared" si="42"/>
        <v>0</v>
      </c>
      <c r="I227" s="845"/>
      <c r="J227" s="848">
        <v>4</v>
      </c>
      <c r="K227" s="3"/>
      <c r="L227" s="843">
        <f t="shared" si="43"/>
        <v>0</v>
      </c>
      <c r="M227" s="843"/>
      <c r="N227" s="843"/>
      <c r="O227" s="843"/>
      <c r="P227" s="847">
        <f t="shared" si="44"/>
        <v>0</v>
      </c>
    </row>
    <row r="228" spans="1:16">
      <c r="A228" s="26">
        <v>219</v>
      </c>
      <c r="B228" s="841" t="s">
        <v>586</v>
      </c>
      <c r="C228" s="777"/>
      <c r="D228" s="777" t="s">
        <v>1038</v>
      </c>
      <c r="E228" s="777"/>
      <c r="F228" s="842">
        <f t="shared" si="41"/>
        <v>0</v>
      </c>
      <c r="G228" s="843"/>
      <c r="H228" s="844">
        <f t="shared" si="42"/>
        <v>0</v>
      </c>
      <c r="I228" s="845"/>
      <c r="J228" s="848">
        <v>3</v>
      </c>
      <c r="K228" s="3"/>
      <c r="L228" s="843">
        <f t="shared" si="43"/>
        <v>0</v>
      </c>
      <c r="M228" s="843"/>
      <c r="N228" s="843"/>
      <c r="O228" s="843"/>
      <c r="P228" s="847">
        <f t="shared" si="44"/>
        <v>0</v>
      </c>
    </row>
    <row r="229" spans="1:16">
      <c r="A229" s="26">
        <v>220</v>
      </c>
      <c r="B229" s="841" t="s">
        <v>587</v>
      </c>
      <c r="C229" s="777"/>
      <c r="D229" s="777" t="s">
        <v>1038</v>
      </c>
      <c r="E229" s="777"/>
      <c r="F229" s="842">
        <f t="shared" si="41"/>
        <v>0</v>
      </c>
      <c r="G229" s="843"/>
      <c r="H229" s="844">
        <f t="shared" si="42"/>
        <v>0</v>
      </c>
      <c r="I229" s="845"/>
      <c r="J229" s="848">
        <v>2</v>
      </c>
      <c r="K229" s="3"/>
      <c r="L229" s="843">
        <f t="shared" si="43"/>
        <v>0</v>
      </c>
      <c r="M229" s="843"/>
      <c r="N229" s="843"/>
      <c r="O229" s="843"/>
      <c r="P229" s="847">
        <f t="shared" si="44"/>
        <v>0</v>
      </c>
    </row>
    <row r="230" spans="1:16">
      <c r="A230" s="26">
        <v>221</v>
      </c>
      <c r="B230" s="841" t="s">
        <v>666</v>
      </c>
      <c r="C230" s="777"/>
      <c r="D230" s="777" t="s">
        <v>1038</v>
      </c>
      <c r="E230" s="777"/>
      <c r="F230" s="842">
        <f t="shared" si="41"/>
        <v>0</v>
      </c>
      <c r="G230" s="843"/>
      <c r="H230" s="844">
        <f t="shared" si="42"/>
        <v>0</v>
      </c>
      <c r="I230" s="845"/>
      <c r="J230" s="848">
        <v>1</v>
      </c>
      <c r="K230" s="3"/>
      <c r="L230" s="849">
        <f t="shared" si="43"/>
        <v>0</v>
      </c>
      <c r="M230" s="843"/>
      <c r="N230" s="843"/>
      <c r="O230" s="843"/>
      <c r="P230" s="850">
        <f t="shared" si="44"/>
        <v>0</v>
      </c>
    </row>
    <row r="231" spans="1:16">
      <c r="A231" s="26">
        <v>222</v>
      </c>
      <c r="B231" s="841"/>
      <c r="C231" s="777"/>
      <c r="D231" s="777"/>
      <c r="E231" s="777"/>
      <c r="F231" s="843"/>
      <c r="G231" s="843"/>
      <c r="H231" s="845"/>
      <c r="I231" s="845"/>
      <c r="J231" s="3"/>
      <c r="K231" s="3"/>
      <c r="L231" s="843">
        <f>SUM(L219:L230)</f>
        <v>0</v>
      </c>
      <c r="M231" s="843"/>
      <c r="N231" s="843"/>
      <c r="O231" s="843"/>
      <c r="P231" s="851">
        <f>SUM(P219:P230)</f>
        <v>0</v>
      </c>
    </row>
    <row r="232" spans="1:16">
      <c r="A232" s="26">
        <v>223</v>
      </c>
      <c r="B232" s="841"/>
      <c r="C232" s="777"/>
      <c r="D232" s="777"/>
      <c r="E232" s="777"/>
      <c r="F232" s="843"/>
      <c r="G232" s="843"/>
      <c r="H232" s="845"/>
      <c r="I232" s="845"/>
      <c r="J232" s="3"/>
      <c r="K232" s="3"/>
      <c r="L232" s="843"/>
      <c r="M232" s="843"/>
      <c r="N232" s="843"/>
      <c r="O232" s="843"/>
      <c r="P232" s="852"/>
    </row>
    <row r="233" spans="1:16">
      <c r="A233" s="26">
        <v>224</v>
      </c>
      <c r="B233" s="841"/>
      <c r="C233" s="777"/>
      <c r="D233" s="777"/>
      <c r="E233" s="777"/>
      <c r="F233" s="843"/>
      <c r="G233" s="843"/>
      <c r="H233" s="845"/>
      <c r="I233" s="845"/>
      <c r="J233" s="3"/>
      <c r="K233" s="3"/>
      <c r="L233" s="853" t="s">
        <v>1033</v>
      </c>
      <c r="M233" s="843"/>
      <c r="N233" s="843"/>
      <c r="O233" s="843"/>
      <c r="P233" s="852"/>
    </row>
    <row r="234" spans="1:16">
      <c r="A234" s="26">
        <v>225</v>
      </c>
      <c r="B234" s="841"/>
      <c r="C234" s="777"/>
      <c r="D234" s="777"/>
      <c r="E234" s="777"/>
      <c r="F234" s="843"/>
      <c r="G234" s="843"/>
      <c r="H234" s="845"/>
      <c r="I234" s="845"/>
      <c r="J234" s="3"/>
      <c r="K234" s="3"/>
      <c r="L234" s="853"/>
      <c r="M234" s="843"/>
      <c r="N234" s="843"/>
      <c r="O234" s="843"/>
      <c r="P234" s="852"/>
    </row>
    <row r="235" spans="1:16">
      <c r="A235" s="26">
        <v>226</v>
      </c>
      <c r="B235" s="841" t="s">
        <v>1034</v>
      </c>
      <c r="C235" s="777"/>
      <c r="D235" s="777" t="s">
        <v>1039</v>
      </c>
      <c r="E235" s="777"/>
      <c r="F235" s="818">
        <f>+P231</f>
        <v>0</v>
      </c>
      <c r="G235" s="818"/>
      <c r="H235" s="844">
        <f>+N14</f>
        <v>0</v>
      </c>
      <c r="I235" s="845"/>
      <c r="J235" s="846">
        <v>12</v>
      </c>
      <c r="K235" s="777"/>
      <c r="L235" s="843">
        <f>+F235*H235*J235</f>
        <v>0</v>
      </c>
      <c r="M235" s="843"/>
      <c r="N235" s="843"/>
      <c r="O235" s="843"/>
      <c r="P235" s="852">
        <f>+F235+L235</f>
        <v>0</v>
      </c>
    </row>
    <row r="236" spans="1:16">
      <c r="A236" s="26">
        <v>227</v>
      </c>
      <c r="B236" s="841"/>
      <c r="C236" s="777"/>
      <c r="D236" s="777"/>
      <c r="E236" s="777"/>
      <c r="F236" s="818"/>
      <c r="G236" s="818"/>
      <c r="H236" s="845"/>
      <c r="I236" s="845"/>
      <c r="J236" s="777"/>
      <c r="K236" s="777"/>
      <c r="L236" s="843"/>
      <c r="M236" s="843"/>
      <c r="N236" s="843"/>
      <c r="O236" s="843"/>
      <c r="P236" s="852"/>
    </row>
    <row r="237" spans="1:16">
      <c r="A237" s="26">
        <v>228</v>
      </c>
      <c r="B237" s="841"/>
      <c r="C237" s="777"/>
      <c r="D237" s="777"/>
      <c r="E237" s="777"/>
      <c r="F237" s="818"/>
      <c r="G237" s="818"/>
      <c r="H237" s="845"/>
      <c r="I237" s="845"/>
      <c r="J237" s="777"/>
      <c r="K237" s="777"/>
      <c r="L237" s="843"/>
      <c r="M237" s="843"/>
      <c r="N237" s="843"/>
      <c r="O237" s="843"/>
      <c r="P237" s="847"/>
    </row>
    <row r="238" spans="1:16">
      <c r="A238" s="26">
        <v>229</v>
      </c>
      <c r="B238" s="854" t="s">
        <v>1040</v>
      </c>
      <c r="C238" s="855"/>
      <c r="D238" s="777"/>
      <c r="E238" s="777"/>
      <c r="F238" s="843"/>
      <c r="G238" s="843"/>
      <c r="H238" s="845"/>
      <c r="I238" s="845"/>
      <c r="J238" s="777"/>
      <c r="K238" s="777"/>
      <c r="L238" s="853" t="s">
        <v>1041</v>
      </c>
      <c r="M238" s="853"/>
      <c r="N238" s="843"/>
      <c r="O238" s="843"/>
      <c r="P238" s="847"/>
    </row>
    <row r="239" spans="1:16">
      <c r="A239" s="26">
        <v>230</v>
      </c>
      <c r="B239" s="841" t="s">
        <v>577</v>
      </c>
      <c r="C239" s="777"/>
      <c r="D239" s="777" t="s">
        <v>1042</v>
      </c>
      <c r="E239" s="777"/>
      <c r="F239" s="861">
        <f>+P235*-1</f>
        <v>0</v>
      </c>
      <c r="G239" s="818"/>
      <c r="H239" s="844">
        <f>+$N$14</f>
        <v>0</v>
      </c>
      <c r="I239" s="845"/>
      <c r="J239" s="777"/>
      <c r="K239" s="777"/>
      <c r="L239" s="843">
        <f>+F239*H239*-1</f>
        <v>0</v>
      </c>
      <c r="M239" s="843"/>
      <c r="N239" s="843">
        <f>+$N$253/12</f>
        <v>0</v>
      </c>
      <c r="O239" s="843"/>
      <c r="P239" s="847">
        <f>+F239*-1-N239</f>
        <v>0</v>
      </c>
    </row>
    <row r="240" spans="1:16">
      <c r="A240" s="26">
        <v>231</v>
      </c>
      <c r="B240" s="841" t="s">
        <v>578</v>
      </c>
      <c r="C240" s="777"/>
      <c r="D240" s="777" t="s">
        <v>1042</v>
      </c>
      <c r="E240" s="777"/>
      <c r="F240" s="843">
        <f>+F239-($F$239/12)</f>
        <v>0</v>
      </c>
      <c r="G240" s="818"/>
      <c r="H240" s="844">
        <f t="shared" ref="H240:H250" si="45">+$N$14</f>
        <v>0</v>
      </c>
      <c r="I240" s="845"/>
      <c r="J240" s="777"/>
      <c r="K240" s="777"/>
      <c r="L240" s="843">
        <f t="shared" ref="L240:L250" si="46">+F240*H240*-1</f>
        <v>0</v>
      </c>
      <c r="M240" s="843"/>
      <c r="N240" s="843">
        <f t="shared" ref="N240:N250" si="47">+$N$253/12</f>
        <v>0</v>
      </c>
      <c r="O240" s="843"/>
      <c r="P240" s="847">
        <f t="shared" ref="P240:P250" si="48">+F240*-1-N240</f>
        <v>0</v>
      </c>
    </row>
    <row r="241" spans="1:16">
      <c r="A241" s="26">
        <v>232</v>
      </c>
      <c r="B241" s="841" t="s">
        <v>663</v>
      </c>
      <c r="C241" s="777"/>
      <c r="D241" s="777" t="s">
        <v>1042</v>
      </c>
      <c r="E241" s="777"/>
      <c r="F241" s="843">
        <f t="shared" ref="F241:F250" si="49">+F240-($F$239/12)</f>
        <v>0</v>
      </c>
      <c r="G241" s="818"/>
      <c r="H241" s="844">
        <f t="shared" si="45"/>
        <v>0</v>
      </c>
      <c r="I241" s="845"/>
      <c r="J241" s="777"/>
      <c r="K241" s="777"/>
      <c r="L241" s="843">
        <f t="shared" si="46"/>
        <v>0</v>
      </c>
      <c r="M241" s="843"/>
      <c r="N241" s="843">
        <f t="shared" si="47"/>
        <v>0</v>
      </c>
      <c r="O241" s="843"/>
      <c r="P241" s="847">
        <f t="shared" si="48"/>
        <v>0</v>
      </c>
    </row>
    <row r="242" spans="1:16">
      <c r="A242" s="26">
        <v>233</v>
      </c>
      <c r="B242" s="841" t="s">
        <v>580</v>
      </c>
      <c r="C242" s="777"/>
      <c r="D242" s="777" t="s">
        <v>1042</v>
      </c>
      <c r="E242" s="777"/>
      <c r="F242" s="843">
        <f t="shared" si="49"/>
        <v>0</v>
      </c>
      <c r="G242" s="818"/>
      <c r="H242" s="844">
        <f t="shared" si="45"/>
        <v>0</v>
      </c>
      <c r="I242" s="845"/>
      <c r="J242" s="777"/>
      <c r="K242" s="777"/>
      <c r="L242" s="843">
        <f t="shared" si="46"/>
        <v>0</v>
      </c>
      <c r="M242" s="843"/>
      <c r="N242" s="843">
        <f t="shared" si="47"/>
        <v>0</v>
      </c>
      <c r="O242" s="843"/>
      <c r="P242" s="847">
        <f t="shared" si="48"/>
        <v>0</v>
      </c>
    </row>
    <row r="243" spans="1:16">
      <c r="A243" s="26">
        <v>234</v>
      </c>
      <c r="B243" s="841" t="s">
        <v>581</v>
      </c>
      <c r="C243" s="777"/>
      <c r="D243" s="777" t="s">
        <v>1042</v>
      </c>
      <c r="E243" s="777"/>
      <c r="F243" s="843">
        <f t="shared" si="49"/>
        <v>0</v>
      </c>
      <c r="G243" s="818"/>
      <c r="H243" s="844">
        <f t="shared" si="45"/>
        <v>0</v>
      </c>
      <c r="I243" s="845"/>
      <c r="J243" s="777"/>
      <c r="K243" s="777"/>
      <c r="L243" s="843">
        <f t="shared" si="46"/>
        <v>0</v>
      </c>
      <c r="M243" s="843"/>
      <c r="N243" s="843">
        <f t="shared" si="47"/>
        <v>0</v>
      </c>
      <c r="O243" s="843"/>
      <c r="P243" s="847">
        <f t="shared" si="48"/>
        <v>0</v>
      </c>
    </row>
    <row r="244" spans="1:16">
      <c r="A244" s="26">
        <v>235</v>
      </c>
      <c r="B244" s="841" t="s">
        <v>582</v>
      </c>
      <c r="C244" s="777"/>
      <c r="D244" s="777" t="s">
        <v>1042</v>
      </c>
      <c r="E244" s="777"/>
      <c r="F244" s="843">
        <f t="shared" si="49"/>
        <v>0</v>
      </c>
      <c r="G244" s="818"/>
      <c r="H244" s="844">
        <f t="shared" si="45"/>
        <v>0</v>
      </c>
      <c r="I244" s="845"/>
      <c r="J244" s="777"/>
      <c r="K244" s="777"/>
      <c r="L244" s="843">
        <f t="shared" si="46"/>
        <v>0</v>
      </c>
      <c r="M244" s="843"/>
      <c r="N244" s="843">
        <f t="shared" si="47"/>
        <v>0</v>
      </c>
      <c r="O244" s="843"/>
      <c r="P244" s="847">
        <f t="shared" si="48"/>
        <v>0</v>
      </c>
    </row>
    <row r="245" spans="1:16">
      <c r="A245" s="26">
        <v>236</v>
      </c>
      <c r="B245" s="841" t="s">
        <v>583</v>
      </c>
      <c r="C245" s="777"/>
      <c r="D245" s="777" t="s">
        <v>1042</v>
      </c>
      <c r="E245" s="777"/>
      <c r="F245" s="843">
        <f t="shared" si="49"/>
        <v>0</v>
      </c>
      <c r="G245" s="818"/>
      <c r="H245" s="844">
        <f t="shared" si="45"/>
        <v>0</v>
      </c>
      <c r="I245" s="845"/>
      <c r="J245" s="777"/>
      <c r="K245" s="777"/>
      <c r="L245" s="843">
        <f t="shared" si="46"/>
        <v>0</v>
      </c>
      <c r="M245" s="843"/>
      <c r="N245" s="843">
        <f t="shared" si="47"/>
        <v>0</v>
      </c>
      <c r="O245" s="843"/>
      <c r="P245" s="847">
        <f t="shared" si="48"/>
        <v>0</v>
      </c>
    </row>
    <row r="246" spans="1:16">
      <c r="A246" s="26">
        <v>237</v>
      </c>
      <c r="B246" s="841" t="s">
        <v>665</v>
      </c>
      <c r="C246" s="777"/>
      <c r="D246" s="777" t="s">
        <v>1042</v>
      </c>
      <c r="E246" s="777"/>
      <c r="F246" s="843">
        <f t="shared" si="49"/>
        <v>0</v>
      </c>
      <c r="G246" s="818"/>
      <c r="H246" s="844">
        <f t="shared" si="45"/>
        <v>0</v>
      </c>
      <c r="I246" s="845"/>
      <c r="J246" s="777"/>
      <c r="K246" s="777"/>
      <c r="L246" s="843">
        <f t="shared" si="46"/>
        <v>0</v>
      </c>
      <c r="M246" s="843"/>
      <c r="N246" s="843">
        <f t="shared" si="47"/>
        <v>0</v>
      </c>
      <c r="O246" s="843"/>
      <c r="P246" s="847">
        <f t="shared" si="48"/>
        <v>0</v>
      </c>
    </row>
    <row r="247" spans="1:16">
      <c r="A247" s="26">
        <v>238</v>
      </c>
      <c r="B247" s="841" t="s">
        <v>585</v>
      </c>
      <c r="C247" s="777"/>
      <c r="D247" s="777" t="s">
        <v>1042</v>
      </c>
      <c r="E247" s="777"/>
      <c r="F247" s="843">
        <f t="shared" si="49"/>
        <v>0</v>
      </c>
      <c r="G247" s="818"/>
      <c r="H247" s="844">
        <f t="shared" si="45"/>
        <v>0</v>
      </c>
      <c r="I247" s="845"/>
      <c r="J247" s="777"/>
      <c r="K247" s="777"/>
      <c r="L247" s="843">
        <f t="shared" si="46"/>
        <v>0</v>
      </c>
      <c r="M247" s="843"/>
      <c r="N247" s="843">
        <f t="shared" si="47"/>
        <v>0</v>
      </c>
      <c r="O247" s="843"/>
      <c r="P247" s="847">
        <f t="shared" si="48"/>
        <v>0</v>
      </c>
    </row>
    <row r="248" spans="1:16">
      <c r="A248" s="26">
        <v>239</v>
      </c>
      <c r="B248" s="841" t="s">
        <v>586</v>
      </c>
      <c r="C248" s="777"/>
      <c r="D248" s="777" t="s">
        <v>1042</v>
      </c>
      <c r="E248" s="777"/>
      <c r="F248" s="843">
        <f t="shared" si="49"/>
        <v>0</v>
      </c>
      <c r="G248" s="818"/>
      <c r="H248" s="844">
        <f t="shared" si="45"/>
        <v>0</v>
      </c>
      <c r="I248" s="845"/>
      <c r="J248" s="777"/>
      <c r="K248" s="777"/>
      <c r="L248" s="843">
        <f t="shared" si="46"/>
        <v>0</v>
      </c>
      <c r="M248" s="843"/>
      <c r="N248" s="843">
        <f t="shared" si="47"/>
        <v>0</v>
      </c>
      <c r="O248" s="843"/>
      <c r="P248" s="847">
        <f t="shared" si="48"/>
        <v>0</v>
      </c>
    </row>
    <row r="249" spans="1:16">
      <c r="A249" s="26">
        <v>240</v>
      </c>
      <c r="B249" s="841" t="s">
        <v>587</v>
      </c>
      <c r="C249" s="777"/>
      <c r="D249" s="777" t="s">
        <v>1042</v>
      </c>
      <c r="E249" s="777"/>
      <c r="F249" s="843">
        <f t="shared" si="49"/>
        <v>0</v>
      </c>
      <c r="G249" s="818"/>
      <c r="H249" s="844">
        <f t="shared" si="45"/>
        <v>0</v>
      </c>
      <c r="I249" s="845"/>
      <c r="J249" s="777"/>
      <c r="K249" s="777"/>
      <c r="L249" s="843">
        <f t="shared" si="46"/>
        <v>0</v>
      </c>
      <c r="M249" s="843"/>
      <c r="N249" s="843">
        <f t="shared" si="47"/>
        <v>0</v>
      </c>
      <c r="O249" s="843"/>
      <c r="P249" s="847">
        <f t="shared" si="48"/>
        <v>0</v>
      </c>
    </row>
    <row r="250" spans="1:16" ht="17.25">
      <c r="A250" s="26">
        <v>241</v>
      </c>
      <c r="B250" s="841" t="s">
        <v>666</v>
      </c>
      <c r="C250" s="777"/>
      <c r="D250" s="777" t="s">
        <v>1042</v>
      </c>
      <c r="E250" s="777"/>
      <c r="F250" s="843">
        <f t="shared" si="49"/>
        <v>0</v>
      </c>
      <c r="G250" s="818"/>
      <c r="H250" s="844">
        <f t="shared" si="45"/>
        <v>0</v>
      </c>
      <c r="I250" s="845"/>
      <c r="J250" s="777"/>
      <c r="K250" s="777"/>
      <c r="L250" s="860">
        <f t="shared" si="46"/>
        <v>0</v>
      </c>
      <c r="M250" s="843"/>
      <c r="N250" s="843">
        <f t="shared" si="47"/>
        <v>0</v>
      </c>
      <c r="O250" s="843"/>
      <c r="P250" s="847">
        <f t="shared" si="48"/>
        <v>0</v>
      </c>
    </row>
    <row r="251" spans="1:16">
      <c r="A251" s="26">
        <v>242</v>
      </c>
      <c r="B251" s="841"/>
      <c r="C251" s="777"/>
      <c r="D251" s="777"/>
      <c r="E251" s="777"/>
      <c r="F251" s="818"/>
      <c r="G251" s="818"/>
      <c r="H251" s="845"/>
      <c r="I251" s="845"/>
      <c r="J251" s="777"/>
      <c r="K251" s="777"/>
      <c r="L251" s="843">
        <f>+SUM(L239:L250)</f>
        <v>0</v>
      </c>
      <c r="M251" s="843"/>
      <c r="N251" s="843"/>
      <c r="O251" s="843"/>
      <c r="P251" s="847"/>
    </row>
    <row r="252" spans="1:16">
      <c r="A252" s="26">
        <v>243</v>
      </c>
      <c r="B252" s="652"/>
      <c r="C252" s="3"/>
      <c r="D252" s="3"/>
      <c r="E252" s="3"/>
      <c r="F252" s="3"/>
      <c r="G252" s="3"/>
      <c r="H252" s="3"/>
      <c r="I252" s="3"/>
      <c r="J252" s="3"/>
      <c r="K252" s="3"/>
      <c r="L252" s="3"/>
      <c r="M252" s="3"/>
      <c r="N252" s="3"/>
      <c r="O252" s="3"/>
      <c r="P252" s="643"/>
    </row>
    <row r="253" spans="1:16">
      <c r="A253" s="26">
        <v>244</v>
      </c>
      <c r="B253" s="841" t="s">
        <v>1068</v>
      </c>
      <c r="C253" s="777"/>
      <c r="D253" s="3"/>
      <c r="E253" s="3"/>
      <c r="F253" s="3" t="s">
        <v>1069</v>
      </c>
      <c r="G253" s="3"/>
      <c r="H253" s="3"/>
      <c r="I253" s="3"/>
      <c r="J253" s="3"/>
      <c r="K253" s="3"/>
      <c r="L253" s="3"/>
      <c r="M253" s="3"/>
      <c r="N253" s="638">
        <f>+F239*-1+L251</f>
        <v>0</v>
      </c>
      <c r="O253" s="3"/>
      <c r="P253" s="643"/>
    </row>
    <row r="254" spans="1:16">
      <c r="A254" s="26">
        <v>245</v>
      </c>
      <c r="B254" s="841" t="s">
        <v>1045</v>
      </c>
      <c r="C254" s="777"/>
      <c r="D254" s="3"/>
      <c r="E254" s="3"/>
      <c r="F254" s="3" t="s">
        <v>1070</v>
      </c>
      <c r="G254" s="3"/>
      <c r="H254" s="3"/>
      <c r="I254" s="3"/>
      <c r="J254" s="3"/>
      <c r="K254" s="3"/>
      <c r="L254" s="3"/>
      <c r="M254" s="3"/>
      <c r="N254" s="638"/>
      <c r="O254" s="3"/>
      <c r="P254" s="643"/>
    </row>
    <row r="255" spans="1:16">
      <c r="A255" s="26">
        <v>246</v>
      </c>
      <c r="B255" s="856" t="s">
        <v>1047</v>
      </c>
      <c r="C255" s="857"/>
      <c r="D255" s="322"/>
      <c r="E255" s="322"/>
      <c r="F255" s="322" t="s">
        <v>1071</v>
      </c>
      <c r="G255" s="322"/>
      <c r="H255" s="322"/>
      <c r="I255" s="322"/>
      <c r="J255" s="322"/>
      <c r="K255" s="322"/>
      <c r="L255" s="322"/>
      <c r="M255" s="322"/>
      <c r="N255" s="656"/>
      <c r="O255" s="322"/>
      <c r="P255" s="323"/>
    </row>
  </sheetData>
  <mergeCells count="1">
    <mergeCell ref="B4:N4"/>
  </mergeCells>
  <pageMargins left="0.7" right="0.7" top="0.75" bottom="0.75" header="0.3" footer="0.3"/>
  <pageSetup scale="43" fitToHeight="3" orientation="portrait" r:id="rId1"/>
  <rowBreaks count="2" manualBreakCount="2">
    <brk id="73" max="16383" man="1"/>
    <brk id="167"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39F69-1D4D-4A46-9571-2462763E3AD5}">
  <sheetPr>
    <tabColor rgb="FF92D050"/>
  </sheetPr>
  <dimension ref="A1:D78"/>
  <sheetViews>
    <sheetView view="pageBreakPreview" zoomScale="60" zoomScaleNormal="100" workbookViewId="0">
      <selection activeCell="H19" sqref="H19"/>
    </sheetView>
  </sheetViews>
  <sheetFormatPr defaultColWidth="8.88671875" defaultRowHeight="12.75"/>
  <cols>
    <col min="1" max="1" width="15.5546875" style="863" bestFit="1" customWidth="1"/>
    <col min="2" max="2" width="33.88671875" style="3" customWidth="1"/>
    <col min="3" max="3" width="19.77734375" style="106" bestFit="1" customWidth="1"/>
    <col min="4" max="4" width="16.33203125" style="3" customWidth="1"/>
    <col min="5" max="16384" width="8.88671875" style="3"/>
  </cols>
  <sheetData>
    <row r="1" spans="1:4" ht="15" customHeight="1">
      <c r="B1" s="162" t="s">
        <v>1072</v>
      </c>
      <c r="C1" s="864" t="s">
        <v>451</v>
      </c>
      <c r="D1" s="161"/>
    </row>
    <row r="2" spans="1:4" ht="15" customHeight="1">
      <c r="B2" s="367" t="s">
        <v>1073</v>
      </c>
      <c r="C2" s="863"/>
      <c r="D2" s="863"/>
    </row>
    <row r="3" spans="1:4" ht="15" customHeight="1">
      <c r="B3" s="865" t="str">
        <f>+'Attachment H'!D5</f>
        <v>GridLiance High Plains LLC</v>
      </c>
      <c r="D3" s="106"/>
    </row>
    <row r="5" spans="1:4" ht="15">
      <c r="A5" s="866" t="s">
        <v>1074</v>
      </c>
      <c r="B5" s="867" t="s">
        <v>1075</v>
      </c>
      <c r="C5" s="867" t="s">
        <v>1076</v>
      </c>
      <c r="D5" s="868"/>
    </row>
    <row r="6" spans="1:4" ht="15">
      <c r="A6" s="868"/>
      <c r="B6" s="868"/>
      <c r="C6" s="868"/>
      <c r="D6" s="868"/>
    </row>
    <row r="7" spans="1:4" ht="15">
      <c r="A7" s="866" t="s">
        <v>1077</v>
      </c>
      <c r="B7" s="869"/>
      <c r="C7" s="870"/>
      <c r="D7" s="869"/>
    </row>
    <row r="8" spans="1:4" ht="15">
      <c r="A8" s="871">
        <v>350</v>
      </c>
      <c r="B8" s="869" t="s">
        <v>1078</v>
      </c>
      <c r="C8" s="872" t="s">
        <v>1079</v>
      </c>
      <c r="D8" s="869"/>
    </row>
    <row r="9" spans="1:4" ht="15">
      <c r="A9" s="871">
        <v>352</v>
      </c>
      <c r="B9" s="869" t="s">
        <v>1080</v>
      </c>
      <c r="C9" s="872">
        <v>1.5396999999999999E-2</v>
      </c>
      <c r="D9" s="869"/>
    </row>
    <row r="10" spans="1:4" ht="15">
      <c r="A10" s="871">
        <v>353</v>
      </c>
      <c r="B10" s="869" t="s">
        <v>1081</v>
      </c>
      <c r="C10" s="872">
        <v>2.0285000000000001E-2</v>
      </c>
      <c r="D10" s="869"/>
    </row>
    <row r="11" spans="1:4" ht="15">
      <c r="A11" s="871">
        <v>354</v>
      </c>
      <c r="B11" s="869" t="s">
        <v>1082</v>
      </c>
      <c r="C11" s="872">
        <v>1.8846999999999999E-2</v>
      </c>
      <c r="D11" s="869"/>
    </row>
    <row r="12" spans="1:4" ht="15">
      <c r="A12" s="871">
        <v>355</v>
      </c>
      <c r="B12" s="869" t="s">
        <v>1083</v>
      </c>
      <c r="C12" s="872">
        <v>2.1496000000000001E-2</v>
      </c>
      <c r="D12" s="869"/>
    </row>
    <row r="13" spans="1:4" ht="15">
      <c r="A13" s="871">
        <v>356</v>
      </c>
      <c r="B13" s="869" t="s">
        <v>1084</v>
      </c>
      <c r="C13" s="872">
        <v>2.0972999999999999E-2</v>
      </c>
      <c r="D13" s="869"/>
    </row>
    <row r="14" spans="1:4" ht="15">
      <c r="A14" s="871">
        <v>357</v>
      </c>
      <c r="B14" s="869" t="s">
        <v>1085</v>
      </c>
      <c r="C14" s="872">
        <v>1.3665E-2</v>
      </c>
      <c r="D14" s="869"/>
    </row>
    <row r="15" spans="1:4" ht="15">
      <c r="A15" s="871">
        <v>358</v>
      </c>
      <c r="B15" s="869" t="s">
        <v>1086</v>
      </c>
      <c r="C15" s="872">
        <v>1.8415999999999998E-2</v>
      </c>
      <c r="D15" s="869"/>
    </row>
    <row r="16" spans="1:4" ht="15">
      <c r="A16" s="871">
        <v>359</v>
      </c>
      <c r="B16" s="869" t="s">
        <v>1087</v>
      </c>
      <c r="C16" s="872">
        <v>0</v>
      </c>
      <c r="D16" s="869"/>
    </row>
    <row r="17" spans="1:4" ht="15">
      <c r="A17" s="871"/>
      <c r="B17" s="869"/>
      <c r="C17" s="872"/>
      <c r="D17" s="869"/>
    </row>
    <row r="18" spans="1:4" ht="15">
      <c r="A18" s="873" t="s">
        <v>1088</v>
      </c>
      <c r="B18" s="869"/>
      <c r="C18" s="874"/>
      <c r="D18" s="869"/>
    </row>
    <row r="19" spans="1:4" ht="15">
      <c r="A19" s="871">
        <v>302</v>
      </c>
      <c r="B19" s="869" t="s">
        <v>1089</v>
      </c>
      <c r="C19" s="872" t="s">
        <v>1079</v>
      </c>
      <c r="D19" s="869"/>
    </row>
    <row r="20" spans="1:4" ht="15">
      <c r="A20" s="871">
        <v>303</v>
      </c>
      <c r="B20" s="869" t="s">
        <v>1090</v>
      </c>
      <c r="C20" s="872">
        <v>0.2</v>
      </c>
      <c r="D20" s="869"/>
    </row>
    <row r="21" spans="1:4" ht="15">
      <c r="A21" s="871">
        <v>390</v>
      </c>
      <c r="B21" s="875" t="s">
        <v>1080</v>
      </c>
      <c r="C21" s="872">
        <v>2.1194000000000001E-2</v>
      </c>
      <c r="D21" s="869"/>
    </row>
    <row r="22" spans="1:4" ht="15">
      <c r="A22" s="871">
        <v>391</v>
      </c>
      <c r="B22" s="875" t="s">
        <v>1091</v>
      </c>
      <c r="C22" s="872">
        <v>5.0671000000000001E-2</v>
      </c>
      <c r="D22" s="869"/>
    </row>
    <row r="23" spans="1:4" ht="15">
      <c r="A23" s="871">
        <v>391</v>
      </c>
      <c r="B23" s="875" t="s">
        <v>1092</v>
      </c>
      <c r="C23" s="872">
        <v>0.25</v>
      </c>
      <c r="D23" s="869"/>
    </row>
    <row r="24" spans="1:4" ht="15">
      <c r="A24" s="871">
        <v>392</v>
      </c>
      <c r="B24" s="875" t="s">
        <v>1093</v>
      </c>
      <c r="C24" s="872">
        <v>0.109667</v>
      </c>
      <c r="D24" s="869"/>
    </row>
    <row r="25" spans="1:4" ht="15">
      <c r="A25" s="871">
        <v>392</v>
      </c>
      <c r="B25" s="875" t="s">
        <v>1094</v>
      </c>
      <c r="C25" s="872">
        <v>8.4139000000000005E-2</v>
      </c>
      <c r="D25" s="869"/>
    </row>
    <row r="26" spans="1:4" ht="15">
      <c r="A26" s="871">
        <v>392</v>
      </c>
      <c r="B26" s="875" t="s">
        <v>1095</v>
      </c>
      <c r="C26" s="872">
        <v>6.9486000000000006E-2</v>
      </c>
      <c r="D26" s="869"/>
    </row>
    <row r="27" spans="1:4" ht="15">
      <c r="A27" s="871">
        <v>392</v>
      </c>
      <c r="B27" s="875" t="s">
        <v>1096</v>
      </c>
      <c r="C27" s="872">
        <v>7.2363999999999998E-2</v>
      </c>
      <c r="D27" s="869"/>
    </row>
    <row r="28" spans="1:4" ht="15">
      <c r="A28" s="871">
        <v>393</v>
      </c>
      <c r="B28" s="875" t="s">
        <v>1097</v>
      </c>
      <c r="C28" s="872">
        <v>0.05</v>
      </c>
      <c r="D28" s="869"/>
    </row>
    <row r="29" spans="1:4" ht="15">
      <c r="A29" s="871">
        <v>394</v>
      </c>
      <c r="B29" s="875" t="s">
        <v>1098</v>
      </c>
      <c r="C29" s="872">
        <v>6.6671999999999995E-2</v>
      </c>
      <c r="D29" s="869"/>
    </row>
    <row r="30" spans="1:4" ht="15">
      <c r="A30" s="871">
        <v>395</v>
      </c>
      <c r="B30" s="875" t="s">
        <v>1099</v>
      </c>
      <c r="C30" s="872">
        <v>0.1</v>
      </c>
      <c r="D30" s="869"/>
    </row>
    <row r="31" spans="1:4" ht="15">
      <c r="A31" s="871">
        <v>396</v>
      </c>
      <c r="B31" s="875" t="s">
        <v>1100</v>
      </c>
      <c r="C31" s="872">
        <v>8.4139000000000005E-2</v>
      </c>
      <c r="D31" s="869"/>
    </row>
    <row r="32" spans="1:4" ht="15">
      <c r="A32" s="871">
        <v>397</v>
      </c>
      <c r="B32" s="869" t="s">
        <v>1101</v>
      </c>
      <c r="C32" s="872">
        <v>0.11111</v>
      </c>
      <c r="D32" s="869"/>
    </row>
    <row r="33" spans="1:4" ht="15">
      <c r="A33" s="871">
        <v>398</v>
      </c>
      <c r="B33" s="875" t="s">
        <v>1102</v>
      </c>
      <c r="C33" s="872">
        <v>6.6671999999999995E-2</v>
      </c>
      <c r="D33" s="869"/>
    </row>
    <row r="34" spans="1:4" ht="15">
      <c r="A34" s="869"/>
      <c r="B34" s="869"/>
      <c r="C34" s="869"/>
      <c r="D34" s="869"/>
    </row>
    <row r="35" spans="1:4" ht="15">
      <c r="A35" s="876" t="s">
        <v>1103</v>
      </c>
      <c r="B35" s="869"/>
      <c r="C35" s="869"/>
      <c r="D35" s="869"/>
    </row>
    <row r="36" spans="1:4" ht="15">
      <c r="A36" s="869" t="s">
        <v>1104</v>
      </c>
      <c r="B36" s="869"/>
      <c r="C36" s="869"/>
      <c r="D36" s="869"/>
    </row>
    <row r="37" spans="1:4" ht="15">
      <c r="A37" s="876" t="s">
        <v>1105</v>
      </c>
      <c r="B37" s="869"/>
      <c r="C37" s="875"/>
      <c r="D37" s="875"/>
    </row>
    <row r="38" spans="1:4" ht="15">
      <c r="A38" s="876" t="s">
        <v>1106</v>
      </c>
      <c r="C38" s="877"/>
      <c r="D38" s="877"/>
    </row>
    <row r="39" spans="1:4" ht="15.75">
      <c r="A39" s="878" t="s">
        <v>1107</v>
      </c>
      <c r="B39" s="879"/>
      <c r="C39" s="879"/>
    </row>
    <row r="40" spans="1:4" ht="15">
      <c r="A40" s="880" t="s">
        <v>1108</v>
      </c>
      <c r="B40" s="881"/>
      <c r="C40" s="865"/>
    </row>
    <row r="41" spans="1:4">
      <c r="A41" s="882"/>
      <c r="B41" s="881"/>
      <c r="C41" s="865"/>
    </row>
    <row r="42" spans="1:4">
      <c r="A42" s="883"/>
      <c r="B42" s="881"/>
      <c r="C42" s="865"/>
    </row>
    <row r="43" spans="1:4">
      <c r="A43" s="882"/>
      <c r="B43" s="881"/>
      <c r="C43" s="865"/>
    </row>
    <row r="44" spans="1:4">
      <c r="A44" s="882"/>
      <c r="B44" s="881"/>
      <c r="C44" s="865"/>
    </row>
    <row r="45" spans="1:4">
      <c r="A45" s="882"/>
      <c r="B45" s="881"/>
      <c r="C45" s="865"/>
    </row>
    <row r="46" spans="1:4">
      <c r="A46" s="882"/>
      <c r="B46" s="881"/>
      <c r="C46" s="865"/>
    </row>
    <row r="47" spans="1:4">
      <c r="A47" s="882"/>
      <c r="B47" s="881"/>
      <c r="C47" s="865"/>
    </row>
    <row r="48" spans="1:4">
      <c r="A48" s="882"/>
      <c r="B48" s="881"/>
      <c r="C48" s="865"/>
    </row>
    <row r="49" spans="1:3">
      <c r="A49" s="882"/>
      <c r="B49" s="881"/>
      <c r="C49" s="865"/>
    </row>
    <row r="50" spans="1:3">
      <c r="A50" s="882"/>
      <c r="B50" s="881"/>
      <c r="C50" s="865"/>
    </row>
    <row r="51" spans="1:3">
      <c r="A51" s="882"/>
      <c r="B51" s="881"/>
      <c r="C51" s="865"/>
    </row>
    <row r="52" spans="1:3">
      <c r="A52" s="882"/>
      <c r="B52" s="881"/>
      <c r="C52" s="865"/>
    </row>
    <row r="53" spans="1:3">
      <c r="A53" s="882"/>
      <c r="B53" s="881"/>
      <c r="C53" s="865"/>
    </row>
    <row r="54" spans="1:3">
      <c r="A54" s="882"/>
      <c r="B54" s="881"/>
      <c r="C54" s="865"/>
    </row>
    <row r="55" spans="1:3">
      <c r="A55" s="882"/>
      <c r="B55" s="881"/>
    </row>
    <row r="56" spans="1:3">
      <c r="A56" s="884"/>
      <c r="B56" s="881"/>
    </row>
    <row r="57" spans="1:3">
      <c r="A57" s="884"/>
      <c r="B57" s="881"/>
    </row>
    <row r="58" spans="1:3">
      <c r="A58" s="884"/>
    </row>
    <row r="59" spans="1:3">
      <c r="A59" s="884"/>
    </row>
    <row r="60" spans="1:3">
      <c r="A60" s="884"/>
    </row>
    <row r="61" spans="1:3">
      <c r="A61" s="884"/>
    </row>
    <row r="62" spans="1:3">
      <c r="A62" s="884"/>
    </row>
    <row r="63" spans="1:3">
      <c r="A63" s="884"/>
    </row>
    <row r="64" spans="1:3">
      <c r="A64" s="884"/>
    </row>
    <row r="65" spans="1:1">
      <c r="A65" s="884"/>
    </row>
    <row r="66" spans="1:1">
      <c r="A66" s="884"/>
    </row>
    <row r="67" spans="1:1">
      <c r="A67" s="884"/>
    </row>
    <row r="68" spans="1:1" ht="24" customHeight="1">
      <c r="A68" s="884"/>
    </row>
    <row r="69" spans="1:1">
      <c r="A69" s="884"/>
    </row>
    <row r="70" spans="1:1">
      <c r="A70" s="884"/>
    </row>
    <row r="71" spans="1:1">
      <c r="A71" s="884"/>
    </row>
    <row r="72" spans="1:1">
      <c r="A72" s="884"/>
    </row>
    <row r="73" spans="1:1">
      <c r="A73" s="884"/>
    </row>
    <row r="74" spans="1:1">
      <c r="A74" s="884"/>
    </row>
    <row r="75" spans="1:1">
      <c r="A75" s="884"/>
    </row>
    <row r="76" spans="1:1">
      <c r="A76" s="884"/>
    </row>
    <row r="77" spans="1:1">
      <c r="A77" s="884"/>
    </row>
    <row r="78" spans="1:1">
      <c r="A78" s="884"/>
    </row>
  </sheetData>
  <mergeCells count="1">
    <mergeCell ref="A39:C39"/>
  </mergeCells>
  <pageMargins left="0.25" right="0.25" top="0.75" bottom="0.75" header="0.3" footer="0.3"/>
  <pageSetup scale="49" orientation="landscape" r:id="rId1"/>
  <headerFooter>
    <oddFooter xml:space="preserve">&amp;L&amp;"Times New Roman, Regular"&amp;8 DC: 5905718-1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6FEDF-FD68-4BA0-81A8-1B268C702E63}">
  <sheetPr>
    <tabColor theme="6" tint="-0.499984740745262"/>
  </sheetPr>
  <dimension ref="A1:U282"/>
  <sheetViews>
    <sheetView view="pageBreakPreview" topLeftCell="A79" zoomScale="75" zoomScaleNormal="65" zoomScaleSheetLayoutView="75" workbookViewId="0">
      <selection activeCell="J22" sqref="J22"/>
    </sheetView>
  </sheetViews>
  <sheetFormatPr defaultColWidth="8.88671875" defaultRowHeight="12.75"/>
  <cols>
    <col min="1" max="1" width="6" style="159" customWidth="1"/>
    <col min="2" max="2" width="1.44140625" style="159" customWidth="1"/>
    <col min="3" max="3" width="36" style="159" customWidth="1"/>
    <col min="4" max="4" width="13.77734375" style="159" customWidth="1"/>
    <col min="5" max="5" width="17.5546875" style="159" customWidth="1"/>
    <col min="6" max="6" width="13.109375" style="159" customWidth="1"/>
    <col min="7" max="7" width="14.44140625" style="159" customWidth="1"/>
    <col min="8" max="8" width="16.33203125" style="159" customWidth="1"/>
    <col min="9" max="9" width="13.77734375" style="159" customWidth="1"/>
    <col min="10" max="10" width="14.44140625" style="159" customWidth="1"/>
    <col min="11" max="11" width="13.5546875" style="159" customWidth="1"/>
    <col min="12" max="12" width="15.77734375" style="159" customWidth="1"/>
    <col min="13" max="13" width="19.21875" style="159" customWidth="1"/>
    <col min="14" max="15" width="14.44140625" style="159" customWidth="1"/>
    <col min="16" max="16" width="12.77734375" style="159" customWidth="1"/>
    <col min="17" max="17" width="13.88671875" style="159" customWidth="1"/>
    <col min="18" max="18" width="9.33203125" style="159" customWidth="1"/>
    <col min="19" max="19" width="13" style="159" customWidth="1"/>
    <col min="20" max="16384" width="8.88671875" style="159"/>
  </cols>
  <sheetData>
    <row r="1" spans="1:21">
      <c r="Q1" s="160"/>
    </row>
    <row r="2" spans="1:21">
      <c r="M2" s="159" t="s">
        <v>1109</v>
      </c>
      <c r="Q2" s="160"/>
    </row>
    <row r="4" spans="1:21">
      <c r="Q4" s="160"/>
    </row>
    <row r="5" spans="1:21">
      <c r="D5" s="161"/>
      <c r="E5" s="161"/>
      <c r="F5" s="161"/>
      <c r="G5" s="162" t="s">
        <v>1110</v>
      </c>
      <c r="H5" s="161"/>
      <c r="I5" s="161"/>
      <c r="J5" s="161"/>
      <c r="K5" s="161"/>
      <c r="L5" s="1"/>
      <c r="M5" s="163"/>
      <c r="N5" s="163"/>
      <c r="O5" s="163"/>
      <c r="P5" s="163"/>
      <c r="Q5" s="163"/>
      <c r="R5" s="164"/>
      <c r="S5" s="167"/>
      <c r="T5" s="167"/>
      <c r="U5" s="164"/>
    </row>
    <row r="6" spans="1:21">
      <c r="D6" s="161"/>
      <c r="E6" s="165" t="s">
        <v>9</v>
      </c>
      <c r="F6" s="165"/>
      <c r="G6" s="162" t="s">
        <v>1111</v>
      </c>
      <c r="H6" s="165"/>
      <c r="I6" s="165"/>
      <c r="J6" s="165"/>
      <c r="K6" s="161"/>
      <c r="P6" s="164"/>
      <c r="Q6" s="161"/>
      <c r="R6" s="164"/>
      <c r="S6" s="166"/>
      <c r="T6" s="167"/>
      <c r="U6" s="164"/>
    </row>
    <row r="7" spans="1:21">
      <c r="C7" s="164"/>
      <c r="D7" s="164"/>
      <c r="E7" s="164"/>
      <c r="F7" s="164"/>
      <c r="G7" s="18" t="str">
        <f>+'Attachment H'!D5</f>
        <v>GridLiance High Plains LLC</v>
      </c>
      <c r="H7" s="164"/>
      <c r="I7" s="164"/>
      <c r="J7" s="164"/>
      <c r="K7" s="164"/>
      <c r="P7" s="164"/>
      <c r="Q7" s="164"/>
      <c r="R7" s="164"/>
      <c r="S7" s="167"/>
      <c r="T7" s="167"/>
      <c r="U7" s="164"/>
    </row>
    <row r="8" spans="1:21">
      <c r="A8" s="162"/>
      <c r="C8" s="164"/>
      <c r="D8" s="164"/>
      <c r="E8" s="164"/>
      <c r="F8" s="164"/>
      <c r="H8" s="164"/>
      <c r="I8" s="164"/>
      <c r="J8" s="164"/>
      <c r="K8" s="164"/>
      <c r="L8" s="164"/>
      <c r="M8" s="164"/>
      <c r="N8" s="164"/>
      <c r="O8" s="164"/>
      <c r="P8" s="164"/>
      <c r="Q8" s="164"/>
      <c r="R8" s="164"/>
      <c r="S8" s="167"/>
      <c r="T8" s="167"/>
      <c r="U8" s="164"/>
    </row>
    <row r="9" spans="1:21">
      <c r="A9" s="162"/>
      <c r="C9" s="164"/>
      <c r="D9" s="164"/>
      <c r="E9" s="164"/>
      <c r="F9" s="164"/>
      <c r="G9" s="168"/>
      <c r="H9" s="164"/>
      <c r="I9" s="164"/>
      <c r="J9" s="164"/>
      <c r="K9" s="164"/>
      <c r="L9" s="164"/>
      <c r="M9" s="164"/>
      <c r="N9" s="164"/>
      <c r="O9" s="164"/>
      <c r="P9" s="164"/>
      <c r="Q9" s="164"/>
      <c r="R9" s="164"/>
      <c r="S9" s="167"/>
      <c r="T9" s="167"/>
      <c r="U9" s="164"/>
    </row>
    <row r="10" spans="1:21">
      <c r="A10" s="162"/>
      <c r="C10" s="164" t="s">
        <v>332</v>
      </c>
      <c r="D10" s="164"/>
      <c r="E10" s="164"/>
      <c r="F10" s="164"/>
      <c r="G10" s="168"/>
      <c r="H10" s="164"/>
      <c r="I10" s="164"/>
      <c r="J10" s="164"/>
      <c r="K10" s="164"/>
      <c r="L10" s="164"/>
      <c r="M10" s="164"/>
      <c r="N10" s="164"/>
      <c r="O10" s="164"/>
      <c r="P10" s="164"/>
      <c r="Q10" s="164"/>
      <c r="R10" s="164"/>
      <c r="S10" s="167"/>
      <c r="T10" s="167"/>
      <c r="U10" s="164"/>
    </row>
    <row r="11" spans="1:21">
      <c r="A11" s="162"/>
      <c r="C11" s="164" t="s">
        <v>1112</v>
      </c>
      <c r="D11" s="164"/>
      <c r="E11" s="164"/>
      <c r="F11" s="164"/>
      <c r="G11" s="168"/>
      <c r="L11" s="164"/>
      <c r="M11" s="164"/>
      <c r="N11" s="164"/>
      <c r="O11" s="164"/>
      <c r="P11" s="164"/>
      <c r="Q11" s="164"/>
      <c r="R11" s="164"/>
      <c r="S11" s="164"/>
      <c r="T11" s="164"/>
      <c r="U11" s="164"/>
    </row>
    <row r="12" spans="1:21">
      <c r="A12" s="162"/>
      <c r="C12" s="259" t="s">
        <v>1113</v>
      </c>
      <c r="D12" s="259"/>
      <c r="E12" s="259"/>
      <c r="F12" s="259"/>
      <c r="G12" s="259"/>
      <c r="H12" s="259"/>
      <c r="I12" s="259"/>
      <c r="J12" s="259"/>
      <c r="K12" s="259"/>
      <c r="L12" s="259"/>
      <c r="M12" s="259"/>
      <c r="N12" s="259"/>
      <c r="O12" s="259"/>
      <c r="P12" s="259"/>
      <c r="Q12" s="259"/>
      <c r="R12" s="164"/>
      <c r="S12" s="164"/>
      <c r="T12" s="164"/>
      <c r="U12" s="164"/>
    </row>
    <row r="13" spans="1:21">
      <c r="A13" s="162"/>
      <c r="C13" s="164" t="s">
        <v>1114</v>
      </c>
      <c r="D13" s="164"/>
      <c r="E13" s="164"/>
      <c r="F13" s="164"/>
      <c r="G13" s="164"/>
      <c r="L13" s="165"/>
      <c r="M13" s="165"/>
      <c r="N13" s="165"/>
      <c r="O13" s="165"/>
      <c r="P13" s="164"/>
      <c r="Q13" s="164"/>
      <c r="R13" s="164"/>
      <c r="S13" s="164"/>
      <c r="T13" s="164"/>
      <c r="U13" s="164"/>
    </row>
    <row r="14" spans="1:21">
      <c r="C14" s="169" t="s">
        <v>6</v>
      </c>
      <c r="D14" s="169"/>
      <c r="E14" s="169" t="s">
        <v>7</v>
      </c>
      <c r="F14" s="169"/>
      <c r="I14" s="169" t="s">
        <v>8</v>
      </c>
      <c r="L14" s="170" t="s">
        <v>10</v>
      </c>
      <c r="M14" s="170"/>
      <c r="N14" s="170"/>
      <c r="O14" s="170"/>
      <c r="P14" s="165"/>
      <c r="Q14" s="170"/>
      <c r="R14" s="165"/>
      <c r="S14" s="170"/>
      <c r="T14" s="165"/>
      <c r="U14" s="164"/>
    </row>
    <row r="15" spans="1:21">
      <c r="C15" s="164"/>
      <c r="D15" s="164"/>
      <c r="E15" s="171" t="s">
        <v>1</v>
      </c>
      <c r="F15" s="171"/>
      <c r="I15" s="165"/>
      <c r="P15" s="165"/>
      <c r="R15" s="165"/>
      <c r="S15" s="169"/>
      <c r="T15" s="169"/>
      <c r="U15" s="164"/>
    </row>
    <row r="16" spans="1:21">
      <c r="A16" s="162" t="s">
        <v>12</v>
      </c>
      <c r="C16" s="164"/>
      <c r="D16" s="164"/>
      <c r="E16" s="172" t="s">
        <v>333</v>
      </c>
      <c r="F16" s="172"/>
      <c r="I16" s="173" t="s">
        <v>39</v>
      </c>
      <c r="L16" s="173" t="s">
        <v>21</v>
      </c>
      <c r="M16" s="173"/>
      <c r="N16" s="173"/>
      <c r="O16" s="173"/>
      <c r="P16" s="165"/>
      <c r="R16" s="164"/>
      <c r="S16" s="174"/>
      <c r="T16" s="169"/>
      <c r="U16" s="164"/>
    </row>
    <row r="17" spans="1:21">
      <c r="A17" s="162" t="s">
        <v>14</v>
      </c>
      <c r="C17" s="175"/>
      <c r="D17" s="175"/>
      <c r="E17" s="171" t="s">
        <v>1115</v>
      </c>
      <c r="F17" s="165"/>
      <c r="I17" s="165"/>
      <c r="L17" s="165"/>
      <c r="M17" s="165"/>
      <c r="N17" s="165"/>
      <c r="O17" s="165"/>
      <c r="P17" s="165"/>
      <c r="Q17" s="165"/>
      <c r="R17" s="164"/>
      <c r="S17" s="165"/>
      <c r="T17" s="165"/>
      <c r="U17" s="164"/>
    </row>
    <row r="18" spans="1:21">
      <c r="A18" s="176"/>
      <c r="C18" s="164"/>
      <c r="D18" s="164"/>
      <c r="E18" s="165"/>
      <c r="F18" s="165"/>
      <c r="I18" s="165"/>
      <c r="L18" s="165"/>
      <c r="M18" s="165"/>
      <c r="N18" s="165"/>
      <c r="O18" s="165"/>
      <c r="P18" s="165"/>
      <c r="Q18" s="165"/>
      <c r="R18" s="164"/>
      <c r="S18" s="165"/>
      <c r="T18" s="165"/>
      <c r="U18" s="164"/>
    </row>
    <row r="19" spans="1:21">
      <c r="A19" s="177">
        <v>1</v>
      </c>
      <c r="C19" s="164" t="s">
        <v>334</v>
      </c>
      <c r="D19" s="164"/>
      <c r="E19" s="178" t="s">
        <v>335</v>
      </c>
      <c r="F19" s="177"/>
      <c r="I19" s="26">
        <f>+'Attachment H'!I64+'Attachment H'!I93</f>
        <v>92294602.145676479</v>
      </c>
      <c r="P19" s="165"/>
      <c r="Q19" s="165"/>
      <c r="R19" s="164"/>
      <c r="S19" s="165"/>
      <c r="T19" s="165"/>
      <c r="U19" s="164"/>
    </row>
    <row r="20" spans="1:21">
      <c r="A20" s="177">
        <v>2</v>
      </c>
      <c r="C20" s="164" t="s">
        <v>336</v>
      </c>
      <c r="D20" s="164"/>
      <c r="E20" s="178" t="s">
        <v>337</v>
      </c>
      <c r="F20" s="177"/>
      <c r="I20" s="26">
        <f>+'Attachment H'!I80+'Attachment H'!I93+'Attachment H'!I95</f>
        <v>76642904.689562351</v>
      </c>
      <c r="P20" s="165"/>
      <c r="Q20" s="165"/>
      <c r="R20" s="164"/>
      <c r="S20" s="165"/>
      <c r="T20" s="165"/>
      <c r="U20" s="164"/>
    </row>
    <row r="21" spans="1:21">
      <c r="A21" s="177"/>
      <c r="E21" s="178"/>
      <c r="F21" s="177"/>
      <c r="P21" s="165"/>
      <c r="Q21" s="165"/>
      <c r="R21" s="164"/>
      <c r="S21" s="165"/>
      <c r="T21" s="165"/>
      <c r="U21" s="164"/>
    </row>
    <row r="22" spans="1:21">
      <c r="A22" s="177"/>
      <c r="C22" s="164" t="s">
        <v>338</v>
      </c>
      <c r="D22" s="164"/>
      <c r="E22" s="178"/>
      <c r="F22" s="177"/>
      <c r="I22" s="165"/>
      <c r="L22" s="165"/>
      <c r="M22" s="165"/>
      <c r="N22" s="165"/>
      <c r="O22" s="165"/>
      <c r="P22" s="165"/>
      <c r="Q22" s="165"/>
      <c r="R22" s="165"/>
      <c r="S22" s="165"/>
      <c r="T22" s="165"/>
      <c r="U22" s="164"/>
    </row>
    <row r="23" spans="1:21">
      <c r="A23" s="177">
        <v>3</v>
      </c>
      <c r="C23" s="164" t="s">
        <v>339</v>
      </c>
      <c r="D23" s="164"/>
      <c r="E23" s="178" t="s">
        <v>340</v>
      </c>
      <c r="F23" s="177"/>
      <c r="I23" s="122">
        <f>+'Attachment H'!I134</f>
        <v>5741270.8621737128</v>
      </c>
      <c r="P23" s="165"/>
      <c r="Q23" s="165"/>
      <c r="R23" s="165"/>
      <c r="S23" s="165"/>
      <c r="T23" s="165"/>
      <c r="U23" s="164"/>
    </row>
    <row r="24" spans="1:21">
      <c r="A24" s="177">
        <v>4</v>
      </c>
      <c r="C24" s="164" t="s">
        <v>341</v>
      </c>
      <c r="D24" s="164"/>
      <c r="E24" s="178" t="s">
        <v>342</v>
      </c>
      <c r="F24" s="177"/>
      <c r="I24" s="23">
        <f>IF(I19=0,0,I23/I19)</f>
        <v>6.2205922434247815E-2</v>
      </c>
      <c r="L24" s="885">
        <f>I24</f>
        <v>6.2205922434247815E-2</v>
      </c>
      <c r="M24" s="180"/>
      <c r="N24" s="180"/>
      <c r="O24" s="180"/>
      <c r="P24" s="165"/>
      <c r="Q24" s="181"/>
      <c r="R24" s="182"/>
      <c r="S24" s="183"/>
      <c r="T24" s="165"/>
      <c r="U24" s="164"/>
    </row>
    <row r="25" spans="1:21">
      <c r="A25" s="177"/>
      <c r="C25" s="164"/>
      <c r="D25" s="164"/>
      <c r="E25" s="178"/>
      <c r="F25" s="177"/>
      <c r="I25" s="184"/>
      <c r="L25" s="180"/>
      <c r="M25" s="180"/>
      <c r="N25" s="180"/>
      <c r="O25" s="180"/>
      <c r="P25" s="165"/>
      <c r="Q25" s="181"/>
      <c r="R25" s="182"/>
      <c r="S25" s="183"/>
      <c r="T25" s="165"/>
      <c r="U25" s="164"/>
    </row>
    <row r="26" spans="1:21">
      <c r="A26" s="170"/>
      <c r="C26" s="164" t="s">
        <v>343</v>
      </c>
      <c r="D26" s="164"/>
      <c r="E26" s="185"/>
      <c r="F26" s="186"/>
      <c r="I26" s="165"/>
      <c r="L26" s="165"/>
      <c r="M26" s="165"/>
      <c r="N26" s="165"/>
      <c r="O26" s="165"/>
      <c r="P26" s="165"/>
      <c r="Q26" s="181"/>
      <c r="R26" s="182"/>
      <c r="S26" s="183"/>
      <c r="T26" s="165"/>
      <c r="U26" s="164"/>
    </row>
    <row r="27" spans="1:21">
      <c r="A27" s="170" t="s">
        <v>344</v>
      </c>
      <c r="C27" s="164" t="s">
        <v>345</v>
      </c>
      <c r="D27" s="164"/>
      <c r="E27" s="178" t="s">
        <v>346</v>
      </c>
      <c r="F27" s="177"/>
      <c r="I27" s="122">
        <f>+'Attachment H'!I138+'Attachment H'!I139</f>
        <v>0</v>
      </c>
      <c r="P27" s="165"/>
      <c r="Q27" s="181"/>
      <c r="R27" s="182"/>
      <c r="S27" s="183"/>
      <c r="T27" s="165"/>
      <c r="U27" s="164"/>
    </row>
    <row r="28" spans="1:21">
      <c r="A28" s="170" t="s">
        <v>347</v>
      </c>
      <c r="C28" s="164" t="s">
        <v>348</v>
      </c>
      <c r="D28" s="164"/>
      <c r="E28" s="178" t="s">
        <v>349</v>
      </c>
      <c r="F28" s="177"/>
      <c r="I28" s="23">
        <f>IF(I27=0,0,I27/I19)</f>
        <v>0</v>
      </c>
      <c r="J28" s="23"/>
      <c r="K28" s="23"/>
      <c r="L28" s="187">
        <f>I28</f>
        <v>0</v>
      </c>
      <c r="M28" s="180"/>
      <c r="N28" s="180"/>
      <c r="O28" s="180"/>
      <c r="P28" s="165"/>
      <c r="Q28" s="181"/>
      <c r="R28" s="182"/>
      <c r="S28" s="183"/>
      <c r="T28" s="165"/>
      <c r="U28" s="164"/>
    </row>
    <row r="29" spans="1:21">
      <c r="A29" s="177"/>
      <c r="C29" s="164"/>
      <c r="D29" s="164"/>
      <c r="E29" s="178"/>
      <c r="F29" s="177"/>
      <c r="I29" s="23"/>
      <c r="J29" s="23"/>
      <c r="K29" s="23"/>
      <c r="L29" s="187"/>
      <c r="M29" s="180"/>
      <c r="N29" s="180"/>
      <c r="O29" s="180"/>
      <c r="P29" s="165"/>
      <c r="Q29" s="181"/>
      <c r="R29" s="182"/>
      <c r="S29" s="183"/>
      <c r="T29" s="165"/>
      <c r="U29" s="164"/>
    </row>
    <row r="30" spans="1:21">
      <c r="A30" s="170"/>
      <c r="C30" s="164" t="s">
        <v>350</v>
      </c>
      <c r="D30" s="164"/>
      <c r="E30" s="185"/>
      <c r="F30" s="186"/>
      <c r="I30" s="23"/>
      <c r="J30" s="23"/>
      <c r="K30" s="23"/>
      <c r="L30" s="23"/>
      <c r="M30" s="165"/>
      <c r="N30" s="165"/>
      <c r="O30" s="165"/>
      <c r="P30" s="165"/>
      <c r="Q30" s="165"/>
      <c r="R30" s="165"/>
      <c r="S30" s="165"/>
      <c r="T30" s="165"/>
      <c r="U30" s="164"/>
    </row>
    <row r="31" spans="1:21">
      <c r="A31" s="170" t="s">
        <v>351</v>
      </c>
      <c r="C31" s="164" t="s">
        <v>352</v>
      </c>
      <c r="D31" s="164"/>
      <c r="E31" s="178" t="s">
        <v>353</v>
      </c>
      <c r="F31" s="177"/>
      <c r="I31" s="23">
        <f>+'Attachment H'!I152</f>
        <v>1486838.0614342662</v>
      </c>
      <c r="J31" s="23"/>
      <c r="K31" s="23"/>
      <c r="L31" s="23"/>
      <c r="P31" s="165"/>
      <c r="Q31" s="174"/>
      <c r="R31" s="165"/>
      <c r="S31" s="177"/>
      <c r="T31" s="169"/>
      <c r="U31" s="164"/>
    </row>
    <row r="32" spans="1:21">
      <c r="A32" s="170" t="s">
        <v>354</v>
      </c>
      <c r="C32" s="164" t="s">
        <v>355</v>
      </c>
      <c r="D32" s="164"/>
      <c r="E32" s="178" t="s">
        <v>356</v>
      </c>
      <c r="F32" s="177"/>
      <c r="I32" s="23">
        <f>IF(I31=0,0,I31/I19)</f>
        <v>1.6109696849740597E-2</v>
      </c>
      <c r="J32" s="23"/>
      <c r="K32" s="23"/>
      <c r="L32" s="187">
        <f>I32</f>
        <v>1.6109696849740597E-2</v>
      </c>
      <c r="M32" s="180"/>
      <c r="N32" s="180"/>
      <c r="O32" s="180"/>
      <c r="P32" s="165"/>
      <c r="Q32" s="181"/>
      <c r="R32" s="165"/>
      <c r="S32" s="183"/>
      <c r="T32" s="169"/>
      <c r="U32" s="164"/>
    </row>
    <row r="33" spans="1:21">
      <c r="A33" s="170"/>
      <c r="C33" s="164"/>
      <c r="D33" s="164"/>
      <c r="E33" s="178"/>
      <c r="F33" s="177"/>
      <c r="I33" s="165"/>
      <c r="L33" s="165"/>
      <c r="M33" s="165"/>
      <c r="N33" s="165"/>
      <c r="O33" s="165"/>
      <c r="P33" s="165"/>
      <c r="T33" s="165"/>
      <c r="U33" s="164"/>
    </row>
    <row r="34" spans="1:21">
      <c r="A34" s="170" t="s">
        <v>357</v>
      </c>
      <c r="C34" s="164" t="s">
        <v>358</v>
      </c>
      <c r="D34" s="164"/>
      <c r="E34" s="178" t="s">
        <v>359</v>
      </c>
      <c r="F34" s="177"/>
      <c r="I34" s="26">
        <f>-'Attachment H'!I19</f>
        <v>0</v>
      </c>
      <c r="L34" s="165"/>
      <c r="M34" s="165"/>
      <c r="N34" s="165"/>
      <c r="O34" s="165"/>
      <c r="P34" s="165"/>
      <c r="T34" s="165"/>
      <c r="U34" s="164"/>
    </row>
    <row r="35" spans="1:21">
      <c r="A35" s="170" t="s">
        <v>360</v>
      </c>
      <c r="C35" s="164" t="s">
        <v>361</v>
      </c>
      <c r="D35" s="164"/>
      <c r="E35" s="178" t="s">
        <v>362</v>
      </c>
      <c r="F35" s="177"/>
      <c r="I35" s="61">
        <f>IF(L19=0,0,I34/I19)</f>
        <v>0</v>
      </c>
      <c r="L35" s="23">
        <f>+I35</f>
        <v>0</v>
      </c>
      <c r="M35" s="165"/>
      <c r="N35" s="165"/>
      <c r="O35" s="165"/>
      <c r="P35" s="165"/>
      <c r="T35" s="165"/>
      <c r="U35" s="164"/>
    </row>
    <row r="36" spans="1:21">
      <c r="A36" s="170"/>
      <c r="C36" s="164"/>
      <c r="D36" s="164"/>
      <c r="E36" s="178"/>
      <c r="F36" s="177"/>
      <c r="I36" s="165"/>
      <c r="L36" s="165"/>
      <c r="M36" s="165"/>
      <c r="N36" s="165"/>
      <c r="O36" s="165"/>
      <c r="P36" s="165"/>
      <c r="T36" s="165"/>
      <c r="U36" s="164"/>
    </row>
    <row r="37" spans="1:21">
      <c r="A37" s="188" t="s">
        <v>363</v>
      </c>
      <c r="B37" s="189"/>
      <c r="C37" s="175" t="s">
        <v>364</v>
      </c>
      <c r="D37" s="175"/>
      <c r="E37" s="190" t="s">
        <v>365</v>
      </c>
      <c r="F37" s="171"/>
      <c r="I37" s="182"/>
      <c r="L37" s="886">
        <f>L24+L28+L32+L35</f>
        <v>7.8315619283988419E-2</v>
      </c>
      <c r="M37" s="192"/>
      <c r="N37" s="192"/>
      <c r="O37" s="192"/>
      <c r="P37" s="165"/>
      <c r="T37" s="165"/>
      <c r="U37" s="164"/>
    </row>
    <row r="38" spans="1:21">
      <c r="A38" s="170"/>
      <c r="C38" s="164"/>
      <c r="D38" s="164"/>
      <c r="E38" s="178"/>
      <c r="F38" s="177"/>
      <c r="I38" s="165"/>
      <c r="L38" s="165"/>
      <c r="M38" s="165"/>
      <c r="N38" s="165"/>
      <c r="O38" s="165"/>
      <c r="P38" s="165"/>
      <c r="Q38" s="165"/>
      <c r="R38" s="165"/>
      <c r="S38" s="193"/>
      <c r="T38" s="165"/>
      <c r="U38" s="164"/>
    </row>
    <row r="39" spans="1:21">
      <c r="A39" s="170"/>
      <c r="B39" s="194"/>
      <c r="C39" s="165" t="s">
        <v>366</v>
      </c>
      <c r="D39" s="165"/>
      <c r="E39" s="178"/>
      <c r="F39" s="177"/>
      <c r="I39" s="165"/>
      <c r="L39" s="165"/>
      <c r="M39" s="165"/>
      <c r="N39" s="165"/>
      <c r="O39" s="165"/>
      <c r="P39" s="195"/>
      <c r="Q39" s="194"/>
      <c r="T39" s="169"/>
      <c r="U39" s="165" t="s">
        <v>9</v>
      </c>
    </row>
    <row r="40" spans="1:21">
      <c r="A40" s="170" t="s">
        <v>367</v>
      </c>
      <c r="B40" s="194"/>
      <c r="C40" s="165" t="s">
        <v>368</v>
      </c>
      <c r="D40" s="165"/>
      <c r="E40" s="178" t="s">
        <v>369</v>
      </c>
      <c r="F40" s="177"/>
      <c r="I40" s="26">
        <f>+'Attachment H'!I165</f>
        <v>872908.87360086548</v>
      </c>
      <c r="L40" s="165"/>
      <c r="M40" s="165"/>
      <c r="N40" s="165"/>
      <c r="O40" s="165"/>
      <c r="P40" s="195"/>
      <c r="Q40" s="194"/>
      <c r="T40" s="169"/>
      <c r="U40" s="165"/>
    </row>
    <row r="41" spans="1:21">
      <c r="A41" s="170" t="s">
        <v>370</v>
      </c>
      <c r="B41" s="194"/>
      <c r="C41" s="165" t="s">
        <v>371</v>
      </c>
      <c r="D41" s="165"/>
      <c r="E41" s="178" t="s">
        <v>372</v>
      </c>
      <c r="F41" s="177"/>
      <c r="I41" s="23">
        <f>IF(I20=0,0,I40/I20)</f>
        <v>1.1389297902219812E-2</v>
      </c>
      <c r="L41" s="187">
        <f>I41</f>
        <v>1.1389297902219812E-2</v>
      </c>
      <c r="M41" s="180"/>
      <c r="N41" s="180"/>
      <c r="O41" s="180"/>
      <c r="P41" s="195"/>
      <c r="Q41" s="194"/>
      <c r="R41" s="165"/>
      <c r="S41" s="165"/>
      <c r="T41" s="169"/>
      <c r="U41" s="165"/>
    </row>
    <row r="42" spans="1:21">
      <c r="A42" s="170"/>
      <c r="C42" s="165"/>
      <c r="D42" s="165"/>
      <c r="E42" s="178"/>
      <c r="F42" s="177"/>
      <c r="I42" s="165"/>
      <c r="L42" s="165"/>
      <c r="M42" s="165"/>
      <c r="N42" s="165"/>
      <c r="O42" s="165"/>
      <c r="P42" s="165"/>
      <c r="R42" s="164"/>
      <c r="S42" s="165"/>
      <c r="T42" s="164"/>
      <c r="U42" s="164"/>
    </row>
    <row r="43" spans="1:21">
      <c r="A43" s="170"/>
      <c r="C43" s="164" t="s">
        <v>193</v>
      </c>
      <c r="D43" s="164"/>
      <c r="E43" s="196"/>
      <c r="F43" s="197"/>
      <c r="P43" s="165"/>
      <c r="R43" s="165"/>
      <c r="S43" s="165"/>
      <c r="T43" s="165"/>
      <c r="U43" s="164"/>
    </row>
    <row r="44" spans="1:21">
      <c r="A44" s="170" t="s">
        <v>373</v>
      </c>
      <c r="C44" s="164" t="s">
        <v>374</v>
      </c>
      <c r="D44" s="164"/>
      <c r="E44" s="178" t="s">
        <v>375</v>
      </c>
      <c r="F44" s="177"/>
      <c r="I44" s="26">
        <f>+'Attachment H'!I168</f>
        <v>5765974.4614241216</v>
      </c>
      <c r="L44" s="165"/>
      <c r="M44" s="165"/>
      <c r="N44" s="165"/>
      <c r="O44" s="165"/>
      <c r="P44" s="165"/>
      <c r="R44" s="165"/>
      <c r="S44" s="165"/>
      <c r="T44" s="165"/>
      <c r="U44" s="164"/>
    </row>
    <row r="45" spans="1:21">
      <c r="A45" s="170" t="s">
        <v>376</v>
      </c>
      <c r="B45" s="194"/>
      <c r="C45" s="165" t="s">
        <v>377</v>
      </c>
      <c r="D45" s="165"/>
      <c r="E45" s="178" t="s">
        <v>378</v>
      </c>
      <c r="F45" s="177"/>
      <c r="I45" s="23">
        <f>IF(I20=0,0,I44/I20)</f>
        <v>7.5231679759253225E-2</v>
      </c>
      <c r="L45" s="187">
        <f>I45</f>
        <v>7.5231679759253225E-2</v>
      </c>
      <c r="M45" s="180"/>
      <c r="N45" s="180"/>
      <c r="O45" s="180"/>
      <c r="P45" s="165"/>
      <c r="S45" s="198"/>
      <c r="T45" s="169"/>
      <c r="U45" s="165"/>
    </row>
    <row r="46" spans="1:21">
      <c r="A46" s="170"/>
      <c r="C46" s="164"/>
      <c r="D46" s="164"/>
      <c r="E46" s="178"/>
      <c r="F46" s="177"/>
      <c r="I46" s="165"/>
      <c r="L46" s="165"/>
      <c r="M46" s="165"/>
      <c r="N46" s="165"/>
      <c r="O46" s="165"/>
      <c r="P46" s="165"/>
      <c r="Q46" s="197"/>
      <c r="R46" s="165"/>
      <c r="S46" s="165"/>
      <c r="T46" s="165"/>
      <c r="U46" s="164"/>
    </row>
    <row r="47" spans="1:21">
      <c r="A47" s="188" t="s">
        <v>379</v>
      </c>
      <c r="B47" s="189"/>
      <c r="C47" s="175" t="s">
        <v>380</v>
      </c>
      <c r="D47" s="175"/>
      <c r="E47" s="190" t="s">
        <v>381</v>
      </c>
      <c r="F47" s="171"/>
      <c r="I47" s="23">
        <f>+I45+I41</f>
        <v>8.6620977661473031E-2</v>
      </c>
      <c r="L47" s="199">
        <f>L41+L45</f>
        <v>8.6620977661473031E-2</v>
      </c>
      <c r="M47" s="192"/>
      <c r="N47" s="192"/>
      <c r="O47" s="192"/>
      <c r="P47" s="165"/>
      <c r="Q47" s="197"/>
      <c r="R47" s="165"/>
      <c r="S47" s="165"/>
      <c r="T47" s="165"/>
      <c r="U47" s="164"/>
    </row>
    <row r="48" spans="1:21">
      <c r="P48" s="200"/>
      <c r="Q48" s="200"/>
      <c r="R48" s="165"/>
      <c r="S48" s="165"/>
      <c r="T48" s="165"/>
      <c r="U48" s="164"/>
    </row>
    <row r="49" spans="1:21">
      <c r="P49" s="200"/>
      <c r="Q49" s="200"/>
      <c r="R49" s="165"/>
      <c r="S49" s="165"/>
      <c r="T49" s="165"/>
      <c r="U49" s="164"/>
    </row>
    <row r="50" spans="1:21">
      <c r="A50" s="201"/>
      <c r="C50" s="170"/>
      <c r="D50" s="170"/>
      <c r="E50" s="186"/>
      <c r="F50" s="186"/>
      <c r="G50" s="165"/>
      <c r="J50" s="184"/>
      <c r="P50" s="165"/>
      <c r="Q50" s="181"/>
      <c r="R50" s="163"/>
      <c r="S50" s="165"/>
      <c r="T50" s="177"/>
      <c r="U50" s="165"/>
    </row>
    <row r="51" spans="1:21">
      <c r="A51" s="162"/>
      <c r="G51" s="165"/>
      <c r="P51" s="165"/>
      <c r="Q51" s="165"/>
      <c r="R51" s="165"/>
      <c r="S51" s="165"/>
      <c r="T51" s="169"/>
      <c r="U51" s="165" t="s">
        <v>9</v>
      </c>
    </row>
    <row r="52" spans="1:21">
      <c r="Q52" s="160"/>
    </row>
    <row r="53" spans="1:21">
      <c r="Q53" s="160"/>
    </row>
    <row r="54" spans="1:21">
      <c r="M54" s="159" t="s">
        <v>1116</v>
      </c>
    </row>
    <row r="55" spans="1:21">
      <c r="A55" s="162"/>
      <c r="G55" s="165"/>
      <c r="P55" s="165"/>
      <c r="Q55" s="160"/>
      <c r="R55" s="165"/>
      <c r="S55" s="164"/>
      <c r="T55" s="165"/>
      <c r="U55" s="164"/>
    </row>
    <row r="56" spans="1:21">
      <c r="A56" s="162"/>
      <c r="C56" s="164"/>
      <c r="D56" s="164"/>
      <c r="G56" s="186" t="str">
        <f>+G5</f>
        <v>Attachment 11</v>
      </c>
      <c r="H56" s="186"/>
      <c r="O56" s="186"/>
      <c r="P56" s="165"/>
      <c r="Q56" s="160"/>
      <c r="R56" s="165"/>
      <c r="S56" s="164"/>
      <c r="T56" s="165"/>
      <c r="U56" s="164"/>
    </row>
    <row r="57" spans="1:21">
      <c r="A57" s="162"/>
      <c r="C57" s="164"/>
      <c r="D57" s="164"/>
      <c r="G57" s="186" t="str">
        <f>+G6</f>
        <v>Wholesale Distribution Service</v>
      </c>
      <c r="H57" s="186"/>
      <c r="L57" s="165"/>
      <c r="M57" s="165"/>
      <c r="N57" s="165"/>
      <c r="O57" s="186"/>
      <c r="P57" s="165"/>
      <c r="R57" s="165"/>
      <c r="S57" s="164"/>
      <c r="T57" s="165"/>
      <c r="U57" s="164"/>
    </row>
    <row r="58" spans="1:21" ht="14.25" customHeight="1">
      <c r="A58" s="162"/>
      <c r="G58" s="186" t="str">
        <f>+G7</f>
        <v>GridLiance High Plains LLC</v>
      </c>
      <c r="O58" s="186"/>
      <c r="P58" s="165"/>
      <c r="R58" s="165"/>
      <c r="S58" s="164"/>
      <c r="T58" s="165"/>
      <c r="U58" s="164"/>
    </row>
    <row r="59" spans="1:21">
      <c r="A59" s="162"/>
      <c r="H59" s="186"/>
      <c r="P59" s="165"/>
      <c r="Q59" s="165"/>
      <c r="R59" s="165"/>
      <c r="S59" s="164"/>
      <c r="T59" s="165"/>
      <c r="U59" s="164"/>
    </row>
    <row r="60" spans="1:21">
      <c r="A60" s="162"/>
      <c r="E60" s="164"/>
      <c r="F60" s="164"/>
      <c r="G60" s="164"/>
      <c r="H60" s="164"/>
      <c r="I60" s="164"/>
      <c r="J60" s="164"/>
      <c r="K60" s="164"/>
      <c r="L60" s="164"/>
      <c r="M60" s="164"/>
      <c r="N60" s="164"/>
      <c r="O60" s="164"/>
      <c r="P60" s="164"/>
      <c r="Q60" s="164"/>
      <c r="R60" s="165"/>
      <c r="S60" s="164"/>
      <c r="T60" s="165"/>
      <c r="U60" s="164"/>
    </row>
    <row r="61" spans="1:21">
      <c r="A61" s="162"/>
      <c r="E61" s="175"/>
      <c r="F61" s="175"/>
      <c r="H61" s="164"/>
      <c r="I61" s="164"/>
      <c r="J61" s="164"/>
      <c r="K61" s="164"/>
      <c r="L61" s="164"/>
      <c r="M61" s="164"/>
      <c r="N61" s="164"/>
      <c r="O61" s="164"/>
      <c r="P61" s="165"/>
      <c r="Q61" s="165"/>
      <c r="R61" s="165"/>
      <c r="S61" s="164"/>
      <c r="T61" s="165"/>
      <c r="U61" s="164"/>
    </row>
    <row r="62" spans="1:21">
      <c r="A62" s="162"/>
      <c r="E62" s="175"/>
      <c r="F62" s="175"/>
      <c r="H62" s="164"/>
      <c r="I62" s="164"/>
      <c r="J62" s="164"/>
      <c r="K62" s="164"/>
      <c r="L62" s="164"/>
      <c r="M62" s="164"/>
      <c r="N62" s="164"/>
      <c r="O62" s="164"/>
      <c r="P62" s="165"/>
      <c r="Q62" s="165"/>
      <c r="R62" s="165"/>
      <c r="S62" s="164"/>
      <c r="T62" s="165"/>
      <c r="U62" s="164"/>
    </row>
    <row r="63" spans="1:21" ht="13.5" thickBot="1">
      <c r="A63" s="162"/>
      <c r="C63" s="202">
        <v>-1</v>
      </c>
      <c r="D63" s="202">
        <v>-2</v>
      </c>
      <c r="E63" s="202">
        <v>-3</v>
      </c>
      <c r="F63" s="202">
        <v>-4</v>
      </c>
      <c r="G63" s="202">
        <v>-5</v>
      </c>
      <c r="H63" s="202">
        <v>-6</v>
      </c>
      <c r="I63" s="202">
        <v>-7</v>
      </c>
      <c r="J63" s="202">
        <v>-8</v>
      </c>
      <c r="K63" s="202">
        <v>-9</v>
      </c>
      <c r="L63" s="202">
        <v>-10</v>
      </c>
      <c r="M63" s="202">
        <v>-11</v>
      </c>
      <c r="N63" s="202"/>
      <c r="O63" s="202"/>
      <c r="P63" s="202"/>
      <c r="Q63" s="203"/>
      <c r="R63" s="203"/>
      <c r="S63" s="203"/>
      <c r="T63" s="165"/>
      <c r="U63" s="164"/>
    </row>
    <row r="64" spans="1:21" ht="53.25" customHeight="1" thickBot="1">
      <c r="A64" s="887" t="s">
        <v>387</v>
      </c>
      <c r="B64" s="888"/>
      <c r="C64" s="888" t="s">
        <v>1111</v>
      </c>
      <c r="D64" s="889" t="s">
        <v>390</v>
      </c>
      <c r="E64" s="889" t="s">
        <v>1117</v>
      </c>
      <c r="F64" s="889" t="s">
        <v>391</v>
      </c>
      <c r="G64" s="889" t="s">
        <v>1118</v>
      </c>
      <c r="H64" s="889" t="s">
        <v>380</v>
      </c>
      <c r="I64" s="889" t="s">
        <v>393</v>
      </c>
      <c r="J64" s="889" t="s">
        <v>1119</v>
      </c>
      <c r="K64" s="889" t="s">
        <v>1120</v>
      </c>
      <c r="L64" s="889" t="s">
        <v>1121</v>
      </c>
      <c r="M64" s="890" t="s">
        <v>1122</v>
      </c>
      <c r="O64" s="891"/>
      <c r="P64" s="891"/>
      <c r="Q64" s="891"/>
      <c r="R64" s="891"/>
      <c r="S64" s="891"/>
      <c r="T64" s="165"/>
      <c r="U64" s="164"/>
    </row>
    <row r="65" spans="1:21" ht="46.5" customHeight="1">
      <c r="A65" s="892"/>
      <c r="B65" s="893"/>
      <c r="C65" s="893"/>
      <c r="D65" s="894" t="s">
        <v>1123</v>
      </c>
      <c r="E65" s="894" t="s">
        <v>404</v>
      </c>
      <c r="F65" s="894" t="s">
        <v>1124</v>
      </c>
      <c r="G65" s="894" t="s">
        <v>102</v>
      </c>
      <c r="H65" s="894" t="s">
        <v>407</v>
      </c>
      <c r="I65" s="894" t="s">
        <v>1125</v>
      </c>
      <c r="J65" s="894" t="s">
        <v>655</v>
      </c>
      <c r="K65" s="894" t="s">
        <v>1126</v>
      </c>
      <c r="L65" s="894"/>
      <c r="M65" s="895" t="s">
        <v>1127</v>
      </c>
      <c r="O65" s="896"/>
      <c r="P65" s="897"/>
      <c r="Q65" s="896"/>
      <c r="R65" s="177"/>
      <c r="S65" s="896"/>
      <c r="T65" s="165"/>
      <c r="U65" s="164"/>
    </row>
    <row r="66" spans="1:21">
      <c r="A66" s="898"/>
      <c r="B66" s="164"/>
      <c r="C66" s="164"/>
      <c r="D66" s="164"/>
      <c r="E66" s="164"/>
      <c r="F66" s="164"/>
      <c r="G66" s="164"/>
      <c r="H66" s="164"/>
      <c r="I66" s="164"/>
      <c r="J66" s="164"/>
      <c r="K66" s="164"/>
      <c r="L66" s="164"/>
      <c r="M66" s="899"/>
      <c r="O66" s="164"/>
      <c r="P66" s="164"/>
      <c r="Q66" s="164"/>
      <c r="R66" s="165"/>
      <c r="S66" s="165"/>
      <c r="T66" s="165"/>
      <c r="U66" s="164"/>
    </row>
    <row r="67" spans="1:21">
      <c r="A67" s="900" t="s">
        <v>418</v>
      </c>
      <c r="B67" s="243"/>
      <c r="C67" s="244"/>
      <c r="D67" s="57">
        <v>0</v>
      </c>
      <c r="E67" s="23">
        <f t="shared" ref="E67:E85" si="0">$L$37</f>
        <v>7.8315619283988419E-2</v>
      </c>
      <c r="F67" s="23">
        <f t="shared" ref="F67:F85" si="1">D67*E67</f>
        <v>0</v>
      </c>
      <c r="G67" s="57">
        <v>0</v>
      </c>
      <c r="H67" s="23">
        <f t="shared" ref="H67:H85" si="2">$L$47</f>
        <v>8.6620977661473031E-2</v>
      </c>
      <c r="I67" s="26">
        <f t="shared" ref="I67:I85" si="3">G67*H67</f>
        <v>0</v>
      </c>
      <c r="J67" s="57">
        <v>0</v>
      </c>
      <c r="K67" s="26">
        <f t="shared" ref="K67:K85" si="4">F67+I67+J67</f>
        <v>0</v>
      </c>
      <c r="L67" s="109">
        <v>0</v>
      </c>
      <c r="M67" s="616">
        <f>+K67*L67</f>
        <v>0</v>
      </c>
      <c r="O67" s="23"/>
      <c r="P67" s="23"/>
      <c r="Q67" s="23"/>
      <c r="R67" s="23"/>
      <c r="S67" s="23"/>
    </row>
    <row r="68" spans="1:21">
      <c r="A68" s="900" t="s">
        <v>421</v>
      </c>
      <c r="B68" s="243"/>
      <c r="C68" s="244"/>
      <c r="D68" s="109">
        <v>0</v>
      </c>
      <c r="E68" s="23">
        <f t="shared" si="0"/>
        <v>7.8315619283988419E-2</v>
      </c>
      <c r="F68" s="23">
        <f t="shared" si="1"/>
        <v>0</v>
      </c>
      <c r="G68" s="109">
        <v>0</v>
      </c>
      <c r="H68" s="23">
        <f t="shared" si="2"/>
        <v>8.6620977661473031E-2</v>
      </c>
      <c r="I68" s="23">
        <f t="shared" si="3"/>
        <v>0</v>
      </c>
      <c r="J68" s="57">
        <v>0</v>
      </c>
      <c r="K68" s="23">
        <f t="shared" si="4"/>
        <v>0</v>
      </c>
      <c r="L68" s="109">
        <v>0</v>
      </c>
      <c r="M68" s="901">
        <f t="shared" ref="M68:M85" si="5">+K68*L68</f>
        <v>0</v>
      </c>
      <c r="O68" s="23"/>
      <c r="P68" s="23"/>
      <c r="Q68" s="23"/>
      <c r="R68" s="23"/>
      <c r="S68" s="23"/>
    </row>
    <row r="69" spans="1:21" ht="24" customHeight="1">
      <c r="A69" s="900" t="s">
        <v>424</v>
      </c>
      <c r="B69" s="243"/>
      <c r="C69" s="244"/>
      <c r="D69" s="109">
        <v>0</v>
      </c>
      <c r="E69" s="23">
        <f t="shared" si="0"/>
        <v>7.8315619283988419E-2</v>
      </c>
      <c r="F69" s="23">
        <f t="shared" si="1"/>
        <v>0</v>
      </c>
      <c r="G69" s="109">
        <v>0</v>
      </c>
      <c r="H69" s="23">
        <f t="shared" si="2"/>
        <v>8.6620977661473031E-2</v>
      </c>
      <c r="I69" s="23">
        <f t="shared" si="3"/>
        <v>0</v>
      </c>
      <c r="J69" s="57">
        <v>0</v>
      </c>
      <c r="K69" s="23">
        <f t="shared" si="4"/>
        <v>0</v>
      </c>
      <c r="L69" s="109">
        <v>0</v>
      </c>
      <c r="M69" s="901">
        <f t="shared" si="5"/>
        <v>0</v>
      </c>
      <c r="O69" s="23"/>
      <c r="P69" s="23"/>
      <c r="Q69" s="23"/>
      <c r="R69" s="23"/>
      <c r="S69" s="23"/>
    </row>
    <row r="70" spans="1:21">
      <c r="A70" s="900" t="s">
        <v>624</v>
      </c>
      <c r="B70" s="243"/>
      <c r="C70" s="244"/>
      <c r="D70" s="109">
        <v>0</v>
      </c>
      <c r="E70" s="23">
        <f t="shared" si="0"/>
        <v>7.8315619283988419E-2</v>
      </c>
      <c r="F70" s="23">
        <f t="shared" si="1"/>
        <v>0</v>
      </c>
      <c r="G70" s="109">
        <v>0</v>
      </c>
      <c r="H70" s="23">
        <f t="shared" si="2"/>
        <v>8.6620977661473031E-2</v>
      </c>
      <c r="I70" s="23">
        <f t="shared" si="3"/>
        <v>0</v>
      </c>
      <c r="J70" s="57">
        <v>0</v>
      </c>
      <c r="K70" s="23">
        <f t="shared" si="4"/>
        <v>0</v>
      </c>
      <c r="L70" s="109">
        <v>0</v>
      </c>
      <c r="M70" s="901">
        <f t="shared" si="5"/>
        <v>0</v>
      </c>
      <c r="O70" s="23"/>
      <c r="P70" s="23"/>
      <c r="Q70" s="23"/>
      <c r="R70" s="23"/>
      <c r="S70" s="23"/>
    </row>
    <row r="71" spans="1:21">
      <c r="A71" s="900" t="s">
        <v>624</v>
      </c>
      <c r="B71" s="243"/>
      <c r="C71" s="244"/>
      <c r="D71" s="109">
        <v>0</v>
      </c>
      <c r="E71" s="23">
        <f t="shared" si="0"/>
        <v>7.8315619283988419E-2</v>
      </c>
      <c r="F71" s="23">
        <f t="shared" si="1"/>
        <v>0</v>
      </c>
      <c r="G71" s="109">
        <v>0</v>
      </c>
      <c r="H71" s="23">
        <f t="shared" si="2"/>
        <v>8.6620977661473031E-2</v>
      </c>
      <c r="I71" s="23">
        <f t="shared" si="3"/>
        <v>0</v>
      </c>
      <c r="J71" s="57">
        <v>0</v>
      </c>
      <c r="K71" s="23">
        <f t="shared" si="4"/>
        <v>0</v>
      </c>
      <c r="L71" s="109">
        <v>0</v>
      </c>
      <c r="M71" s="901">
        <f t="shared" si="5"/>
        <v>0</v>
      </c>
      <c r="O71" s="23"/>
      <c r="P71" s="23"/>
      <c r="Q71" s="23"/>
      <c r="R71" s="23"/>
      <c r="S71" s="23"/>
    </row>
    <row r="72" spans="1:21">
      <c r="A72" s="900" t="s">
        <v>624</v>
      </c>
      <c r="B72" s="243"/>
      <c r="C72" s="244"/>
      <c r="D72" s="109">
        <v>0</v>
      </c>
      <c r="E72" s="23">
        <f t="shared" si="0"/>
        <v>7.8315619283988419E-2</v>
      </c>
      <c r="F72" s="23">
        <f t="shared" si="1"/>
        <v>0</v>
      </c>
      <c r="G72" s="109">
        <v>0</v>
      </c>
      <c r="H72" s="23">
        <f t="shared" si="2"/>
        <v>8.6620977661473031E-2</v>
      </c>
      <c r="I72" s="23">
        <f t="shared" si="3"/>
        <v>0</v>
      </c>
      <c r="J72" s="57">
        <v>0</v>
      </c>
      <c r="K72" s="23">
        <f t="shared" si="4"/>
        <v>0</v>
      </c>
      <c r="L72" s="109">
        <v>0</v>
      </c>
      <c r="M72" s="901">
        <f t="shared" si="5"/>
        <v>0</v>
      </c>
      <c r="O72" s="23"/>
      <c r="P72" s="23"/>
      <c r="Q72" s="23"/>
      <c r="R72" s="23"/>
      <c r="S72" s="23"/>
    </row>
    <row r="73" spans="1:21">
      <c r="A73" s="900" t="s">
        <v>624</v>
      </c>
      <c r="B73" s="243"/>
      <c r="C73" s="244"/>
      <c r="D73" s="109">
        <v>0</v>
      </c>
      <c r="E73" s="23">
        <f t="shared" si="0"/>
        <v>7.8315619283988419E-2</v>
      </c>
      <c r="F73" s="23">
        <f t="shared" si="1"/>
        <v>0</v>
      </c>
      <c r="G73" s="109">
        <v>0</v>
      </c>
      <c r="H73" s="23">
        <f t="shared" si="2"/>
        <v>8.6620977661473031E-2</v>
      </c>
      <c r="I73" s="23">
        <f t="shared" si="3"/>
        <v>0</v>
      </c>
      <c r="J73" s="57">
        <v>0</v>
      </c>
      <c r="K73" s="23">
        <f t="shared" si="4"/>
        <v>0</v>
      </c>
      <c r="L73" s="109">
        <v>0</v>
      </c>
      <c r="M73" s="901">
        <f t="shared" si="5"/>
        <v>0</v>
      </c>
      <c r="O73" s="23"/>
      <c r="P73" s="23"/>
      <c r="Q73" s="23"/>
      <c r="R73" s="23"/>
      <c r="S73" s="23"/>
    </row>
    <row r="74" spans="1:21">
      <c r="A74" s="900" t="s">
        <v>624</v>
      </c>
      <c r="B74" s="243"/>
      <c r="C74" s="244"/>
      <c r="D74" s="109">
        <v>0</v>
      </c>
      <c r="E74" s="23">
        <f t="shared" si="0"/>
        <v>7.8315619283988419E-2</v>
      </c>
      <c r="F74" s="23">
        <f t="shared" si="1"/>
        <v>0</v>
      </c>
      <c r="G74" s="109">
        <v>0</v>
      </c>
      <c r="H74" s="23">
        <f t="shared" si="2"/>
        <v>8.6620977661473031E-2</v>
      </c>
      <c r="I74" s="23">
        <f t="shared" si="3"/>
        <v>0</v>
      </c>
      <c r="J74" s="57">
        <v>0</v>
      </c>
      <c r="K74" s="23">
        <f t="shared" si="4"/>
        <v>0</v>
      </c>
      <c r="L74" s="109">
        <v>0</v>
      </c>
      <c r="M74" s="901">
        <f t="shared" si="5"/>
        <v>0</v>
      </c>
      <c r="O74" s="23"/>
      <c r="P74" s="23"/>
      <c r="Q74" s="23"/>
      <c r="R74" s="23"/>
      <c r="S74" s="23"/>
    </row>
    <row r="75" spans="1:21">
      <c r="A75" s="900" t="s">
        <v>624</v>
      </c>
      <c r="B75" s="243"/>
      <c r="C75" s="244"/>
      <c r="D75" s="109">
        <v>0</v>
      </c>
      <c r="E75" s="23">
        <f t="shared" si="0"/>
        <v>7.8315619283988419E-2</v>
      </c>
      <c r="F75" s="23">
        <f t="shared" si="1"/>
        <v>0</v>
      </c>
      <c r="G75" s="109">
        <v>0</v>
      </c>
      <c r="H75" s="23">
        <f t="shared" si="2"/>
        <v>8.6620977661473031E-2</v>
      </c>
      <c r="I75" s="23">
        <f t="shared" si="3"/>
        <v>0</v>
      </c>
      <c r="J75" s="57">
        <v>0</v>
      </c>
      <c r="K75" s="23">
        <f t="shared" si="4"/>
        <v>0</v>
      </c>
      <c r="L75" s="109">
        <v>0</v>
      </c>
      <c r="M75" s="901">
        <f t="shared" si="5"/>
        <v>0</v>
      </c>
      <c r="O75" s="23"/>
      <c r="P75" s="23"/>
      <c r="Q75" s="23"/>
      <c r="R75" s="23"/>
      <c r="S75" s="23"/>
    </row>
    <row r="76" spans="1:21">
      <c r="A76" s="900" t="s">
        <v>624</v>
      </c>
      <c r="B76" s="243"/>
      <c r="C76" s="244"/>
      <c r="D76" s="109">
        <v>0</v>
      </c>
      <c r="E76" s="23">
        <f t="shared" si="0"/>
        <v>7.8315619283988419E-2</v>
      </c>
      <c r="F76" s="23">
        <f t="shared" si="1"/>
        <v>0</v>
      </c>
      <c r="G76" s="109">
        <v>0</v>
      </c>
      <c r="H76" s="23">
        <f t="shared" si="2"/>
        <v>8.6620977661473031E-2</v>
      </c>
      <c r="I76" s="23">
        <f t="shared" si="3"/>
        <v>0</v>
      </c>
      <c r="J76" s="57">
        <v>0</v>
      </c>
      <c r="K76" s="23">
        <f t="shared" si="4"/>
        <v>0</v>
      </c>
      <c r="L76" s="109">
        <v>0</v>
      </c>
      <c r="M76" s="901">
        <f t="shared" si="5"/>
        <v>0</v>
      </c>
      <c r="O76" s="23"/>
      <c r="P76" s="23"/>
      <c r="Q76" s="23"/>
      <c r="R76" s="23"/>
      <c r="S76" s="23"/>
    </row>
    <row r="77" spans="1:21">
      <c r="A77" s="900" t="s">
        <v>624</v>
      </c>
      <c r="B77" s="243"/>
      <c r="C77" s="244"/>
      <c r="D77" s="109">
        <v>0</v>
      </c>
      <c r="E77" s="23">
        <f t="shared" si="0"/>
        <v>7.8315619283988419E-2</v>
      </c>
      <c r="F77" s="23">
        <f t="shared" si="1"/>
        <v>0</v>
      </c>
      <c r="G77" s="109">
        <v>0</v>
      </c>
      <c r="H77" s="23">
        <f t="shared" si="2"/>
        <v>8.6620977661473031E-2</v>
      </c>
      <c r="I77" s="23">
        <f t="shared" si="3"/>
        <v>0</v>
      </c>
      <c r="J77" s="57">
        <v>0</v>
      </c>
      <c r="K77" s="23">
        <f t="shared" si="4"/>
        <v>0</v>
      </c>
      <c r="L77" s="109">
        <v>0</v>
      </c>
      <c r="M77" s="901">
        <f t="shared" si="5"/>
        <v>0</v>
      </c>
      <c r="O77" s="23"/>
      <c r="P77" s="23"/>
      <c r="Q77" s="23"/>
      <c r="R77" s="23"/>
      <c r="S77" s="23"/>
    </row>
    <row r="78" spans="1:21">
      <c r="A78" s="900" t="s">
        <v>624</v>
      </c>
      <c r="B78" s="243"/>
      <c r="C78" s="244"/>
      <c r="D78" s="109">
        <v>0</v>
      </c>
      <c r="E78" s="23">
        <f t="shared" si="0"/>
        <v>7.8315619283988419E-2</v>
      </c>
      <c r="F78" s="23">
        <f t="shared" si="1"/>
        <v>0</v>
      </c>
      <c r="G78" s="109">
        <v>0</v>
      </c>
      <c r="H78" s="23">
        <f t="shared" si="2"/>
        <v>8.6620977661473031E-2</v>
      </c>
      <c r="I78" s="23">
        <f t="shared" si="3"/>
        <v>0</v>
      </c>
      <c r="J78" s="57">
        <v>0</v>
      </c>
      <c r="K78" s="23">
        <f t="shared" si="4"/>
        <v>0</v>
      </c>
      <c r="L78" s="109">
        <v>0</v>
      </c>
      <c r="M78" s="901">
        <f t="shared" si="5"/>
        <v>0</v>
      </c>
      <c r="O78" s="23"/>
      <c r="P78" s="23"/>
      <c r="Q78" s="23"/>
      <c r="R78" s="23"/>
      <c r="S78" s="23"/>
    </row>
    <row r="79" spans="1:21">
      <c r="A79" s="900" t="s">
        <v>624</v>
      </c>
      <c r="B79" s="243"/>
      <c r="C79" s="244"/>
      <c r="D79" s="109">
        <v>0</v>
      </c>
      <c r="E79" s="23">
        <f t="shared" si="0"/>
        <v>7.8315619283988419E-2</v>
      </c>
      <c r="F79" s="23">
        <f t="shared" si="1"/>
        <v>0</v>
      </c>
      <c r="G79" s="109">
        <v>0</v>
      </c>
      <c r="H79" s="23">
        <f t="shared" si="2"/>
        <v>8.6620977661473031E-2</v>
      </c>
      <c r="I79" s="23">
        <f t="shared" si="3"/>
        <v>0</v>
      </c>
      <c r="J79" s="57">
        <v>0</v>
      </c>
      <c r="K79" s="23">
        <f t="shared" si="4"/>
        <v>0</v>
      </c>
      <c r="L79" s="109">
        <v>0</v>
      </c>
      <c r="M79" s="901">
        <f t="shared" si="5"/>
        <v>0</v>
      </c>
      <c r="O79" s="23"/>
      <c r="P79" s="23"/>
      <c r="Q79" s="23"/>
      <c r="R79" s="23"/>
      <c r="S79" s="23"/>
    </row>
    <row r="80" spans="1:21">
      <c r="A80" s="900" t="s">
        <v>624</v>
      </c>
      <c r="B80" s="243"/>
      <c r="C80" s="244"/>
      <c r="D80" s="109">
        <v>0</v>
      </c>
      <c r="E80" s="23">
        <f t="shared" si="0"/>
        <v>7.8315619283988419E-2</v>
      </c>
      <c r="F80" s="23">
        <f t="shared" si="1"/>
        <v>0</v>
      </c>
      <c r="G80" s="109">
        <v>0</v>
      </c>
      <c r="H80" s="23">
        <f t="shared" si="2"/>
        <v>8.6620977661473031E-2</v>
      </c>
      <c r="I80" s="23">
        <f t="shared" si="3"/>
        <v>0</v>
      </c>
      <c r="J80" s="57">
        <v>0</v>
      </c>
      <c r="K80" s="23">
        <f t="shared" si="4"/>
        <v>0</v>
      </c>
      <c r="L80" s="109">
        <v>0</v>
      </c>
      <c r="M80" s="901">
        <f t="shared" si="5"/>
        <v>0</v>
      </c>
      <c r="O80" s="23"/>
      <c r="P80" s="23"/>
      <c r="Q80" s="23"/>
      <c r="R80" s="23"/>
      <c r="S80" s="23"/>
    </row>
    <row r="81" spans="1:19">
      <c r="A81" s="900" t="s">
        <v>624</v>
      </c>
      <c r="B81" s="243"/>
      <c r="C81" s="244"/>
      <c r="D81" s="109">
        <v>0</v>
      </c>
      <c r="E81" s="23">
        <f t="shared" si="0"/>
        <v>7.8315619283988419E-2</v>
      </c>
      <c r="F81" s="23">
        <f t="shared" si="1"/>
        <v>0</v>
      </c>
      <c r="G81" s="109">
        <v>0</v>
      </c>
      <c r="H81" s="23">
        <f t="shared" si="2"/>
        <v>8.6620977661473031E-2</v>
      </c>
      <c r="I81" s="23">
        <f t="shared" si="3"/>
        <v>0</v>
      </c>
      <c r="J81" s="57">
        <v>0</v>
      </c>
      <c r="K81" s="23">
        <f t="shared" si="4"/>
        <v>0</v>
      </c>
      <c r="L81" s="109">
        <v>0</v>
      </c>
      <c r="M81" s="901">
        <f t="shared" si="5"/>
        <v>0</v>
      </c>
      <c r="O81" s="23"/>
      <c r="P81" s="23"/>
      <c r="Q81" s="23"/>
      <c r="R81" s="23"/>
      <c r="S81" s="23"/>
    </row>
    <row r="82" spans="1:19">
      <c r="A82" s="900" t="s">
        <v>624</v>
      </c>
      <c r="C82" s="247"/>
      <c r="D82" s="109">
        <v>0</v>
      </c>
      <c r="E82" s="23">
        <f t="shared" si="0"/>
        <v>7.8315619283988419E-2</v>
      </c>
      <c r="F82" s="23">
        <f t="shared" si="1"/>
        <v>0</v>
      </c>
      <c r="G82" s="109">
        <v>0</v>
      </c>
      <c r="H82" s="23">
        <f t="shared" si="2"/>
        <v>8.6620977661473031E-2</v>
      </c>
      <c r="I82" s="23">
        <f t="shared" si="3"/>
        <v>0</v>
      </c>
      <c r="J82" s="57">
        <v>0</v>
      </c>
      <c r="K82" s="23">
        <f t="shared" si="4"/>
        <v>0</v>
      </c>
      <c r="L82" s="109">
        <v>0</v>
      </c>
      <c r="M82" s="901">
        <f t="shared" si="5"/>
        <v>0</v>
      </c>
      <c r="O82" s="23"/>
      <c r="P82" s="23"/>
      <c r="Q82" s="23"/>
      <c r="R82" s="23"/>
      <c r="S82" s="23"/>
    </row>
    <row r="83" spans="1:19">
      <c r="A83" s="900" t="s">
        <v>624</v>
      </c>
      <c r="C83" s="247"/>
      <c r="D83" s="109">
        <v>0</v>
      </c>
      <c r="E83" s="23">
        <f t="shared" si="0"/>
        <v>7.8315619283988419E-2</v>
      </c>
      <c r="F83" s="23">
        <f t="shared" si="1"/>
        <v>0</v>
      </c>
      <c r="G83" s="109">
        <v>0</v>
      </c>
      <c r="H83" s="23">
        <f t="shared" si="2"/>
        <v>8.6620977661473031E-2</v>
      </c>
      <c r="I83" s="23">
        <f t="shared" si="3"/>
        <v>0</v>
      </c>
      <c r="J83" s="57">
        <v>0</v>
      </c>
      <c r="K83" s="23">
        <f t="shared" si="4"/>
        <v>0</v>
      </c>
      <c r="L83" s="109">
        <v>0</v>
      </c>
      <c r="M83" s="901">
        <f t="shared" si="5"/>
        <v>0</v>
      </c>
      <c r="O83" s="23"/>
      <c r="P83" s="23"/>
      <c r="Q83" s="23"/>
      <c r="R83" s="23"/>
      <c r="S83" s="23"/>
    </row>
    <row r="84" spans="1:19">
      <c r="A84" s="900" t="s">
        <v>624</v>
      </c>
      <c r="C84" s="247"/>
      <c r="D84" s="109">
        <v>0</v>
      </c>
      <c r="E84" s="23">
        <f t="shared" si="0"/>
        <v>7.8315619283988419E-2</v>
      </c>
      <c r="F84" s="23">
        <f t="shared" si="1"/>
        <v>0</v>
      </c>
      <c r="G84" s="109">
        <v>0</v>
      </c>
      <c r="H84" s="23">
        <f t="shared" si="2"/>
        <v>8.6620977661473031E-2</v>
      </c>
      <c r="I84" s="23">
        <f t="shared" si="3"/>
        <v>0</v>
      </c>
      <c r="J84" s="57">
        <v>0</v>
      </c>
      <c r="K84" s="23">
        <f t="shared" si="4"/>
        <v>0</v>
      </c>
      <c r="L84" s="109">
        <v>0</v>
      </c>
      <c r="M84" s="901">
        <f t="shared" si="5"/>
        <v>0</v>
      </c>
      <c r="O84" s="23"/>
      <c r="P84" s="23"/>
      <c r="Q84" s="23"/>
      <c r="R84" s="23"/>
      <c r="S84" s="23"/>
    </row>
    <row r="85" spans="1:19">
      <c r="A85" s="900" t="s">
        <v>624</v>
      </c>
      <c r="C85" s="247"/>
      <c r="D85" s="109">
        <v>0</v>
      </c>
      <c r="E85" s="23">
        <f t="shared" si="0"/>
        <v>7.8315619283988419E-2</v>
      </c>
      <c r="F85" s="23">
        <f t="shared" si="1"/>
        <v>0</v>
      </c>
      <c r="G85" s="109">
        <v>0</v>
      </c>
      <c r="H85" s="23">
        <f t="shared" si="2"/>
        <v>8.6620977661473031E-2</v>
      </c>
      <c r="I85" s="23">
        <f t="shared" si="3"/>
        <v>0</v>
      </c>
      <c r="J85" s="57">
        <v>0</v>
      </c>
      <c r="K85" s="23">
        <f t="shared" si="4"/>
        <v>0</v>
      </c>
      <c r="L85" s="109">
        <v>0</v>
      </c>
      <c r="M85" s="901">
        <f t="shared" si="5"/>
        <v>0</v>
      </c>
      <c r="O85" s="23"/>
      <c r="P85" s="23"/>
      <c r="Q85" s="23"/>
      <c r="R85" s="23"/>
      <c r="S85" s="23"/>
    </row>
    <row r="86" spans="1:19" ht="13.5" thickBot="1">
      <c r="A86" s="902"/>
      <c r="B86" s="257"/>
      <c r="C86" s="257"/>
      <c r="D86" s="257"/>
      <c r="E86" s="257"/>
      <c r="F86" s="257"/>
      <c r="G86" s="257"/>
      <c r="H86" s="257"/>
      <c r="I86" s="257"/>
      <c r="J86" s="257"/>
      <c r="K86" s="27"/>
      <c r="L86" s="903"/>
      <c r="M86" s="904"/>
      <c r="O86" s="905"/>
      <c r="P86" s="905"/>
      <c r="Q86" s="905"/>
      <c r="S86" s="26"/>
    </row>
    <row r="87" spans="1:19">
      <c r="A87" s="170" t="s">
        <v>379</v>
      </c>
      <c r="B87" s="194"/>
      <c r="C87" s="164" t="s">
        <v>430</v>
      </c>
      <c r="D87" s="164"/>
      <c r="E87" s="113"/>
      <c r="F87" s="186"/>
      <c r="G87" s="165"/>
      <c r="H87" s="113"/>
      <c r="I87" s="165"/>
      <c r="J87" s="165"/>
      <c r="K87" s="165"/>
      <c r="L87" s="23"/>
      <c r="M87" s="122">
        <f>SUM(M67:M86)</f>
        <v>0</v>
      </c>
      <c r="N87" s="26"/>
      <c r="O87" s="26"/>
      <c r="P87" s="26"/>
      <c r="Q87" s="26"/>
      <c r="R87" s="26"/>
      <c r="S87" s="26"/>
    </row>
    <row r="88" spans="1:19">
      <c r="A88" s="159" t="s">
        <v>272</v>
      </c>
    </row>
    <row r="89" spans="1:19" ht="13.5" thickBot="1">
      <c r="A89" s="257" t="s">
        <v>273</v>
      </c>
    </row>
    <row r="90" spans="1:19">
      <c r="A90" s="258" t="s">
        <v>431</v>
      </c>
      <c r="C90" s="259" t="s">
        <v>432</v>
      </c>
      <c r="D90" s="259"/>
      <c r="E90" s="259"/>
      <c r="F90" s="259"/>
      <c r="G90" s="259"/>
      <c r="H90" s="259"/>
      <c r="I90" s="259"/>
      <c r="J90" s="259"/>
      <c r="K90" s="259"/>
      <c r="L90" s="259"/>
      <c r="M90" s="259"/>
      <c r="N90" s="259"/>
      <c r="O90" s="259"/>
      <c r="P90" s="259"/>
      <c r="Q90" s="259"/>
    </row>
    <row r="91" spans="1:19">
      <c r="A91" s="258" t="s">
        <v>433</v>
      </c>
      <c r="C91" s="259" t="s">
        <v>1128</v>
      </c>
      <c r="D91" s="259"/>
      <c r="E91" s="259"/>
      <c r="F91" s="259"/>
      <c r="G91" s="259"/>
      <c r="H91" s="259"/>
      <c r="I91" s="259"/>
      <c r="J91" s="259"/>
      <c r="K91" s="259"/>
      <c r="L91" s="259"/>
      <c r="M91" s="259"/>
      <c r="N91" s="259"/>
      <c r="O91" s="259"/>
      <c r="P91" s="259"/>
      <c r="Q91" s="259"/>
    </row>
    <row r="92" spans="1:19">
      <c r="A92" s="258" t="s">
        <v>278</v>
      </c>
      <c r="C92" s="260" t="s">
        <v>435</v>
      </c>
      <c r="D92" s="260"/>
      <c r="E92" s="260"/>
      <c r="F92" s="260"/>
      <c r="G92" s="260"/>
      <c r="H92" s="260"/>
      <c r="I92" s="260"/>
      <c r="J92" s="260"/>
      <c r="K92" s="260"/>
      <c r="L92" s="260"/>
      <c r="M92" s="260"/>
      <c r="N92" s="260"/>
      <c r="O92" s="260"/>
      <c r="P92" s="260"/>
      <c r="Q92" s="260"/>
    </row>
    <row r="93" spans="1:19">
      <c r="C93" s="159" t="s">
        <v>436</v>
      </c>
    </row>
    <row r="94" spans="1:19">
      <c r="A94" s="258" t="s">
        <v>280</v>
      </c>
      <c r="C94" s="260" t="s">
        <v>1129</v>
      </c>
      <c r="D94" s="260"/>
      <c r="E94" s="260"/>
      <c r="F94" s="260"/>
      <c r="G94" s="260"/>
      <c r="H94" s="260"/>
      <c r="I94" s="260"/>
      <c r="J94" s="260"/>
      <c r="K94" s="260"/>
      <c r="L94" s="260"/>
      <c r="M94" s="260"/>
      <c r="N94" s="260"/>
      <c r="O94" s="260"/>
      <c r="P94" s="260"/>
      <c r="Q94" s="260"/>
    </row>
    <row r="95" spans="1:19">
      <c r="A95" s="186" t="s">
        <v>282</v>
      </c>
      <c r="C95" s="261" t="s">
        <v>438</v>
      </c>
      <c r="D95" s="261"/>
      <c r="E95" s="261"/>
      <c r="F95" s="261"/>
      <c r="G95" s="261"/>
      <c r="H95" s="261"/>
      <c r="I95" s="261"/>
      <c r="J95" s="261"/>
      <c r="K95" s="261"/>
      <c r="L95" s="261"/>
      <c r="M95" s="261"/>
      <c r="N95" s="261"/>
      <c r="O95" s="261"/>
      <c r="P95" s="261"/>
      <c r="Q95" s="261"/>
    </row>
    <row r="96" spans="1:19">
      <c r="A96" s="186" t="s">
        <v>284</v>
      </c>
      <c r="C96" s="261" t="s">
        <v>441</v>
      </c>
      <c r="D96" s="261"/>
      <c r="E96" s="261"/>
      <c r="F96" s="261"/>
      <c r="G96" s="261"/>
      <c r="H96" s="261"/>
      <c r="I96" s="261"/>
      <c r="J96" s="261"/>
      <c r="K96" s="261"/>
      <c r="L96" s="261"/>
      <c r="M96" s="261"/>
      <c r="N96" s="261"/>
      <c r="O96" s="261"/>
      <c r="P96" s="261"/>
      <c r="Q96" s="261"/>
    </row>
    <row r="97" spans="1:17">
      <c r="A97" s="186" t="s">
        <v>286</v>
      </c>
      <c r="C97" s="159" t="s">
        <v>442</v>
      </c>
    </row>
    <row r="98" spans="1:17">
      <c r="A98" s="170" t="s">
        <v>296</v>
      </c>
      <c r="C98" s="201" t="s">
        <v>1130</v>
      </c>
      <c r="D98" s="170"/>
      <c r="E98" s="186"/>
      <c r="F98" s="186"/>
      <c r="G98" s="165"/>
      <c r="J98" s="184"/>
      <c r="P98" s="165"/>
      <c r="Q98" s="163"/>
    </row>
    <row r="99" spans="1:17">
      <c r="A99" s="170" t="s">
        <v>298</v>
      </c>
      <c r="C99" s="159" t="s">
        <v>1131</v>
      </c>
      <c r="D99" s="170"/>
      <c r="E99" s="186"/>
      <c r="F99" s="186"/>
      <c r="G99" s="165"/>
      <c r="J99" s="184"/>
      <c r="P99" s="165"/>
      <c r="Q99" s="181"/>
    </row>
    <row r="100" spans="1:17">
      <c r="A100" s="186"/>
      <c r="C100" s="3"/>
    </row>
    <row r="101" spans="1:17">
      <c r="A101" s="186"/>
    </row>
    <row r="282" spans="1:11">
      <c r="A282" s="7"/>
      <c r="B282" s="6"/>
      <c r="C282" s="7"/>
      <c r="D282" s="11"/>
      <c r="E282" s="11"/>
      <c r="F282" s="11"/>
      <c r="G282" s="11"/>
      <c r="H282" s="5"/>
      <c r="I282" s="123"/>
      <c r="J282" s="11"/>
      <c r="K282" s="11"/>
    </row>
  </sheetData>
  <mergeCells count="7">
    <mergeCell ref="C96:Q96"/>
    <mergeCell ref="C12:Q12"/>
    <mergeCell ref="C90:Q90"/>
    <mergeCell ref="C91:Q91"/>
    <mergeCell ref="C92:Q92"/>
    <mergeCell ref="C94:Q94"/>
    <mergeCell ref="C95:Q95"/>
  </mergeCells>
  <pageMargins left="0.25" right="0.25" top="0.75" bottom="0.75" header="0.3" footer="0.3"/>
  <pageSetup scale="55" fitToWidth="2" fitToHeight="2" orientation="landscape" verticalDpi="300" r:id="rId1"/>
  <rowBreaks count="3" manualBreakCount="3">
    <brk id="51" max="12" man="1"/>
    <brk id="100" max="18" man="1"/>
    <brk id="102"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990D9-55AF-4B38-B326-A5468B4EB3BB}">
  <sheetPr>
    <tabColor rgb="FF92D050"/>
  </sheetPr>
  <dimension ref="A1:AQ109"/>
  <sheetViews>
    <sheetView view="pageBreakPreview" topLeftCell="A49" zoomScale="70" zoomScaleNormal="65" zoomScaleSheetLayoutView="70" workbookViewId="0">
      <pane xSplit="4" topLeftCell="E1" activePane="topRight" state="frozen"/>
      <selection activeCell="A39" sqref="A39:C39"/>
      <selection pane="topRight" activeCell="O69" sqref="O69"/>
    </sheetView>
  </sheetViews>
  <sheetFormatPr defaultColWidth="8.88671875" defaultRowHeight="15"/>
  <cols>
    <col min="1" max="1" width="6" style="159" customWidth="1"/>
    <col min="2" max="2" width="1.44140625" style="159" customWidth="1"/>
    <col min="3" max="3" width="36" style="159" customWidth="1"/>
    <col min="4" max="4" width="13.77734375" style="159" customWidth="1"/>
    <col min="5" max="5" width="17.5546875" style="159" customWidth="1"/>
    <col min="6" max="6" width="13.109375" style="159" customWidth="1"/>
    <col min="7" max="7" width="14.44140625" style="159" customWidth="1"/>
    <col min="8" max="8" width="16.33203125" style="159" customWidth="1"/>
    <col min="9" max="9" width="13.77734375" style="159" customWidth="1"/>
    <col min="10" max="10" width="14.44140625" style="159" customWidth="1"/>
    <col min="11" max="11" width="13.5546875" style="159" customWidth="1"/>
    <col min="12" max="13" width="15.77734375" style="159" customWidth="1"/>
    <col min="14" max="15" width="14.44140625" style="159" customWidth="1"/>
    <col min="16" max="16" width="12.77734375" style="159" customWidth="1"/>
    <col min="17" max="17" width="13.88671875" style="159" customWidth="1"/>
    <col min="18" max="18" width="9.33203125" style="159" customWidth="1"/>
    <col min="19" max="19" width="13" style="159" customWidth="1"/>
    <col min="20" max="43" width="10.109375" customWidth="1"/>
    <col min="44" max="16384" width="8.88671875" style="159"/>
  </cols>
  <sheetData>
    <row r="1" spans="1:19">
      <c r="Q1" s="160"/>
    </row>
    <row r="2" spans="1:19">
      <c r="Q2" s="160"/>
    </row>
    <row r="4" spans="1:19">
      <c r="Q4" s="160"/>
    </row>
    <row r="5" spans="1:19">
      <c r="D5" s="161"/>
      <c r="E5" s="161"/>
      <c r="F5" s="161"/>
      <c r="G5" s="162" t="s">
        <v>329</v>
      </c>
      <c r="H5" s="161"/>
      <c r="I5" s="161"/>
      <c r="J5" s="161"/>
      <c r="K5" s="161"/>
      <c r="L5" s="1"/>
      <c r="M5" s="163"/>
      <c r="N5" s="163"/>
      <c r="O5" s="163"/>
      <c r="P5" s="163"/>
      <c r="Q5" s="163"/>
      <c r="R5" s="164"/>
      <c r="S5" s="164" t="s">
        <v>330</v>
      </c>
    </row>
    <row r="6" spans="1:19">
      <c r="D6" s="161"/>
      <c r="E6" s="165" t="s">
        <v>9</v>
      </c>
      <c r="F6" s="165"/>
      <c r="G6" s="162" t="s">
        <v>331</v>
      </c>
      <c r="H6" s="165"/>
      <c r="I6" s="165"/>
      <c r="J6" s="165"/>
      <c r="K6" s="161"/>
      <c r="P6" s="164"/>
      <c r="Q6" s="161"/>
      <c r="R6" s="164"/>
      <c r="S6" s="166"/>
    </row>
    <row r="7" spans="1:19">
      <c r="C7" s="164"/>
      <c r="D7" s="164"/>
      <c r="E7" s="164"/>
      <c r="F7" s="164"/>
      <c r="G7" s="18" t="str">
        <f>+'Attachment H'!D5</f>
        <v>GridLiance High Plains LLC</v>
      </c>
      <c r="H7" s="164"/>
      <c r="I7" s="164"/>
      <c r="J7" s="164"/>
      <c r="K7" s="164"/>
      <c r="P7" s="164"/>
      <c r="Q7" s="164"/>
      <c r="R7" s="164"/>
      <c r="S7" s="167"/>
    </row>
    <row r="8" spans="1:19">
      <c r="A8" s="162"/>
      <c r="C8" s="164"/>
      <c r="D8" s="164"/>
      <c r="E8" s="164"/>
      <c r="F8" s="164"/>
      <c r="H8" s="164"/>
      <c r="I8" s="164"/>
      <c r="J8" s="164"/>
      <c r="K8" s="164"/>
      <c r="L8" s="164"/>
      <c r="M8" s="164"/>
      <c r="N8" s="164"/>
      <c r="O8" s="164"/>
      <c r="P8" s="164"/>
      <c r="Q8" s="164"/>
      <c r="R8" s="164"/>
      <c r="S8" s="167"/>
    </row>
    <row r="9" spans="1:19">
      <c r="A9" s="162"/>
      <c r="C9" s="164"/>
      <c r="D9" s="164"/>
      <c r="E9" s="164"/>
      <c r="F9" s="164"/>
      <c r="G9" s="168"/>
      <c r="H9" s="164"/>
      <c r="I9" s="164"/>
      <c r="J9" s="164"/>
      <c r="K9" s="164"/>
      <c r="L9" s="164"/>
      <c r="M9" s="164"/>
      <c r="N9" s="164"/>
      <c r="O9" s="164"/>
      <c r="P9" s="164"/>
      <c r="Q9" s="164"/>
      <c r="R9" s="164"/>
      <c r="S9" s="167"/>
    </row>
    <row r="10" spans="1:19">
      <c r="A10" s="162"/>
      <c r="C10" s="164" t="s">
        <v>332</v>
      </c>
      <c r="D10" s="164"/>
      <c r="E10" s="164"/>
      <c r="F10" s="164"/>
      <c r="G10" s="168"/>
      <c r="H10" s="164"/>
      <c r="I10" s="164"/>
      <c r="J10" s="164"/>
      <c r="K10" s="164"/>
      <c r="L10" s="164"/>
      <c r="M10" s="164"/>
      <c r="N10" s="164"/>
      <c r="O10" s="164"/>
      <c r="P10" s="164"/>
      <c r="Q10" s="164"/>
      <c r="R10" s="164"/>
      <c r="S10" s="167"/>
    </row>
    <row r="11" spans="1:19">
      <c r="A11" s="162"/>
      <c r="C11" s="164"/>
      <c r="D11" s="164"/>
      <c r="E11" s="164"/>
      <c r="F11" s="164"/>
      <c r="G11" s="168"/>
      <c r="L11" s="164"/>
      <c r="M11" s="164"/>
      <c r="N11" s="164"/>
      <c r="O11" s="164"/>
      <c r="P11" s="164"/>
      <c r="Q11" s="164"/>
      <c r="R11" s="164"/>
      <c r="S11" s="164"/>
    </row>
    <row r="12" spans="1:19">
      <c r="A12" s="162"/>
      <c r="C12" s="164"/>
      <c r="D12" s="164"/>
      <c r="E12" s="164"/>
      <c r="F12" s="164"/>
      <c r="G12" s="164"/>
      <c r="L12" s="165"/>
      <c r="M12" s="165"/>
      <c r="N12" s="165"/>
      <c r="O12" s="165"/>
      <c r="P12" s="164"/>
      <c r="Q12" s="164"/>
      <c r="R12" s="164"/>
      <c r="S12" s="164"/>
    </row>
    <row r="13" spans="1:19">
      <c r="C13" s="169" t="s">
        <v>6</v>
      </c>
      <c r="D13" s="169"/>
      <c r="E13" s="169" t="s">
        <v>7</v>
      </c>
      <c r="F13" s="169"/>
      <c r="I13" s="169" t="s">
        <v>8</v>
      </c>
      <c r="L13" s="170" t="s">
        <v>10</v>
      </c>
      <c r="M13" s="170"/>
      <c r="N13" s="170"/>
      <c r="O13" s="170"/>
      <c r="P13" s="165"/>
      <c r="Q13" s="170"/>
      <c r="R13" s="165"/>
      <c r="S13" s="170"/>
    </row>
    <row r="14" spans="1:19">
      <c r="C14" s="164"/>
      <c r="D14" s="164"/>
      <c r="E14" s="171" t="s">
        <v>1</v>
      </c>
      <c r="F14" s="171"/>
      <c r="I14" s="165"/>
      <c r="P14" s="165"/>
      <c r="R14" s="165"/>
      <c r="S14" s="169"/>
    </row>
    <row r="15" spans="1:19">
      <c r="A15" s="162" t="s">
        <v>12</v>
      </c>
      <c r="C15" s="164"/>
      <c r="D15" s="164"/>
      <c r="E15" s="172" t="s">
        <v>333</v>
      </c>
      <c r="F15" s="172"/>
      <c r="I15" s="173" t="s">
        <v>39</v>
      </c>
      <c r="L15" s="173" t="s">
        <v>21</v>
      </c>
      <c r="M15" s="173"/>
      <c r="N15" s="173"/>
      <c r="O15" s="173"/>
      <c r="P15" s="165"/>
      <c r="R15" s="164"/>
      <c r="S15" s="174"/>
    </row>
    <row r="16" spans="1:19">
      <c r="A16" s="162" t="s">
        <v>14</v>
      </c>
      <c r="C16" s="175"/>
      <c r="D16" s="175"/>
      <c r="E16" s="165"/>
      <c r="F16" s="165"/>
      <c r="I16" s="165"/>
      <c r="L16" s="165"/>
      <c r="M16" s="165"/>
      <c r="N16" s="165"/>
      <c r="O16" s="165"/>
      <c r="P16" s="165"/>
      <c r="Q16" s="165"/>
      <c r="R16" s="164"/>
      <c r="S16" s="165"/>
    </row>
    <row r="17" spans="1:19">
      <c r="A17" s="176"/>
      <c r="C17" s="164"/>
      <c r="D17" s="164"/>
      <c r="E17" s="165"/>
      <c r="F17" s="165"/>
      <c r="I17" s="165"/>
      <c r="L17" s="165"/>
      <c r="M17" s="165"/>
      <c r="N17" s="165"/>
      <c r="O17" s="165"/>
      <c r="P17" s="165"/>
      <c r="Q17" s="165"/>
      <c r="R17" s="164"/>
      <c r="S17" s="165"/>
    </row>
    <row r="18" spans="1:19">
      <c r="A18" s="177">
        <v>1</v>
      </c>
      <c r="C18" s="164" t="s">
        <v>334</v>
      </c>
      <c r="D18" s="164"/>
      <c r="E18" s="178" t="s">
        <v>335</v>
      </c>
      <c r="F18" s="177"/>
      <c r="I18" s="26">
        <f>+'Attachment H'!I64+'Attachment H'!I93</f>
        <v>92294602.145676479</v>
      </c>
      <c r="P18" s="165"/>
      <c r="Q18" s="165"/>
      <c r="R18" s="164"/>
      <c r="S18" s="165"/>
    </row>
    <row r="19" spans="1:19">
      <c r="A19" s="177">
        <v>2</v>
      </c>
      <c r="C19" s="164" t="s">
        <v>336</v>
      </c>
      <c r="D19" s="164"/>
      <c r="E19" s="178" t="s">
        <v>337</v>
      </c>
      <c r="F19" s="177"/>
      <c r="I19" s="26">
        <f>+'Attachment H'!I80+'Attachment H'!I93+'Attachment H'!I95</f>
        <v>76642904.689562351</v>
      </c>
      <c r="P19" s="165"/>
      <c r="Q19" s="165"/>
      <c r="R19" s="164"/>
      <c r="S19" s="165"/>
    </row>
    <row r="20" spans="1:19">
      <c r="A20" s="177"/>
      <c r="E20" s="178"/>
      <c r="F20" s="177"/>
      <c r="P20" s="165"/>
      <c r="Q20" s="165"/>
      <c r="R20" s="164"/>
      <c r="S20" s="165"/>
    </row>
    <row r="21" spans="1:19">
      <c r="A21" s="177"/>
      <c r="C21" s="164" t="s">
        <v>338</v>
      </c>
      <c r="D21" s="164"/>
      <c r="E21" s="178"/>
      <c r="F21" s="177"/>
      <c r="I21" s="165"/>
      <c r="L21" s="165"/>
      <c r="M21" s="165"/>
      <c r="N21" s="165"/>
      <c r="O21" s="165"/>
      <c r="P21" s="165"/>
      <c r="Q21" s="165"/>
      <c r="R21" s="165"/>
      <c r="S21" s="165"/>
    </row>
    <row r="22" spans="1:19">
      <c r="A22" s="177">
        <v>3</v>
      </c>
      <c r="C22" s="164" t="s">
        <v>339</v>
      </c>
      <c r="D22" s="164"/>
      <c r="E22" s="178" t="s">
        <v>340</v>
      </c>
      <c r="F22" s="177"/>
      <c r="I22" s="122">
        <f>+'Attachment H'!I134</f>
        <v>5741270.8621737128</v>
      </c>
      <c r="P22" s="165"/>
      <c r="Q22" s="165"/>
      <c r="R22" s="165"/>
      <c r="S22" s="165"/>
    </row>
    <row r="23" spans="1:19">
      <c r="A23" s="177">
        <v>4</v>
      </c>
      <c r="C23" s="164" t="s">
        <v>341</v>
      </c>
      <c r="D23" s="164"/>
      <c r="E23" s="178" t="s">
        <v>342</v>
      </c>
      <c r="F23" s="177"/>
      <c r="I23" s="23">
        <f>IF(I18=0,0,I22/I18)</f>
        <v>6.2205922434247815E-2</v>
      </c>
      <c r="L23" s="179">
        <f>I23</f>
        <v>6.2205922434247815E-2</v>
      </c>
      <c r="M23" s="180"/>
      <c r="N23" s="180"/>
      <c r="O23" s="180"/>
      <c r="P23" s="165"/>
      <c r="Q23" s="181"/>
      <c r="R23" s="182"/>
      <c r="S23" s="183"/>
    </row>
    <row r="24" spans="1:19">
      <c r="A24" s="177"/>
      <c r="C24" s="164"/>
      <c r="D24" s="164"/>
      <c r="E24" s="178"/>
      <c r="F24" s="177"/>
      <c r="I24" s="184"/>
      <c r="L24" s="180"/>
      <c r="M24" s="180"/>
      <c r="N24" s="180"/>
      <c r="O24" s="180"/>
      <c r="P24" s="165"/>
      <c r="Q24" s="181"/>
      <c r="R24" s="182"/>
      <c r="S24" s="183"/>
    </row>
    <row r="25" spans="1:19">
      <c r="A25" s="170"/>
      <c r="C25" s="164" t="s">
        <v>343</v>
      </c>
      <c r="D25" s="164"/>
      <c r="E25" s="185"/>
      <c r="F25" s="186"/>
      <c r="I25" s="165"/>
      <c r="L25" s="165"/>
      <c r="M25" s="165"/>
      <c r="N25" s="165"/>
      <c r="O25" s="165"/>
      <c r="P25" s="165"/>
      <c r="Q25" s="181"/>
      <c r="R25" s="182"/>
      <c r="S25" s="183"/>
    </row>
    <row r="26" spans="1:19">
      <c r="A26" s="170" t="s">
        <v>344</v>
      </c>
      <c r="C26" s="164" t="s">
        <v>345</v>
      </c>
      <c r="D26" s="164"/>
      <c r="E26" s="178" t="s">
        <v>346</v>
      </c>
      <c r="F26" s="177"/>
      <c r="I26" s="122">
        <f>+'Attachment H'!I138+'Attachment H'!I139</f>
        <v>0</v>
      </c>
      <c r="P26" s="165"/>
      <c r="Q26" s="181"/>
      <c r="R26" s="182"/>
      <c r="S26" s="183"/>
    </row>
    <row r="27" spans="1:19">
      <c r="A27" s="170" t="s">
        <v>347</v>
      </c>
      <c r="C27" s="164" t="s">
        <v>348</v>
      </c>
      <c r="D27" s="164"/>
      <c r="E27" s="178" t="s">
        <v>349</v>
      </c>
      <c r="F27" s="177"/>
      <c r="I27" s="23">
        <f>IF(I26=0,0,I26/I18)</f>
        <v>0</v>
      </c>
      <c r="J27" s="23"/>
      <c r="K27" s="23"/>
      <c r="L27" s="187">
        <f>I27</f>
        <v>0</v>
      </c>
      <c r="M27" s="180"/>
      <c r="N27" s="180"/>
      <c r="O27" s="180"/>
      <c r="P27" s="165"/>
      <c r="Q27" s="181"/>
      <c r="R27" s="182"/>
      <c r="S27" s="183"/>
    </row>
    <row r="28" spans="1:19">
      <c r="A28" s="177"/>
      <c r="C28" s="164"/>
      <c r="D28" s="164"/>
      <c r="E28" s="178"/>
      <c r="F28" s="177"/>
      <c r="I28" s="23"/>
      <c r="J28" s="23"/>
      <c r="K28" s="23"/>
      <c r="L28" s="187"/>
      <c r="M28" s="180"/>
      <c r="N28" s="180"/>
      <c r="O28" s="180"/>
      <c r="P28" s="165"/>
      <c r="Q28" s="181"/>
      <c r="R28" s="182"/>
      <c r="S28" s="183"/>
    </row>
    <row r="29" spans="1:19">
      <c r="A29" s="170"/>
      <c r="C29" s="164" t="s">
        <v>350</v>
      </c>
      <c r="D29" s="164"/>
      <c r="E29" s="185"/>
      <c r="F29" s="186"/>
      <c r="I29" s="23"/>
      <c r="J29" s="23"/>
      <c r="K29" s="23"/>
      <c r="L29" s="23"/>
      <c r="M29" s="165"/>
      <c r="N29" s="165"/>
      <c r="O29" s="165"/>
      <c r="P29" s="165"/>
      <c r="Q29" s="165"/>
      <c r="R29" s="165"/>
      <c r="S29" s="165"/>
    </row>
    <row r="30" spans="1:19">
      <c r="A30" s="170" t="s">
        <v>351</v>
      </c>
      <c r="C30" s="164" t="s">
        <v>352</v>
      </c>
      <c r="D30" s="164"/>
      <c r="E30" s="178" t="s">
        <v>353</v>
      </c>
      <c r="F30" s="177"/>
      <c r="I30" s="23">
        <f>+'Attachment H'!I152</f>
        <v>1486838.0614342662</v>
      </c>
      <c r="J30" s="23"/>
      <c r="K30" s="23"/>
      <c r="L30" s="23"/>
      <c r="P30" s="165"/>
      <c r="Q30" s="174"/>
      <c r="R30" s="165"/>
      <c r="S30" s="177"/>
    </row>
    <row r="31" spans="1:19">
      <c r="A31" s="170" t="s">
        <v>354</v>
      </c>
      <c r="C31" s="164" t="s">
        <v>355</v>
      </c>
      <c r="D31" s="164"/>
      <c r="E31" s="178" t="s">
        <v>356</v>
      </c>
      <c r="F31" s="177"/>
      <c r="I31" s="23">
        <f>IF(I30=0,0,I30/I18)</f>
        <v>1.6109696849740597E-2</v>
      </c>
      <c r="J31" s="23"/>
      <c r="K31" s="23"/>
      <c r="L31" s="187">
        <f>I31</f>
        <v>1.6109696849740597E-2</v>
      </c>
      <c r="M31" s="180"/>
      <c r="N31" s="180"/>
      <c r="O31" s="180"/>
      <c r="P31" s="165"/>
      <c r="Q31" s="181"/>
      <c r="R31" s="165"/>
      <c r="S31" s="183"/>
    </row>
    <row r="32" spans="1:19">
      <c r="A32" s="170"/>
      <c r="C32" s="164"/>
      <c r="D32" s="164"/>
      <c r="E32" s="178"/>
      <c r="F32" s="177"/>
      <c r="I32" s="165"/>
      <c r="L32" s="165"/>
      <c r="M32" s="165"/>
      <c r="N32" s="165"/>
      <c r="O32" s="165"/>
      <c r="P32" s="165"/>
    </row>
    <row r="33" spans="1:19">
      <c r="A33" s="170" t="s">
        <v>357</v>
      </c>
      <c r="C33" s="164" t="s">
        <v>358</v>
      </c>
      <c r="D33" s="164"/>
      <c r="E33" s="178" t="s">
        <v>359</v>
      </c>
      <c r="F33" s="177"/>
      <c r="I33" s="26">
        <f>-'Attachment H'!I19</f>
        <v>0</v>
      </c>
      <c r="L33" s="165"/>
      <c r="M33" s="165"/>
      <c r="N33" s="165"/>
      <c r="O33" s="165"/>
      <c r="P33" s="165"/>
    </row>
    <row r="34" spans="1:19">
      <c r="A34" s="170" t="s">
        <v>360</v>
      </c>
      <c r="C34" s="164" t="s">
        <v>361</v>
      </c>
      <c r="D34" s="164"/>
      <c r="E34" s="178" t="s">
        <v>362</v>
      </c>
      <c r="F34" s="177"/>
      <c r="I34" s="61">
        <f>IF(L18=0,0,I33/I18)</f>
        <v>0</v>
      </c>
      <c r="L34" s="23">
        <f>+I34</f>
        <v>0</v>
      </c>
      <c r="M34" s="165"/>
      <c r="N34" s="165"/>
      <c r="O34" s="165"/>
      <c r="P34" s="165"/>
    </row>
    <row r="35" spans="1:19">
      <c r="A35" s="170"/>
      <c r="C35" s="164"/>
      <c r="D35" s="164"/>
      <c r="E35" s="178"/>
      <c r="F35" s="177"/>
      <c r="I35" s="165"/>
      <c r="L35" s="165"/>
      <c r="M35" s="165"/>
      <c r="N35" s="165"/>
      <c r="O35" s="165"/>
      <c r="P35" s="165"/>
    </row>
    <row r="36" spans="1:19">
      <c r="A36" s="188" t="s">
        <v>363</v>
      </c>
      <c r="B36" s="189"/>
      <c r="C36" s="175" t="s">
        <v>364</v>
      </c>
      <c r="D36" s="175"/>
      <c r="E36" s="190" t="s">
        <v>365</v>
      </c>
      <c r="F36" s="171"/>
      <c r="I36" s="182"/>
      <c r="L36" s="191">
        <f>L23+L27+L31+L34</f>
        <v>7.8315619283988419E-2</v>
      </c>
      <c r="M36" s="192"/>
      <c r="N36" s="192"/>
      <c r="O36" s="192"/>
      <c r="P36" s="165"/>
    </row>
    <row r="37" spans="1:19">
      <c r="A37" s="170"/>
      <c r="C37" s="164"/>
      <c r="D37" s="164"/>
      <c r="E37" s="178"/>
      <c r="F37" s="177"/>
      <c r="I37" s="165"/>
      <c r="L37" s="165"/>
      <c r="M37" s="165"/>
      <c r="N37" s="165"/>
      <c r="O37" s="165"/>
      <c r="P37" s="165"/>
      <c r="Q37" s="165"/>
      <c r="R37" s="165"/>
      <c r="S37" s="193"/>
    </row>
    <row r="38" spans="1:19">
      <c r="A38" s="170"/>
      <c r="B38" s="194"/>
      <c r="C38" s="165" t="s">
        <v>366</v>
      </c>
      <c r="D38" s="165"/>
      <c r="E38" s="178"/>
      <c r="F38" s="177"/>
      <c r="I38" s="165"/>
      <c r="L38" s="165"/>
      <c r="M38" s="165"/>
      <c r="N38" s="165"/>
      <c r="O38" s="165"/>
      <c r="P38" s="195"/>
      <c r="Q38" s="194"/>
    </row>
    <row r="39" spans="1:19">
      <c r="A39" s="170" t="s">
        <v>367</v>
      </c>
      <c r="B39" s="194"/>
      <c r="C39" s="165" t="s">
        <v>368</v>
      </c>
      <c r="D39" s="165"/>
      <c r="E39" s="178" t="s">
        <v>369</v>
      </c>
      <c r="F39" s="177"/>
      <c r="I39" s="26">
        <f>+'Attachment H'!I165</f>
        <v>872908.87360086548</v>
      </c>
      <c r="L39" s="165"/>
      <c r="M39" s="165"/>
      <c r="N39" s="165"/>
      <c r="O39" s="165"/>
      <c r="P39" s="195"/>
      <c r="Q39" s="194"/>
    </row>
    <row r="40" spans="1:19">
      <c r="A40" s="170" t="s">
        <v>370</v>
      </c>
      <c r="B40" s="194"/>
      <c r="C40" s="165" t="s">
        <v>371</v>
      </c>
      <c r="D40" s="165"/>
      <c r="E40" s="178" t="s">
        <v>372</v>
      </c>
      <c r="F40" s="177"/>
      <c r="I40" s="23">
        <f>IF(I19=0,0,I39/I19)</f>
        <v>1.1389297902219812E-2</v>
      </c>
      <c r="L40" s="187">
        <f>I40</f>
        <v>1.1389297902219812E-2</v>
      </c>
      <c r="M40" s="180"/>
      <c r="N40" s="180"/>
      <c r="O40" s="180"/>
      <c r="P40" s="195"/>
      <c r="Q40" s="194"/>
      <c r="R40" s="165"/>
      <c r="S40" s="165"/>
    </row>
    <row r="41" spans="1:19">
      <c r="A41" s="170"/>
      <c r="C41" s="165"/>
      <c r="D41" s="165"/>
      <c r="E41" s="178"/>
      <c r="F41" s="177"/>
      <c r="I41" s="165"/>
      <c r="L41" s="165"/>
      <c r="M41" s="165"/>
      <c r="N41" s="165"/>
      <c r="O41" s="165"/>
      <c r="P41" s="165"/>
      <c r="R41" s="164"/>
      <c r="S41" s="165"/>
    </row>
    <row r="42" spans="1:19">
      <c r="A42" s="170"/>
      <c r="C42" s="164" t="s">
        <v>193</v>
      </c>
      <c r="D42" s="164"/>
      <c r="E42" s="196"/>
      <c r="F42" s="197"/>
      <c r="P42" s="165"/>
      <c r="R42" s="165"/>
      <c r="S42" s="165"/>
    </row>
    <row r="43" spans="1:19">
      <c r="A43" s="170" t="s">
        <v>373</v>
      </c>
      <c r="C43" s="164" t="s">
        <v>374</v>
      </c>
      <c r="D43" s="164"/>
      <c r="E43" s="178" t="s">
        <v>375</v>
      </c>
      <c r="F43" s="177"/>
      <c r="I43" s="26">
        <f>+'Attachment H'!I168</f>
        <v>5765974.4614241216</v>
      </c>
      <c r="L43" s="165"/>
      <c r="M43" s="165"/>
      <c r="N43" s="165"/>
      <c r="O43" s="165"/>
      <c r="P43" s="165"/>
      <c r="R43" s="165"/>
      <c r="S43" s="165"/>
    </row>
    <row r="44" spans="1:19">
      <c r="A44" s="170" t="s">
        <v>376</v>
      </c>
      <c r="B44" s="194"/>
      <c r="C44" s="165" t="s">
        <v>377</v>
      </c>
      <c r="D44" s="165"/>
      <c r="E44" s="178" t="s">
        <v>378</v>
      </c>
      <c r="F44" s="177"/>
      <c r="I44" s="23">
        <f>IF(I19=0,0,I43/I19)</f>
        <v>7.5231679759253225E-2</v>
      </c>
      <c r="L44" s="187">
        <f>I44</f>
        <v>7.5231679759253225E-2</v>
      </c>
      <c r="M44" s="180"/>
      <c r="N44" s="180"/>
      <c r="O44" s="180"/>
      <c r="P44" s="165"/>
      <c r="S44" s="198"/>
    </row>
    <row r="45" spans="1:19">
      <c r="A45" s="170"/>
      <c r="C45" s="164"/>
      <c r="D45" s="164"/>
      <c r="E45" s="178"/>
      <c r="F45" s="177"/>
      <c r="I45" s="165"/>
      <c r="L45" s="165"/>
      <c r="M45" s="165"/>
      <c r="N45" s="165"/>
      <c r="O45" s="165"/>
      <c r="P45" s="165"/>
      <c r="Q45" s="197"/>
      <c r="R45" s="165"/>
      <c r="S45" s="165"/>
    </row>
    <row r="46" spans="1:19">
      <c r="A46" s="188" t="s">
        <v>379</v>
      </c>
      <c r="B46" s="189"/>
      <c r="C46" s="175" t="s">
        <v>380</v>
      </c>
      <c r="D46" s="175"/>
      <c r="E46" s="190" t="s">
        <v>381</v>
      </c>
      <c r="F46" s="171"/>
      <c r="I46" s="26">
        <f>+I44+I40</f>
        <v>8.6620977661473031E-2</v>
      </c>
      <c r="L46" s="199">
        <f>L40+L44</f>
        <v>8.6620977661473031E-2</v>
      </c>
      <c r="M46" s="192"/>
      <c r="N46" s="192"/>
      <c r="O46" s="192"/>
      <c r="P46" s="165"/>
      <c r="Q46" s="197"/>
      <c r="R46" s="165"/>
      <c r="S46" s="165"/>
    </row>
    <row r="47" spans="1:19">
      <c r="P47" s="200"/>
      <c r="Q47" s="200"/>
      <c r="R47" s="165"/>
      <c r="S47" s="165"/>
    </row>
    <row r="48" spans="1:19">
      <c r="P48" s="200"/>
      <c r="Q48" s="200"/>
      <c r="R48" s="165"/>
      <c r="S48" s="165"/>
    </row>
    <row r="49" spans="1:19">
      <c r="A49" s="201"/>
      <c r="C49" s="170"/>
      <c r="D49" s="170"/>
      <c r="E49" s="186"/>
      <c r="F49" s="186"/>
      <c r="G49" s="165"/>
      <c r="J49" s="184"/>
      <c r="P49" s="165"/>
      <c r="Q49" s="181"/>
      <c r="R49" s="163"/>
      <c r="S49" s="165"/>
    </row>
    <row r="50" spans="1:19">
      <c r="A50" s="162"/>
      <c r="G50" s="165"/>
      <c r="P50" s="165"/>
      <c r="Q50" s="165"/>
      <c r="R50" s="165"/>
      <c r="S50" s="165"/>
    </row>
    <row r="51" spans="1:19">
      <c r="Q51" s="160"/>
    </row>
    <row r="52" spans="1:19">
      <c r="Q52" s="160"/>
    </row>
    <row r="54" spans="1:19">
      <c r="A54" s="162"/>
      <c r="G54" s="165"/>
      <c r="P54" s="165"/>
      <c r="Q54" s="160"/>
      <c r="R54" s="165"/>
      <c r="S54" s="164"/>
    </row>
    <row r="55" spans="1:19">
      <c r="A55" s="162"/>
      <c r="C55" s="164"/>
      <c r="D55" s="164"/>
      <c r="G55" s="186" t="str">
        <f>+G5</f>
        <v>Attachment 1</v>
      </c>
      <c r="H55" s="186"/>
      <c r="P55" s="165"/>
      <c r="Q55" s="160"/>
      <c r="R55" s="165"/>
      <c r="S55" s="159" t="s">
        <v>382</v>
      </c>
    </row>
    <row r="56" spans="1:19">
      <c r="A56" s="162"/>
      <c r="C56" s="164"/>
      <c r="D56" s="164"/>
      <c r="G56" s="186" t="str">
        <f>+G6</f>
        <v>Project Revenue Requirement Worksheet</v>
      </c>
      <c r="H56" s="186"/>
      <c r="L56" s="165"/>
      <c r="M56" s="165"/>
      <c r="N56" s="165"/>
      <c r="O56" s="165"/>
      <c r="P56" s="165"/>
      <c r="R56" s="165"/>
      <c r="S56" s="164"/>
    </row>
    <row r="57" spans="1:19" ht="14.25" customHeight="1">
      <c r="A57" s="162"/>
      <c r="G57" s="186" t="str">
        <f>+G7</f>
        <v>GridLiance High Plains LLC</v>
      </c>
      <c r="P57" s="165"/>
      <c r="R57" s="165"/>
      <c r="S57" s="164"/>
    </row>
    <row r="58" spans="1:19">
      <c r="A58" s="162"/>
      <c r="H58" s="186"/>
      <c r="P58" s="165"/>
      <c r="Q58" s="165"/>
      <c r="R58" s="165"/>
      <c r="S58" s="164"/>
    </row>
    <row r="59" spans="1:19">
      <c r="A59" s="162"/>
      <c r="E59" s="164"/>
      <c r="F59" s="164"/>
      <c r="G59" s="164"/>
      <c r="H59" s="164"/>
      <c r="I59" s="164"/>
      <c r="J59" s="164"/>
      <c r="K59" s="164"/>
      <c r="L59" s="164"/>
      <c r="M59" s="164"/>
      <c r="N59" s="164"/>
      <c r="O59" s="164"/>
      <c r="P59" s="164"/>
      <c r="Q59" s="164"/>
      <c r="R59" s="165"/>
      <c r="S59" s="164"/>
    </row>
    <row r="60" spans="1:19">
      <c r="A60" s="162"/>
      <c r="E60" s="175"/>
      <c r="F60" s="175"/>
      <c r="H60" s="164"/>
      <c r="I60" s="164"/>
      <c r="J60" s="164"/>
      <c r="K60" s="164"/>
      <c r="L60" s="164"/>
      <c r="M60" s="164"/>
      <c r="N60" s="164"/>
      <c r="O60" s="164"/>
      <c r="P60" s="165"/>
      <c r="Q60" s="165"/>
      <c r="R60" s="165"/>
      <c r="S60" s="164"/>
    </row>
    <row r="61" spans="1:19">
      <c r="A61" s="162"/>
      <c r="E61" s="175"/>
      <c r="F61" s="175"/>
      <c r="H61" s="164"/>
      <c r="I61" s="164"/>
      <c r="J61" s="164"/>
      <c r="K61" s="164"/>
      <c r="L61" s="164"/>
      <c r="M61" s="164"/>
      <c r="N61" s="164"/>
      <c r="O61" s="164"/>
      <c r="P61" s="165"/>
      <c r="Q61" s="165"/>
      <c r="R61" s="165"/>
      <c r="S61" s="164"/>
    </row>
    <row r="62" spans="1:19">
      <c r="A62" s="162"/>
      <c r="C62" s="202">
        <v>-1</v>
      </c>
      <c r="D62" s="202">
        <v>-2</v>
      </c>
      <c r="E62" s="202">
        <v>-3</v>
      </c>
      <c r="F62" s="202">
        <v>-4</v>
      </c>
      <c r="G62" s="202">
        <v>-5</v>
      </c>
      <c r="H62" s="202">
        <v>-6</v>
      </c>
      <c r="I62" s="202">
        <v>-7</v>
      </c>
      <c r="J62" s="202">
        <v>-8</v>
      </c>
      <c r="K62" s="202">
        <v>-9</v>
      </c>
      <c r="L62" s="202">
        <v>-10</v>
      </c>
      <c r="M62" s="202">
        <v>-11</v>
      </c>
      <c r="N62" s="202">
        <v>-12</v>
      </c>
      <c r="O62" s="202" t="s">
        <v>383</v>
      </c>
      <c r="P62" s="202">
        <v>-13</v>
      </c>
      <c r="Q62" s="203" t="s">
        <v>384</v>
      </c>
      <c r="R62" s="203" t="s">
        <v>385</v>
      </c>
      <c r="S62" s="203" t="s">
        <v>386</v>
      </c>
    </row>
    <row r="63" spans="1:19" ht="53.25" customHeight="1">
      <c r="A63" s="204" t="s">
        <v>387</v>
      </c>
      <c r="B63" s="205"/>
      <c r="C63" s="205" t="s">
        <v>388</v>
      </c>
      <c r="D63" s="206" t="s">
        <v>389</v>
      </c>
      <c r="E63" s="207" t="s">
        <v>390</v>
      </c>
      <c r="F63" s="207" t="s">
        <v>364</v>
      </c>
      <c r="G63" s="208" t="s">
        <v>391</v>
      </c>
      <c r="H63" s="207" t="s">
        <v>392</v>
      </c>
      <c r="I63" s="207" t="s">
        <v>380</v>
      </c>
      <c r="J63" s="208" t="s">
        <v>393</v>
      </c>
      <c r="K63" s="207" t="s">
        <v>394</v>
      </c>
      <c r="L63" s="209" t="s">
        <v>395</v>
      </c>
      <c r="M63" s="209" t="s">
        <v>396</v>
      </c>
      <c r="N63" s="209" t="s">
        <v>397</v>
      </c>
      <c r="O63" s="209" t="s">
        <v>398</v>
      </c>
      <c r="P63" s="209" t="s">
        <v>399</v>
      </c>
      <c r="Q63" s="209" t="s">
        <v>400</v>
      </c>
      <c r="R63" s="209" t="s">
        <v>401</v>
      </c>
      <c r="S63" s="209" t="s">
        <v>402</v>
      </c>
    </row>
    <row r="64" spans="1:19" ht="46.5" customHeight="1">
      <c r="A64" s="210"/>
      <c r="B64" s="211"/>
      <c r="C64" s="211"/>
      <c r="D64" s="211"/>
      <c r="E64" s="212" t="s">
        <v>403</v>
      </c>
      <c r="F64" s="212" t="s">
        <v>404</v>
      </c>
      <c r="G64" s="213" t="s">
        <v>405</v>
      </c>
      <c r="H64" s="212" t="s">
        <v>406</v>
      </c>
      <c r="I64" s="212" t="s">
        <v>407</v>
      </c>
      <c r="J64" s="213" t="s">
        <v>408</v>
      </c>
      <c r="K64" s="212" t="s">
        <v>409</v>
      </c>
      <c r="L64" s="213" t="s">
        <v>410</v>
      </c>
      <c r="M64" s="212" t="s">
        <v>411</v>
      </c>
      <c r="N64" s="214" t="s">
        <v>412</v>
      </c>
      <c r="O64" s="215" t="s">
        <v>413</v>
      </c>
      <c r="P64" s="216" t="s">
        <v>414</v>
      </c>
      <c r="Q64" s="215" t="s">
        <v>415</v>
      </c>
      <c r="R64" s="217" t="s">
        <v>157</v>
      </c>
      <c r="S64" s="215" t="s">
        <v>416</v>
      </c>
    </row>
    <row r="65" spans="1:19">
      <c r="A65" s="218"/>
      <c r="B65" s="164"/>
      <c r="C65" s="164"/>
      <c r="D65" s="164"/>
      <c r="E65" s="164"/>
      <c r="F65" s="164"/>
      <c r="G65" s="219"/>
      <c r="H65" s="164"/>
      <c r="I65" s="164"/>
      <c r="J65" s="219"/>
      <c r="K65" s="164"/>
      <c r="L65" s="219"/>
      <c r="M65" s="220"/>
      <c r="N65" s="219"/>
      <c r="O65" s="219"/>
      <c r="P65" s="164"/>
      <c r="Q65" s="221"/>
      <c r="R65" s="165"/>
      <c r="S65" s="222"/>
    </row>
    <row r="66" spans="1:19">
      <c r="A66" s="223"/>
      <c r="B66" s="224"/>
      <c r="C66" s="225" t="s">
        <v>417</v>
      </c>
      <c r="D66" s="224"/>
      <c r="E66" s="224"/>
      <c r="F66" s="23">
        <f t="shared" ref="F66:F84" si="0">$L$36</f>
        <v>7.8315619283988419E-2</v>
      </c>
      <c r="G66" s="226">
        <f t="shared" ref="G66:G84" si="1">E66*F66</f>
        <v>0</v>
      </c>
      <c r="H66" s="227"/>
      <c r="I66" s="23">
        <f>$L$46</f>
        <v>8.6620977661473031E-2</v>
      </c>
      <c r="J66" s="226">
        <f>H66*I66</f>
        <v>0</v>
      </c>
      <c r="K66" s="227"/>
      <c r="L66" s="226">
        <f>G66+J66+K66</f>
        <v>0</v>
      </c>
      <c r="M66" s="228">
        <v>0</v>
      </c>
      <c r="N66" s="226">
        <f>+'2-Incentive ROE'!K$38*'1-Project Rev Req'!M66/100</f>
        <v>0</v>
      </c>
      <c r="O66" s="226">
        <f>+L66+N66</f>
        <v>0</v>
      </c>
      <c r="P66" s="57">
        <v>0</v>
      </c>
      <c r="Q66" s="229">
        <f t="shared" ref="Q66:Q84" si="2">+L66+N66-P66</f>
        <v>0</v>
      </c>
      <c r="R66" s="227"/>
      <c r="S66" s="229">
        <f>+Q66+R66</f>
        <v>0</v>
      </c>
    </row>
    <row r="67" spans="1:19">
      <c r="A67" s="230" t="s">
        <v>418</v>
      </c>
      <c r="B67" s="231"/>
      <c r="C67" s="232" t="s">
        <v>419</v>
      </c>
      <c r="D67" s="233"/>
      <c r="E67" s="234">
        <v>11661711.599658834</v>
      </c>
      <c r="F67" s="23">
        <f t="shared" si="0"/>
        <v>7.8315619283988419E-2</v>
      </c>
      <c r="G67" s="226">
        <f t="shared" si="1"/>
        <v>913294.16583855276</v>
      </c>
      <c r="H67" s="235">
        <v>8370070.8182651615</v>
      </c>
      <c r="I67" s="23">
        <f t="shared" ref="I67:I84" si="3">$L$46</f>
        <v>8.6620977661473031E-2</v>
      </c>
      <c r="J67" s="226">
        <f t="shared" ref="J67:J84" si="4">H67*I67</f>
        <v>725023.71737389383</v>
      </c>
      <c r="K67" s="227">
        <v>233119.90379999671</v>
      </c>
      <c r="L67" s="226">
        <f t="shared" ref="L67:L84" si="5">G67+J67+K67</f>
        <v>1871437.7870124434</v>
      </c>
      <c r="M67" s="228">
        <v>0</v>
      </c>
      <c r="N67" s="226">
        <f>+'2-Incentive ROE'!K$38*'1-Project Rev Req'!M67/100</f>
        <v>0</v>
      </c>
      <c r="O67" s="226">
        <f t="shared" ref="O67:O84" si="6">+L67+N67</f>
        <v>1871437.7870124434</v>
      </c>
      <c r="P67" s="57">
        <v>0</v>
      </c>
      <c r="Q67" s="229">
        <f t="shared" si="2"/>
        <v>1871437.7870124434</v>
      </c>
      <c r="R67" s="235">
        <v>1412079.8058997281</v>
      </c>
      <c r="S67" s="229">
        <f>+Q67+R67</f>
        <v>3283517.5929121715</v>
      </c>
    </row>
    <row r="68" spans="1:19">
      <c r="A68" s="230"/>
      <c r="B68" s="231"/>
      <c r="C68" s="232"/>
      <c r="D68" s="233"/>
      <c r="E68" s="236"/>
      <c r="F68" s="23">
        <f t="shared" si="0"/>
        <v>7.8315619283988419E-2</v>
      </c>
      <c r="G68" s="226">
        <f t="shared" si="1"/>
        <v>0</v>
      </c>
      <c r="H68" s="227"/>
      <c r="I68" s="23">
        <f t="shared" si="3"/>
        <v>8.6620977661473031E-2</v>
      </c>
      <c r="J68" s="226">
        <f>H68*I68</f>
        <v>0</v>
      </c>
      <c r="K68" s="227"/>
      <c r="L68" s="226">
        <f>G68+J68+K68</f>
        <v>0</v>
      </c>
      <c r="M68" s="228">
        <v>0</v>
      </c>
      <c r="N68" s="226">
        <f>+'2-Incentive ROE'!K$38*'1-Project Rev Req'!M68/100</f>
        <v>0</v>
      </c>
      <c r="O68" s="226">
        <f t="shared" si="6"/>
        <v>0</v>
      </c>
      <c r="P68" s="57">
        <v>0</v>
      </c>
      <c r="Q68" s="229">
        <f t="shared" si="2"/>
        <v>0</v>
      </c>
      <c r="R68" s="227"/>
      <c r="S68" s="229">
        <f>+Q68+R68</f>
        <v>0</v>
      </c>
    </row>
    <row r="69" spans="1:19">
      <c r="A69" s="230"/>
      <c r="B69" s="231"/>
      <c r="C69" s="237" t="s">
        <v>420</v>
      </c>
      <c r="D69" s="233"/>
      <c r="E69" s="236"/>
      <c r="F69" s="23">
        <f t="shared" si="0"/>
        <v>7.8315619283988419E-2</v>
      </c>
      <c r="G69" s="226">
        <f t="shared" si="1"/>
        <v>0</v>
      </c>
      <c r="H69" s="227"/>
      <c r="I69" s="23">
        <f t="shared" si="3"/>
        <v>8.6620977661473031E-2</v>
      </c>
      <c r="J69" s="226">
        <f t="shared" si="4"/>
        <v>0</v>
      </c>
      <c r="K69" s="227"/>
      <c r="L69" s="226">
        <f t="shared" si="5"/>
        <v>0</v>
      </c>
      <c r="M69" s="228">
        <v>0</v>
      </c>
      <c r="N69" s="226">
        <f>+'2-Incentive ROE'!K$38*'1-Project Rev Req'!M69/100</f>
        <v>0</v>
      </c>
      <c r="O69" s="226">
        <f t="shared" si="6"/>
        <v>0</v>
      </c>
      <c r="P69" s="57">
        <v>0</v>
      </c>
      <c r="Q69" s="229">
        <f t="shared" si="2"/>
        <v>0</v>
      </c>
      <c r="R69" s="227"/>
      <c r="S69" s="229">
        <f>+Q69+R69</f>
        <v>0</v>
      </c>
    </row>
    <row r="70" spans="1:19">
      <c r="A70" s="230" t="s">
        <v>421</v>
      </c>
      <c r="B70" s="231"/>
      <c r="C70" s="232" t="s">
        <v>422</v>
      </c>
      <c r="D70" s="233"/>
      <c r="E70" s="236">
        <v>74858934.93029201</v>
      </c>
      <c r="F70" s="23">
        <f t="shared" si="0"/>
        <v>7.8315619283988419E-2</v>
      </c>
      <c r="G70" s="226">
        <f t="shared" si="1"/>
        <v>5862623.8480056114</v>
      </c>
      <c r="H70" s="235">
        <v>64403017.687246755</v>
      </c>
      <c r="I70" s="23">
        <f t="shared" si="3"/>
        <v>8.6620977661473031E-2</v>
      </c>
      <c r="J70" s="226">
        <f t="shared" si="4"/>
        <v>5578652.3564184541</v>
      </c>
      <c r="K70" s="227">
        <v>1490778.0623773783</v>
      </c>
      <c r="L70" s="226">
        <f t="shared" si="5"/>
        <v>12932054.266801443</v>
      </c>
      <c r="M70" s="228">
        <v>0</v>
      </c>
      <c r="N70" s="226">
        <f>+'2-Incentive ROE'!K$38*'1-Project Rev Req'!M70/100</f>
        <v>0</v>
      </c>
      <c r="O70" s="226">
        <f t="shared" si="6"/>
        <v>12932054.266801443</v>
      </c>
      <c r="P70" s="57">
        <v>0</v>
      </c>
      <c r="Q70" s="238">
        <f t="shared" si="2"/>
        <v>12932054.266801443</v>
      </c>
      <c r="R70" s="235">
        <v>631745.36099013675</v>
      </c>
      <c r="S70" s="229">
        <f>+Q70+R70</f>
        <v>13563799.62779158</v>
      </c>
    </row>
    <row r="71" spans="1:19">
      <c r="A71" s="230"/>
      <c r="B71" s="231"/>
      <c r="C71" s="232"/>
      <c r="D71" s="233"/>
      <c r="E71" s="236"/>
      <c r="F71" s="23">
        <f t="shared" si="0"/>
        <v>7.8315619283988419E-2</v>
      </c>
      <c r="G71" s="226">
        <f t="shared" si="1"/>
        <v>0</v>
      </c>
      <c r="H71" s="227"/>
      <c r="I71" s="23">
        <f t="shared" si="3"/>
        <v>8.6620977661473031E-2</v>
      </c>
      <c r="J71" s="226">
        <f t="shared" si="4"/>
        <v>0</v>
      </c>
      <c r="K71" s="227"/>
      <c r="L71" s="226">
        <f t="shared" si="5"/>
        <v>0</v>
      </c>
      <c r="M71" s="228">
        <v>0</v>
      </c>
      <c r="N71" s="226">
        <f>+'2-Incentive ROE'!K$38*'1-Project Rev Req'!M71/100</f>
        <v>0</v>
      </c>
      <c r="O71" s="226">
        <f t="shared" si="6"/>
        <v>0</v>
      </c>
      <c r="P71" s="57">
        <v>0</v>
      </c>
      <c r="Q71" s="229">
        <f t="shared" si="2"/>
        <v>0</v>
      </c>
      <c r="R71" s="227"/>
      <c r="S71" s="229">
        <f t="shared" ref="S71:S85" si="7">L71+R71</f>
        <v>0</v>
      </c>
    </row>
    <row r="72" spans="1:19">
      <c r="A72" s="230"/>
      <c r="B72" s="231"/>
      <c r="C72" s="239" t="s">
        <v>423</v>
      </c>
      <c r="D72" s="233"/>
      <c r="E72" s="236"/>
      <c r="F72" s="23">
        <f t="shared" si="0"/>
        <v>7.8315619283988419E-2</v>
      </c>
      <c r="G72" s="226">
        <f t="shared" si="1"/>
        <v>0</v>
      </c>
      <c r="H72" s="227"/>
      <c r="I72" s="23">
        <f t="shared" si="3"/>
        <v>8.6620977661473031E-2</v>
      </c>
      <c r="J72" s="226">
        <f t="shared" si="4"/>
        <v>0</v>
      </c>
      <c r="K72" s="227"/>
      <c r="L72" s="226">
        <f t="shared" si="5"/>
        <v>0</v>
      </c>
      <c r="M72" s="228">
        <v>0</v>
      </c>
      <c r="N72" s="226">
        <f>+'2-Incentive ROE'!K$38*'1-Project Rev Req'!M72/100</f>
        <v>0</v>
      </c>
      <c r="O72" s="226">
        <f t="shared" si="6"/>
        <v>0</v>
      </c>
      <c r="P72" s="57">
        <v>0</v>
      </c>
      <c r="Q72" s="229">
        <f t="shared" si="2"/>
        <v>0</v>
      </c>
      <c r="R72" s="227"/>
      <c r="S72" s="229">
        <f t="shared" si="7"/>
        <v>0</v>
      </c>
    </row>
    <row r="73" spans="1:19">
      <c r="A73" s="230" t="s">
        <v>424</v>
      </c>
      <c r="B73" s="231"/>
      <c r="C73" s="240" t="s">
        <v>425</v>
      </c>
      <c r="D73" s="233"/>
      <c r="E73" s="236">
        <v>2600000</v>
      </c>
      <c r="F73" s="23">
        <f t="shared" si="0"/>
        <v>7.8315619283988419E-2</v>
      </c>
      <c r="G73" s="226">
        <f t="shared" si="1"/>
        <v>203620.6101383699</v>
      </c>
      <c r="H73" s="235">
        <v>2565333.3333333321</v>
      </c>
      <c r="I73" s="23">
        <f t="shared" si="3"/>
        <v>8.6620977661473031E-2</v>
      </c>
      <c r="J73" s="226">
        <f t="shared" si="4"/>
        <v>222211.68136089871</v>
      </c>
      <c r="K73" s="227">
        <v>52000.000000001863</v>
      </c>
      <c r="L73" s="226">
        <f t="shared" si="5"/>
        <v>477832.29149927048</v>
      </c>
      <c r="M73" s="228">
        <v>0</v>
      </c>
      <c r="N73" s="226">
        <f>+'2-Incentive ROE'!K$38*'1-Project Rev Req'!M73/100</f>
        <v>0</v>
      </c>
      <c r="O73" s="226">
        <f t="shared" si="6"/>
        <v>477832.29149927048</v>
      </c>
      <c r="P73" s="57">
        <v>0</v>
      </c>
      <c r="Q73" s="229">
        <f t="shared" si="2"/>
        <v>477832.29149927048</v>
      </c>
      <c r="R73" s="227">
        <v>0</v>
      </c>
      <c r="S73" s="229">
        <f t="shared" si="7"/>
        <v>477832.29149927048</v>
      </c>
    </row>
    <row r="74" spans="1:19">
      <c r="A74" s="230"/>
      <c r="B74" s="231"/>
      <c r="C74" s="232"/>
      <c r="D74" s="241"/>
      <c r="E74" s="236"/>
      <c r="F74" s="23">
        <f t="shared" si="0"/>
        <v>7.8315619283988419E-2</v>
      </c>
      <c r="G74" s="226">
        <f t="shared" si="1"/>
        <v>0</v>
      </c>
      <c r="H74" s="227"/>
      <c r="I74" s="23">
        <f t="shared" si="3"/>
        <v>8.6620977661473031E-2</v>
      </c>
      <c r="J74" s="226">
        <f t="shared" si="4"/>
        <v>0</v>
      </c>
      <c r="K74" s="227"/>
      <c r="L74" s="226">
        <f t="shared" si="5"/>
        <v>0</v>
      </c>
      <c r="M74" s="228">
        <v>0</v>
      </c>
      <c r="N74" s="226">
        <f>+'2-Incentive ROE'!K$38*'1-Project Rev Req'!M74/100</f>
        <v>0</v>
      </c>
      <c r="O74" s="226">
        <f t="shared" si="6"/>
        <v>0</v>
      </c>
      <c r="P74" s="57">
        <v>0</v>
      </c>
      <c r="Q74" s="229">
        <f t="shared" si="2"/>
        <v>0</v>
      </c>
      <c r="R74" s="227"/>
      <c r="S74" s="229">
        <f t="shared" si="7"/>
        <v>0</v>
      </c>
    </row>
    <row r="75" spans="1:19">
      <c r="A75" s="230"/>
      <c r="B75" s="231"/>
      <c r="C75" s="232"/>
      <c r="D75" s="233"/>
      <c r="E75" s="236"/>
      <c r="F75" s="23">
        <f t="shared" si="0"/>
        <v>7.8315619283988419E-2</v>
      </c>
      <c r="G75" s="226">
        <f t="shared" si="1"/>
        <v>0</v>
      </c>
      <c r="H75" s="227"/>
      <c r="I75" s="23">
        <f t="shared" si="3"/>
        <v>8.6620977661473031E-2</v>
      </c>
      <c r="J75" s="226">
        <f t="shared" si="4"/>
        <v>0</v>
      </c>
      <c r="K75" s="227"/>
      <c r="L75" s="226">
        <f t="shared" si="5"/>
        <v>0</v>
      </c>
      <c r="M75" s="228">
        <v>0</v>
      </c>
      <c r="N75" s="226">
        <f>+'2-Incentive ROE'!K$38*'1-Project Rev Req'!M75/100</f>
        <v>0</v>
      </c>
      <c r="O75" s="226">
        <f t="shared" si="6"/>
        <v>0</v>
      </c>
      <c r="P75" s="57">
        <v>0</v>
      </c>
      <c r="Q75" s="229">
        <f t="shared" si="2"/>
        <v>0</v>
      </c>
      <c r="R75" s="227"/>
      <c r="S75" s="229">
        <f t="shared" si="7"/>
        <v>0</v>
      </c>
    </row>
    <row r="76" spans="1:19">
      <c r="A76" s="230" t="s">
        <v>426</v>
      </c>
      <c r="B76" s="231"/>
      <c r="C76" s="232"/>
      <c r="D76" s="233"/>
      <c r="E76" s="236"/>
      <c r="F76" s="23">
        <f t="shared" si="0"/>
        <v>7.8315619283988419E-2</v>
      </c>
      <c r="G76" s="226">
        <f t="shared" si="1"/>
        <v>0</v>
      </c>
      <c r="H76" s="227"/>
      <c r="I76" s="23">
        <f t="shared" si="3"/>
        <v>8.6620977661473031E-2</v>
      </c>
      <c r="J76" s="226">
        <f t="shared" si="4"/>
        <v>0</v>
      </c>
      <c r="K76" s="227"/>
      <c r="L76" s="226">
        <f t="shared" si="5"/>
        <v>0</v>
      </c>
      <c r="M76" s="228">
        <v>0</v>
      </c>
      <c r="N76" s="226">
        <f>+'2-Incentive ROE'!K$38*'1-Project Rev Req'!M76/100</f>
        <v>0</v>
      </c>
      <c r="O76" s="226">
        <f t="shared" si="6"/>
        <v>0</v>
      </c>
      <c r="P76" s="57">
        <v>0</v>
      </c>
      <c r="Q76" s="229">
        <f t="shared" si="2"/>
        <v>0</v>
      </c>
      <c r="R76" s="227">
        <v>0</v>
      </c>
      <c r="S76" s="229">
        <f t="shared" si="7"/>
        <v>0</v>
      </c>
    </row>
    <row r="77" spans="1:19">
      <c r="A77" s="230"/>
      <c r="B77" s="231"/>
      <c r="C77" s="232"/>
      <c r="D77" s="233"/>
      <c r="E77" s="236"/>
      <c r="F77" s="23">
        <f t="shared" si="0"/>
        <v>7.8315619283988419E-2</v>
      </c>
      <c r="G77" s="226">
        <f t="shared" si="1"/>
        <v>0</v>
      </c>
      <c r="H77" s="227"/>
      <c r="I77" s="23">
        <f t="shared" si="3"/>
        <v>8.6620977661473031E-2</v>
      </c>
      <c r="J77" s="226">
        <f t="shared" si="4"/>
        <v>0</v>
      </c>
      <c r="K77" s="227"/>
      <c r="L77" s="226">
        <f t="shared" si="5"/>
        <v>0</v>
      </c>
      <c r="M77" s="228">
        <v>0</v>
      </c>
      <c r="N77" s="226">
        <f>+'2-Incentive ROE'!K$38*'1-Project Rev Req'!M77/100</f>
        <v>0</v>
      </c>
      <c r="O77" s="226">
        <f t="shared" si="6"/>
        <v>0</v>
      </c>
      <c r="P77" s="57">
        <v>0</v>
      </c>
      <c r="Q77" s="229">
        <f t="shared" si="2"/>
        <v>0</v>
      </c>
      <c r="R77" s="227"/>
      <c r="S77" s="229">
        <f t="shared" si="7"/>
        <v>0</v>
      </c>
    </row>
    <row r="78" spans="1:19">
      <c r="A78" s="230"/>
      <c r="B78" s="231"/>
      <c r="C78" s="239" t="s">
        <v>427</v>
      </c>
      <c r="D78" s="233"/>
      <c r="E78" s="236"/>
      <c r="F78" s="23">
        <f t="shared" si="0"/>
        <v>7.8315619283988419E-2</v>
      </c>
      <c r="G78" s="226">
        <f t="shared" si="1"/>
        <v>0</v>
      </c>
      <c r="H78" s="227"/>
      <c r="I78" s="23">
        <f t="shared" si="3"/>
        <v>8.6620977661473031E-2</v>
      </c>
      <c r="J78" s="226">
        <f t="shared" si="4"/>
        <v>0</v>
      </c>
      <c r="K78" s="227"/>
      <c r="L78" s="226">
        <f t="shared" si="5"/>
        <v>0</v>
      </c>
      <c r="M78" s="228">
        <v>0</v>
      </c>
      <c r="N78" s="226">
        <f>+'2-Incentive ROE'!K$38*'1-Project Rev Req'!M78/100</f>
        <v>0</v>
      </c>
      <c r="O78" s="226">
        <f t="shared" si="6"/>
        <v>0</v>
      </c>
      <c r="P78" s="57">
        <v>0</v>
      </c>
      <c r="Q78" s="229">
        <f t="shared" si="2"/>
        <v>0</v>
      </c>
      <c r="R78" s="227"/>
      <c r="S78" s="229">
        <f t="shared" si="7"/>
        <v>0</v>
      </c>
    </row>
    <row r="79" spans="1:19">
      <c r="A79" s="230" t="s">
        <v>428</v>
      </c>
      <c r="B79" s="231"/>
      <c r="C79" s="240" t="s">
        <v>429</v>
      </c>
      <c r="D79" s="233"/>
      <c r="E79" s="234">
        <v>3173955.6157256411</v>
      </c>
      <c r="F79" s="23">
        <f t="shared" si="0"/>
        <v>7.8315619283988419E-2</v>
      </c>
      <c r="G79" s="226">
        <f t="shared" si="1"/>
        <v>248570.29962544635</v>
      </c>
      <c r="H79" s="235">
        <v>1304482.8507171033</v>
      </c>
      <c r="I79" s="23">
        <f t="shared" si="3"/>
        <v>8.6620977661473031E-2</v>
      </c>
      <c r="J79" s="226">
        <f t="shared" si="4"/>
        <v>112995.57987174086</v>
      </c>
      <c r="K79" s="235">
        <v>63898.621064514155</v>
      </c>
      <c r="L79" s="226">
        <f t="shared" si="5"/>
        <v>425464.50056170137</v>
      </c>
      <c r="M79" s="228">
        <v>0</v>
      </c>
      <c r="N79" s="226">
        <f>+'2-Incentive ROE'!K$38*'1-Project Rev Req'!M79/100</f>
        <v>0</v>
      </c>
      <c r="O79" s="226">
        <f t="shared" si="6"/>
        <v>425464.50056170137</v>
      </c>
      <c r="P79" s="57">
        <v>0</v>
      </c>
      <c r="Q79" s="229">
        <f t="shared" si="2"/>
        <v>425464.50056170137</v>
      </c>
      <c r="R79" s="227">
        <v>0</v>
      </c>
      <c r="S79" s="229">
        <f t="shared" si="7"/>
        <v>425464.50056170137</v>
      </c>
    </row>
    <row r="80" spans="1:19">
      <c r="A80" s="242"/>
      <c r="B80" s="243"/>
      <c r="C80" s="244"/>
      <c r="D80" s="245"/>
      <c r="E80" s="227"/>
      <c r="F80" s="23">
        <f t="shared" si="0"/>
        <v>7.8315619283988419E-2</v>
      </c>
      <c r="G80" s="226">
        <f t="shared" si="1"/>
        <v>0</v>
      </c>
      <c r="H80" s="227"/>
      <c r="I80" s="23">
        <f t="shared" si="3"/>
        <v>8.6620977661473031E-2</v>
      </c>
      <c r="J80" s="226">
        <f t="shared" si="4"/>
        <v>0</v>
      </c>
      <c r="K80" s="227"/>
      <c r="L80" s="226">
        <f t="shared" si="5"/>
        <v>0</v>
      </c>
      <c r="M80" s="228">
        <v>0</v>
      </c>
      <c r="N80" s="226">
        <f>+'2-Incentive ROE'!K$38*'1-Project Rev Req'!M80/100</f>
        <v>0</v>
      </c>
      <c r="O80" s="226">
        <f t="shared" si="6"/>
        <v>0</v>
      </c>
      <c r="P80" s="57">
        <v>0</v>
      </c>
      <c r="Q80" s="229">
        <f t="shared" si="2"/>
        <v>0</v>
      </c>
      <c r="R80" s="227"/>
      <c r="S80" s="229">
        <f t="shared" si="7"/>
        <v>0</v>
      </c>
    </row>
    <row r="81" spans="1:19">
      <c r="A81" s="246"/>
      <c r="C81" s="247"/>
      <c r="D81" s="247"/>
      <c r="E81" s="227"/>
      <c r="F81" s="23">
        <f t="shared" si="0"/>
        <v>7.8315619283988419E-2</v>
      </c>
      <c r="G81" s="226">
        <f t="shared" si="1"/>
        <v>0</v>
      </c>
      <c r="H81" s="227"/>
      <c r="I81" s="23">
        <f t="shared" si="3"/>
        <v>8.6620977661473031E-2</v>
      </c>
      <c r="J81" s="226">
        <f t="shared" si="4"/>
        <v>0</v>
      </c>
      <c r="K81" s="227"/>
      <c r="L81" s="226">
        <f t="shared" si="5"/>
        <v>0</v>
      </c>
      <c r="M81" s="228">
        <v>0</v>
      </c>
      <c r="N81" s="226">
        <f>+'2-Incentive ROE'!K$38*'1-Project Rev Req'!M81/100</f>
        <v>0</v>
      </c>
      <c r="O81" s="226">
        <f t="shared" si="6"/>
        <v>0</v>
      </c>
      <c r="P81" s="57">
        <v>0</v>
      </c>
      <c r="Q81" s="229">
        <f t="shared" si="2"/>
        <v>0</v>
      </c>
      <c r="R81" s="227"/>
      <c r="S81" s="229">
        <f t="shared" si="7"/>
        <v>0</v>
      </c>
    </row>
    <row r="82" spans="1:19">
      <c r="A82" s="246"/>
      <c r="C82" s="247"/>
      <c r="D82" s="247"/>
      <c r="E82" s="227"/>
      <c r="F82" s="23">
        <f t="shared" si="0"/>
        <v>7.8315619283988419E-2</v>
      </c>
      <c r="G82" s="226">
        <f t="shared" si="1"/>
        <v>0</v>
      </c>
      <c r="H82" s="227"/>
      <c r="I82" s="23">
        <f t="shared" si="3"/>
        <v>8.6620977661473031E-2</v>
      </c>
      <c r="J82" s="226">
        <f t="shared" si="4"/>
        <v>0</v>
      </c>
      <c r="K82" s="227"/>
      <c r="L82" s="226">
        <f t="shared" si="5"/>
        <v>0</v>
      </c>
      <c r="M82" s="228">
        <v>0</v>
      </c>
      <c r="N82" s="226">
        <f>+'2-Incentive ROE'!K$38*'1-Project Rev Req'!M82/100</f>
        <v>0</v>
      </c>
      <c r="O82" s="226">
        <f t="shared" si="6"/>
        <v>0</v>
      </c>
      <c r="P82" s="57">
        <v>0</v>
      </c>
      <c r="Q82" s="229">
        <f t="shared" si="2"/>
        <v>0</v>
      </c>
      <c r="R82" s="227"/>
      <c r="S82" s="229">
        <f t="shared" si="7"/>
        <v>0</v>
      </c>
    </row>
    <row r="83" spans="1:19">
      <c r="A83" s="246"/>
      <c r="C83" s="247"/>
      <c r="D83" s="247"/>
      <c r="E83" s="227"/>
      <c r="F83" s="23">
        <f t="shared" si="0"/>
        <v>7.8315619283988419E-2</v>
      </c>
      <c r="G83" s="226">
        <f t="shared" si="1"/>
        <v>0</v>
      </c>
      <c r="H83" s="227"/>
      <c r="I83" s="23">
        <f t="shared" si="3"/>
        <v>8.6620977661473031E-2</v>
      </c>
      <c r="J83" s="226">
        <f t="shared" si="4"/>
        <v>0</v>
      </c>
      <c r="K83" s="227"/>
      <c r="L83" s="226">
        <f t="shared" si="5"/>
        <v>0</v>
      </c>
      <c r="M83" s="228">
        <v>0</v>
      </c>
      <c r="N83" s="226">
        <f>+'2-Incentive ROE'!K$38*'1-Project Rev Req'!M83/100</f>
        <v>0</v>
      </c>
      <c r="O83" s="226">
        <f t="shared" si="6"/>
        <v>0</v>
      </c>
      <c r="P83" s="57">
        <v>0</v>
      </c>
      <c r="Q83" s="229">
        <f t="shared" si="2"/>
        <v>0</v>
      </c>
      <c r="R83" s="227"/>
      <c r="S83" s="229">
        <f t="shared" si="7"/>
        <v>0</v>
      </c>
    </row>
    <row r="84" spans="1:19">
      <c r="A84" s="246"/>
      <c r="C84" s="247"/>
      <c r="D84" s="247"/>
      <c r="E84" s="227"/>
      <c r="F84" s="23">
        <f t="shared" si="0"/>
        <v>7.8315619283988419E-2</v>
      </c>
      <c r="G84" s="226">
        <f t="shared" si="1"/>
        <v>0</v>
      </c>
      <c r="H84" s="227"/>
      <c r="I84" s="23">
        <f t="shared" si="3"/>
        <v>8.6620977661473031E-2</v>
      </c>
      <c r="J84" s="226">
        <f t="shared" si="4"/>
        <v>0</v>
      </c>
      <c r="K84" s="227"/>
      <c r="L84" s="226">
        <f t="shared" si="5"/>
        <v>0</v>
      </c>
      <c r="M84" s="228">
        <v>0</v>
      </c>
      <c r="N84" s="226">
        <f>+'2-Incentive ROE'!K$38*'1-Project Rev Req'!M84/100</f>
        <v>0</v>
      </c>
      <c r="O84" s="226">
        <f t="shared" si="6"/>
        <v>0</v>
      </c>
      <c r="P84" s="57">
        <v>0</v>
      </c>
      <c r="Q84" s="229">
        <f t="shared" si="2"/>
        <v>0</v>
      </c>
      <c r="R84" s="227"/>
      <c r="S84" s="229">
        <f t="shared" si="7"/>
        <v>0</v>
      </c>
    </row>
    <row r="85" spans="1:19">
      <c r="A85" s="248"/>
      <c r="B85" s="249"/>
      <c r="C85" s="249"/>
      <c r="D85" s="249"/>
      <c r="E85" s="249"/>
      <c r="F85" s="249"/>
      <c r="G85" s="250"/>
      <c r="H85" s="249"/>
      <c r="I85" s="249"/>
      <c r="J85" s="250"/>
      <c r="K85" s="249"/>
      <c r="L85" s="251"/>
      <c r="M85" s="252"/>
      <c r="N85" s="253"/>
      <c r="O85" s="253"/>
      <c r="P85" s="254"/>
      <c r="Q85" s="253"/>
      <c r="R85" s="249"/>
      <c r="S85" s="255">
        <f t="shared" si="7"/>
        <v>0</v>
      </c>
    </row>
    <row r="86" spans="1:19">
      <c r="A86" s="170" t="s">
        <v>379</v>
      </c>
      <c r="B86" s="194"/>
      <c r="C86" s="164" t="s">
        <v>430</v>
      </c>
      <c r="D86" s="164"/>
      <c r="E86" s="113"/>
      <c r="F86" s="186"/>
      <c r="G86" s="165"/>
      <c r="H86" s="113"/>
      <c r="I86" s="165"/>
      <c r="J86" s="165"/>
      <c r="K86" s="165"/>
      <c r="L86" s="23"/>
      <c r="M86" s="198"/>
      <c r="N86" s="26"/>
      <c r="O86" s="26"/>
      <c r="P86" s="26">
        <f t="shared" ref="P86:S86" si="8">SUM(P66:P85)</f>
        <v>0</v>
      </c>
      <c r="Q86" s="26"/>
      <c r="R86" s="26"/>
      <c r="S86" s="26">
        <f t="shared" si="8"/>
        <v>17750614.012764726</v>
      </c>
    </row>
    <row r="87" spans="1:19">
      <c r="E87" s="26"/>
      <c r="F87" s="26"/>
      <c r="G87" s="26"/>
      <c r="H87" s="26"/>
      <c r="I87" s="26"/>
      <c r="J87" s="26"/>
      <c r="K87" s="26"/>
      <c r="L87" s="23"/>
    </row>
    <row r="88" spans="1:19">
      <c r="A88" s="256"/>
      <c r="E88" s="26"/>
      <c r="F88" s="26"/>
      <c r="G88" s="26"/>
      <c r="H88" s="26"/>
      <c r="I88" s="26"/>
      <c r="J88" s="26"/>
      <c r="K88" s="26"/>
      <c r="L88" s="23"/>
      <c r="M88" s="198"/>
      <c r="N88" s="198"/>
      <c r="O88" s="198"/>
    </row>
    <row r="89" spans="1:19">
      <c r="K89" s="194"/>
      <c r="L89" s="194"/>
      <c r="M89" s="194"/>
      <c r="N89" s="194"/>
      <c r="O89" s="194"/>
    </row>
    <row r="90" spans="1:19">
      <c r="K90" s="194"/>
      <c r="L90" s="194"/>
      <c r="M90" s="194"/>
      <c r="N90" s="194"/>
      <c r="O90" s="194"/>
    </row>
    <row r="91" spans="1:19">
      <c r="A91" s="159" t="s">
        <v>272</v>
      </c>
    </row>
    <row r="92" spans="1:19" ht="15.75" thickBot="1">
      <c r="A92" s="257" t="s">
        <v>273</v>
      </c>
    </row>
    <row r="93" spans="1:19">
      <c r="A93" s="258" t="s">
        <v>431</v>
      </c>
      <c r="C93" s="259" t="s">
        <v>432</v>
      </c>
      <c r="D93" s="259"/>
      <c r="E93" s="259"/>
      <c r="F93" s="259"/>
      <c r="G93" s="259"/>
      <c r="H93" s="259"/>
      <c r="I93" s="259"/>
      <c r="J93" s="259"/>
      <c r="K93" s="259"/>
      <c r="L93" s="259"/>
      <c r="M93" s="259"/>
      <c r="N93" s="259"/>
      <c r="O93" s="259"/>
      <c r="P93" s="259"/>
      <c r="Q93" s="259"/>
    </row>
    <row r="94" spans="1:19">
      <c r="A94" s="258" t="s">
        <v>433</v>
      </c>
      <c r="C94" s="259" t="s">
        <v>434</v>
      </c>
      <c r="D94" s="259"/>
      <c r="E94" s="259"/>
      <c r="F94" s="259"/>
      <c r="G94" s="259"/>
      <c r="H94" s="259"/>
      <c r="I94" s="259"/>
      <c r="J94" s="259"/>
      <c r="K94" s="259"/>
      <c r="L94" s="259"/>
      <c r="M94" s="259"/>
      <c r="N94" s="259"/>
      <c r="O94" s="259"/>
      <c r="P94" s="259"/>
      <c r="Q94" s="259"/>
    </row>
    <row r="95" spans="1:19">
      <c r="A95" s="258" t="s">
        <v>278</v>
      </c>
      <c r="C95" s="260" t="s">
        <v>435</v>
      </c>
      <c r="D95" s="260"/>
      <c r="E95" s="260"/>
      <c r="F95" s="260"/>
      <c r="G95" s="260"/>
      <c r="H95" s="260"/>
      <c r="I95" s="260"/>
      <c r="J95" s="260"/>
      <c r="K95" s="260"/>
      <c r="L95" s="260"/>
      <c r="M95" s="260"/>
      <c r="N95" s="260"/>
      <c r="O95" s="260"/>
      <c r="P95" s="260"/>
      <c r="Q95" s="260"/>
    </row>
    <row r="96" spans="1:19">
      <c r="C96" s="159" t="s">
        <v>436</v>
      </c>
    </row>
    <row r="97" spans="1:17">
      <c r="A97" s="258" t="s">
        <v>280</v>
      </c>
      <c r="C97" s="260" t="s">
        <v>437</v>
      </c>
      <c r="D97" s="260"/>
      <c r="E97" s="260"/>
      <c r="F97" s="260"/>
      <c r="G97" s="260"/>
      <c r="H97" s="260"/>
      <c r="I97" s="260"/>
      <c r="J97" s="260"/>
      <c r="K97" s="260"/>
      <c r="L97" s="260"/>
      <c r="M97" s="260"/>
      <c r="N97" s="260"/>
      <c r="O97" s="260"/>
      <c r="P97" s="260"/>
      <c r="Q97" s="260"/>
    </row>
    <row r="98" spans="1:17">
      <c r="A98" s="186" t="s">
        <v>282</v>
      </c>
      <c r="C98" s="261" t="s">
        <v>438</v>
      </c>
      <c r="D98" s="261"/>
      <c r="E98" s="261"/>
      <c r="F98" s="261"/>
      <c r="G98" s="261"/>
      <c r="H98" s="261"/>
      <c r="I98" s="261"/>
      <c r="J98" s="261"/>
      <c r="K98" s="261"/>
      <c r="L98" s="261"/>
      <c r="M98" s="261"/>
      <c r="N98" s="261"/>
      <c r="O98" s="261"/>
      <c r="P98" s="261"/>
      <c r="Q98" s="261"/>
    </row>
    <row r="99" spans="1:17">
      <c r="A99" s="186" t="s">
        <v>284</v>
      </c>
      <c r="C99" s="261" t="s">
        <v>439</v>
      </c>
      <c r="D99" s="261"/>
      <c r="E99" s="261"/>
      <c r="F99" s="261"/>
      <c r="G99" s="261"/>
      <c r="H99" s="261"/>
      <c r="I99" s="261"/>
      <c r="J99" s="261"/>
      <c r="K99" s="261"/>
      <c r="L99" s="261"/>
      <c r="M99" s="261"/>
      <c r="N99" s="261"/>
      <c r="O99" s="261"/>
      <c r="P99" s="261"/>
      <c r="Q99" s="261"/>
    </row>
    <row r="100" spans="1:17">
      <c r="A100" s="186" t="s">
        <v>286</v>
      </c>
      <c r="C100" s="261" t="s">
        <v>440</v>
      </c>
      <c r="D100" s="261"/>
      <c r="E100" s="261"/>
      <c r="F100" s="261"/>
      <c r="G100" s="261"/>
      <c r="H100" s="261"/>
      <c r="I100" s="261"/>
      <c r="J100" s="261"/>
      <c r="K100" s="261"/>
      <c r="L100" s="261"/>
      <c r="M100" s="261"/>
      <c r="N100" s="261"/>
      <c r="O100" s="261"/>
      <c r="P100" s="261"/>
      <c r="Q100" s="261"/>
    </row>
    <row r="101" spans="1:17">
      <c r="A101" s="186" t="s">
        <v>296</v>
      </c>
      <c r="C101" s="261" t="s">
        <v>441</v>
      </c>
      <c r="D101" s="261"/>
      <c r="E101" s="261"/>
      <c r="F101" s="261"/>
      <c r="G101" s="261"/>
      <c r="H101" s="261"/>
      <c r="I101" s="261"/>
      <c r="J101" s="261"/>
      <c r="K101" s="261"/>
      <c r="L101" s="261"/>
      <c r="M101" s="261"/>
      <c r="N101" s="261"/>
      <c r="O101" s="261"/>
      <c r="P101" s="261"/>
      <c r="Q101" s="261"/>
    </row>
    <row r="102" spans="1:17">
      <c r="A102" s="186" t="s">
        <v>298</v>
      </c>
      <c r="C102" s="159" t="s">
        <v>442</v>
      </c>
    </row>
    <row r="103" spans="1:17">
      <c r="A103" s="170" t="s">
        <v>300</v>
      </c>
      <c r="C103" s="201" t="s">
        <v>443</v>
      </c>
      <c r="D103" s="170"/>
      <c r="E103" s="186"/>
      <c r="F103" s="186"/>
      <c r="G103" s="165"/>
      <c r="J103" s="184"/>
      <c r="P103" s="165"/>
      <c r="Q103" s="163"/>
    </row>
    <row r="104" spans="1:17">
      <c r="A104" s="170" t="s">
        <v>302</v>
      </c>
      <c r="C104" s="159" t="s">
        <v>444</v>
      </c>
      <c r="D104" s="170"/>
      <c r="E104" s="186"/>
      <c r="F104" s="186"/>
      <c r="G104" s="165"/>
      <c r="J104" s="184"/>
      <c r="P104" s="165"/>
      <c r="Q104" s="181"/>
    </row>
    <row r="105" spans="1:17">
      <c r="A105" s="186" t="s">
        <v>306</v>
      </c>
      <c r="C105" s="3" t="s">
        <v>445</v>
      </c>
    </row>
    <row r="106" spans="1:17">
      <c r="A106" s="186" t="s">
        <v>446</v>
      </c>
      <c r="C106" s="159" t="s">
        <v>447</v>
      </c>
    </row>
    <row r="107" spans="1:17">
      <c r="A107" s="186" t="s">
        <v>310</v>
      </c>
      <c r="C107" s="159" t="s">
        <v>448</v>
      </c>
    </row>
    <row r="108" spans="1:17">
      <c r="C108" s="159" t="s">
        <v>449</v>
      </c>
    </row>
    <row r="109" spans="1:17" ht="15.75">
      <c r="C109" s="262"/>
      <c r="D109" s="262"/>
      <c r="E109" s="262"/>
      <c r="F109" s="262"/>
      <c r="G109" s="262"/>
    </row>
  </sheetData>
  <mergeCells count="9">
    <mergeCell ref="C100:Q100"/>
    <mergeCell ref="C101:Q101"/>
    <mergeCell ref="C109:G109"/>
    <mergeCell ref="C93:Q93"/>
    <mergeCell ref="C94:Q94"/>
    <mergeCell ref="C95:Q95"/>
    <mergeCell ref="C97:Q97"/>
    <mergeCell ref="C98:Q98"/>
    <mergeCell ref="C99:Q99"/>
  </mergeCells>
  <pageMargins left="0.25" right="0.25" top="0.75" bottom="0.75" header="0.3" footer="0.3"/>
  <pageSetup scale="41" fitToWidth="2" fitToHeight="2" orientation="landscape" verticalDpi="300" r:id="rId1"/>
  <rowBreaks count="1" manualBreakCount="1">
    <brk id="50" max="18"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4AC62-1672-43C3-8521-726A6645F478}">
  <sheetPr>
    <tabColor theme="6" tint="-0.499984740745262"/>
  </sheetPr>
  <dimension ref="A1:T208"/>
  <sheetViews>
    <sheetView view="pageBreakPreview" topLeftCell="A97" zoomScaleNormal="100" zoomScaleSheetLayoutView="100" workbookViewId="0">
      <selection activeCell="A39" sqref="A39:C39"/>
    </sheetView>
  </sheetViews>
  <sheetFormatPr defaultRowHeight="15"/>
  <cols>
    <col min="2" max="2" width="1.77734375" customWidth="1"/>
    <col min="3" max="3" width="39.6640625" customWidth="1"/>
    <col min="4" max="4" width="38.77734375" customWidth="1"/>
    <col min="5" max="5" width="13" customWidth="1"/>
    <col min="6" max="6" width="6.33203125" customWidth="1"/>
    <col min="7" max="7" width="11.88671875" customWidth="1"/>
    <col min="8" max="8" width="11.6640625" customWidth="1"/>
    <col min="9" max="9" width="2.109375" customWidth="1"/>
    <col min="10" max="10" width="11.6640625" customWidth="1"/>
    <col min="11" max="11" width="10.88671875" customWidth="1"/>
    <col min="12" max="12" width="10.77734375" customWidth="1"/>
    <col min="13" max="13" width="9.5546875" customWidth="1"/>
  </cols>
  <sheetData>
    <row r="1" spans="1:20">
      <c r="A1" s="159"/>
      <c r="B1" s="159"/>
      <c r="C1" s="159"/>
      <c r="D1" s="159"/>
      <c r="E1" s="159"/>
      <c r="F1" s="159"/>
      <c r="G1" s="159"/>
      <c r="H1" s="159"/>
      <c r="I1" s="159"/>
      <c r="J1" s="159"/>
      <c r="K1" s="159"/>
      <c r="L1" s="159"/>
    </row>
    <row r="2" spans="1:20">
      <c r="A2" s="159"/>
      <c r="B2" s="159"/>
      <c r="C2" s="159"/>
      <c r="D2" s="159"/>
      <c r="E2" s="159"/>
      <c r="F2" s="159"/>
      <c r="G2" s="159"/>
      <c r="H2" s="159"/>
      <c r="I2" s="159"/>
      <c r="J2" s="159"/>
      <c r="K2" s="159"/>
      <c r="O2" s="159" t="s">
        <v>1132</v>
      </c>
    </row>
    <row r="3" spans="1:20">
      <c r="A3" s="159"/>
      <c r="B3" s="159"/>
      <c r="C3" s="159"/>
      <c r="D3" s="159"/>
      <c r="E3" s="159"/>
      <c r="F3" s="159"/>
      <c r="G3" s="159"/>
      <c r="H3" s="159"/>
      <c r="I3" s="159"/>
      <c r="J3" s="159"/>
      <c r="K3" s="159"/>
      <c r="L3" s="159"/>
    </row>
    <row r="4" spans="1:20">
      <c r="A4" s="159"/>
      <c r="B4" s="159"/>
      <c r="C4" s="159"/>
      <c r="D4" s="159"/>
      <c r="E4" s="159"/>
      <c r="F4" s="159"/>
      <c r="G4" s="186" t="str">
        <f>'11-Wholesale Distribution'!G56</f>
        <v>Attachment 11</v>
      </c>
      <c r="H4" s="159"/>
      <c r="I4" s="159"/>
      <c r="J4" s="159"/>
      <c r="K4" s="159"/>
      <c r="L4" s="159"/>
    </row>
    <row r="5" spans="1:20">
      <c r="A5" s="159"/>
      <c r="B5" s="159"/>
      <c r="C5" s="159"/>
      <c r="D5" s="159"/>
      <c r="E5" s="159"/>
      <c r="F5" s="159"/>
      <c r="G5" s="186" t="str">
        <f>'11-Wholesale Distribution'!G57</f>
        <v>Wholesale Distribution Service</v>
      </c>
      <c r="H5" s="159"/>
      <c r="I5" s="159"/>
      <c r="J5" s="159"/>
      <c r="K5" s="159"/>
      <c r="L5" s="159"/>
    </row>
    <row r="6" spans="1:20">
      <c r="A6" s="159"/>
      <c r="B6" s="159"/>
      <c r="C6" s="159"/>
      <c r="D6" s="159"/>
      <c r="E6" s="159"/>
      <c r="F6" s="159"/>
      <c r="G6" s="186" t="str">
        <f>'11-Wholesale Distribution'!G58</f>
        <v>GridLiance High Plains LLC</v>
      </c>
      <c r="H6" s="159"/>
      <c r="I6" s="159"/>
      <c r="J6" s="159"/>
      <c r="K6" s="159"/>
      <c r="L6" s="159"/>
    </row>
    <row r="7" spans="1:20">
      <c r="A7" s="159"/>
      <c r="B7" s="159"/>
      <c r="C7" s="159"/>
      <c r="D7" s="159"/>
      <c r="E7" s="159"/>
      <c r="F7" s="159"/>
      <c r="G7" s="159"/>
      <c r="H7" s="159"/>
      <c r="I7" s="159"/>
      <c r="J7" s="159"/>
      <c r="K7" s="159"/>
      <c r="L7" s="159"/>
    </row>
    <row r="8" spans="1:20" ht="15.75" thickBot="1">
      <c r="A8" s="162"/>
      <c r="B8" s="159"/>
      <c r="C8" s="202">
        <v>-1</v>
      </c>
      <c r="D8" s="202">
        <v>-2</v>
      </c>
      <c r="E8" s="202">
        <v>-3</v>
      </c>
      <c r="F8" s="3"/>
      <c r="G8" s="202">
        <v>-4</v>
      </c>
      <c r="H8" s="202">
        <v>-5</v>
      </c>
      <c r="I8" s="3"/>
      <c r="J8" s="202">
        <v>-6</v>
      </c>
      <c r="K8" s="202">
        <v>-7</v>
      </c>
      <c r="L8" s="202">
        <v>-8</v>
      </c>
      <c r="M8" s="202">
        <v>-9</v>
      </c>
      <c r="N8" s="202">
        <v>-10</v>
      </c>
      <c r="O8" s="202">
        <v>-11</v>
      </c>
      <c r="P8" s="202"/>
      <c r="Q8" s="202"/>
      <c r="R8" s="203"/>
      <c r="S8" s="203"/>
      <c r="T8" s="203"/>
    </row>
    <row r="9" spans="1:20" ht="64.5" thickBot="1">
      <c r="A9" s="906" t="s">
        <v>387</v>
      </c>
      <c r="B9" s="907"/>
      <c r="C9" s="907" t="s">
        <v>1111</v>
      </c>
      <c r="D9" s="908" t="s">
        <v>390</v>
      </c>
      <c r="E9" s="908" t="s">
        <v>1133</v>
      </c>
      <c r="F9" s="909"/>
      <c r="G9" s="910" t="s">
        <v>391</v>
      </c>
      <c r="H9" s="908" t="s">
        <v>392</v>
      </c>
      <c r="I9" s="909"/>
      <c r="J9" s="908" t="s">
        <v>1134</v>
      </c>
      <c r="K9" s="910" t="s">
        <v>393</v>
      </c>
      <c r="L9" s="908" t="s">
        <v>394</v>
      </c>
      <c r="M9" s="911" t="s">
        <v>1135</v>
      </c>
      <c r="N9" s="911" t="s">
        <v>1136</v>
      </c>
      <c r="O9" s="912" t="s">
        <v>1122</v>
      </c>
      <c r="P9" s="891"/>
    </row>
    <row r="10" spans="1:20">
      <c r="A10" s="913" t="s">
        <v>1137</v>
      </c>
      <c r="B10" s="914"/>
      <c r="C10" s="915" t="s">
        <v>1138</v>
      </c>
      <c r="D10" s="916">
        <f>+'Attachment H'!D65</f>
        <v>0</v>
      </c>
      <c r="E10" s="917">
        <f>+K167</f>
        <v>0</v>
      </c>
      <c r="F10" s="917"/>
      <c r="G10" s="917">
        <f>+D10*E10</f>
        <v>0</v>
      </c>
      <c r="H10" s="916">
        <v>0</v>
      </c>
      <c r="I10" s="914"/>
      <c r="J10" s="918">
        <f>+K170</f>
        <v>0</v>
      </c>
      <c r="K10" s="917">
        <f>+H10*J10</f>
        <v>0</v>
      </c>
      <c r="L10" s="919">
        <v>0</v>
      </c>
      <c r="M10" s="917">
        <f>+G10+K10+L10</f>
        <v>0</v>
      </c>
      <c r="N10" s="919">
        <v>0</v>
      </c>
      <c r="O10" s="920">
        <f>+M10*N10</f>
        <v>0</v>
      </c>
      <c r="P10" s="3"/>
    </row>
    <row r="11" spans="1:20">
      <c r="A11" s="921" t="s">
        <v>1139</v>
      </c>
      <c r="B11" s="159"/>
      <c r="C11" s="922"/>
      <c r="D11" s="922"/>
      <c r="E11" s="23">
        <f>+E10</f>
        <v>0</v>
      </c>
      <c r="F11" s="23"/>
      <c r="G11" s="23">
        <f t="shared" ref="G11:G14" si="0">+D11*E11</f>
        <v>0</v>
      </c>
      <c r="H11" s="431">
        <v>0</v>
      </c>
      <c r="I11" s="23"/>
      <c r="J11" s="23">
        <f>+J10</f>
        <v>0</v>
      </c>
      <c r="K11" s="23">
        <f t="shared" ref="K11:K14" si="1">+H11*J11</f>
        <v>0</v>
      </c>
      <c r="L11" s="431">
        <v>0</v>
      </c>
      <c r="M11" s="23">
        <f t="shared" ref="M11:M14" si="2">+G11+K11+L11</f>
        <v>0</v>
      </c>
      <c r="N11" s="431">
        <v>0</v>
      </c>
      <c r="O11" s="616">
        <f>+M11*N11</f>
        <v>0</v>
      </c>
      <c r="P11" s="3"/>
    </row>
    <row r="12" spans="1:20">
      <c r="A12" s="921" t="s">
        <v>1140</v>
      </c>
      <c r="B12" s="159"/>
      <c r="C12" s="922"/>
      <c r="D12" s="922"/>
      <c r="E12" s="23">
        <f>+E11</f>
        <v>0</v>
      </c>
      <c r="F12" s="23"/>
      <c r="G12" s="23">
        <f t="shared" si="0"/>
        <v>0</v>
      </c>
      <c r="H12" s="431">
        <v>0</v>
      </c>
      <c r="I12" s="23"/>
      <c r="J12" s="23">
        <f>+J11</f>
        <v>0</v>
      </c>
      <c r="K12" s="23">
        <f t="shared" si="1"/>
        <v>0</v>
      </c>
      <c r="L12" s="431">
        <v>0</v>
      </c>
      <c r="M12" s="23">
        <f t="shared" si="2"/>
        <v>0</v>
      </c>
      <c r="N12" s="431">
        <v>0</v>
      </c>
      <c r="O12" s="616">
        <f>+M12*N12</f>
        <v>0</v>
      </c>
      <c r="P12" s="3"/>
    </row>
    <row r="13" spans="1:20">
      <c r="A13" s="921" t="s">
        <v>1141</v>
      </c>
      <c r="B13" s="159"/>
      <c r="C13" s="922"/>
      <c r="D13" s="922"/>
      <c r="E13" s="23">
        <f>+E12</f>
        <v>0</v>
      </c>
      <c r="F13" s="23"/>
      <c r="G13" s="23">
        <f t="shared" si="0"/>
        <v>0</v>
      </c>
      <c r="H13" s="431">
        <v>0</v>
      </c>
      <c r="I13" s="23"/>
      <c r="J13" s="23">
        <f>+J12</f>
        <v>0</v>
      </c>
      <c r="K13" s="23">
        <f t="shared" si="1"/>
        <v>0</v>
      </c>
      <c r="L13" s="431">
        <v>0</v>
      </c>
      <c r="M13" s="23">
        <f t="shared" si="2"/>
        <v>0</v>
      </c>
      <c r="N13" s="431">
        <v>0</v>
      </c>
      <c r="O13" s="616">
        <f>+M13*N13</f>
        <v>0</v>
      </c>
      <c r="P13" s="3"/>
    </row>
    <row r="14" spans="1:20" ht="15.75" thickBot="1">
      <c r="A14" s="923" t="s">
        <v>624</v>
      </c>
      <c r="B14" s="257"/>
      <c r="C14" s="924"/>
      <c r="D14" s="924"/>
      <c r="E14" s="27">
        <f>+E13</f>
        <v>0</v>
      </c>
      <c r="F14" s="27"/>
      <c r="G14" s="27">
        <f t="shared" si="0"/>
        <v>0</v>
      </c>
      <c r="H14" s="925">
        <v>0</v>
      </c>
      <c r="I14" s="27"/>
      <c r="J14" s="27">
        <f>+J13</f>
        <v>0</v>
      </c>
      <c r="K14" s="27">
        <f t="shared" si="1"/>
        <v>0</v>
      </c>
      <c r="L14" s="925">
        <v>0</v>
      </c>
      <c r="M14" s="27">
        <f t="shared" si="2"/>
        <v>0</v>
      </c>
      <c r="N14" s="925">
        <v>0</v>
      </c>
      <c r="O14" s="621">
        <f>+M14*N14</f>
        <v>0</v>
      </c>
      <c r="P14" s="3"/>
    </row>
    <row r="15" spans="1:20">
      <c r="A15" s="186" t="s">
        <v>1142</v>
      </c>
      <c r="B15" s="159"/>
      <c r="C15" s="159" t="s">
        <v>20</v>
      </c>
      <c r="D15" s="159"/>
      <c r="E15" s="159"/>
      <c r="F15" s="159"/>
      <c r="G15" s="159"/>
      <c r="H15" s="159"/>
      <c r="I15" s="159"/>
      <c r="J15" s="159"/>
      <c r="K15" s="159"/>
      <c r="L15" s="159"/>
      <c r="M15" s="3"/>
      <c r="N15" s="3"/>
      <c r="O15" s="917">
        <f>SUM(O10:O14)</f>
        <v>0</v>
      </c>
      <c r="P15" s="3"/>
    </row>
    <row r="16" spans="1:20">
      <c r="A16" s="186"/>
      <c r="B16" s="159"/>
      <c r="C16" s="159" t="s">
        <v>1143</v>
      </c>
      <c r="D16" s="159"/>
      <c r="E16" s="159"/>
      <c r="F16" s="159"/>
      <c r="G16" s="159"/>
      <c r="H16" s="159"/>
      <c r="I16" s="159"/>
      <c r="J16" s="159"/>
      <c r="K16" s="159"/>
      <c r="L16" s="159"/>
      <c r="M16" s="3"/>
      <c r="N16" s="3"/>
      <c r="O16" s="26"/>
      <c r="P16" s="3"/>
    </row>
    <row r="17" spans="1:16">
      <c r="A17" s="186"/>
      <c r="B17" s="159"/>
      <c r="C17" s="159" t="s">
        <v>1144</v>
      </c>
      <c r="D17" s="159"/>
      <c r="E17" s="159"/>
      <c r="F17" s="159"/>
      <c r="G17" s="159"/>
      <c r="H17" s="159"/>
      <c r="I17" s="159"/>
      <c r="J17" s="159"/>
      <c r="K17" s="159"/>
      <c r="L17" s="159"/>
      <c r="M17" s="3"/>
      <c r="N17" s="3"/>
      <c r="O17" s="26"/>
      <c r="P17" s="3"/>
    </row>
    <row r="18" spans="1:16">
      <c r="A18" s="186"/>
      <c r="B18" s="159"/>
      <c r="C18" s="159" t="s">
        <v>1145</v>
      </c>
      <c r="D18" s="159"/>
      <c r="E18" s="159"/>
      <c r="F18" s="159"/>
      <c r="G18" s="159"/>
      <c r="H18" s="159"/>
      <c r="I18" s="159"/>
      <c r="J18" s="159"/>
      <c r="K18" s="159"/>
      <c r="L18" s="159"/>
      <c r="M18" s="3"/>
      <c r="N18" s="3"/>
      <c r="O18" s="26"/>
      <c r="P18" s="3"/>
    </row>
    <row r="19" spans="1:16">
      <c r="A19" s="186"/>
      <c r="B19" s="159"/>
      <c r="C19" s="159"/>
      <c r="D19" s="159"/>
      <c r="E19" s="159"/>
      <c r="F19" s="159"/>
      <c r="G19" s="159"/>
      <c r="H19" s="159"/>
      <c r="I19" s="159"/>
      <c r="J19" s="159"/>
      <c r="K19" s="159"/>
      <c r="M19" s="3"/>
      <c r="N19" s="3"/>
      <c r="O19" s="26"/>
      <c r="P19" s="3"/>
    </row>
    <row r="20" spans="1:16">
      <c r="A20" s="186"/>
      <c r="B20" s="159"/>
      <c r="C20" s="159"/>
      <c r="D20" s="159"/>
      <c r="E20" s="159"/>
      <c r="F20" s="159"/>
      <c r="G20" s="186" t="s">
        <v>1110</v>
      </c>
      <c r="H20" s="159"/>
      <c r="I20" s="159"/>
      <c r="J20" s="159"/>
      <c r="K20" s="159"/>
      <c r="L20" s="159"/>
      <c r="M20" s="3"/>
      <c r="N20" s="3"/>
      <c r="O20" s="159" t="s">
        <v>1146</v>
      </c>
      <c r="P20" s="3"/>
    </row>
    <row r="21" spans="1:16">
      <c r="A21" s="186"/>
      <c r="B21" s="159"/>
      <c r="C21" s="159"/>
      <c r="D21" s="159"/>
      <c r="E21" s="159"/>
      <c r="F21" s="159"/>
      <c r="G21" s="186" t="s">
        <v>1111</v>
      </c>
      <c r="H21" s="159"/>
      <c r="I21" s="159"/>
      <c r="J21" s="159"/>
      <c r="K21" s="159"/>
      <c r="L21" s="159"/>
      <c r="M21" s="3"/>
      <c r="N21" s="3"/>
      <c r="O21" s="26"/>
      <c r="P21" s="3"/>
    </row>
    <row r="22" spans="1:16">
      <c r="A22" s="186"/>
      <c r="B22" s="159"/>
      <c r="C22" s="159"/>
      <c r="D22" s="159"/>
      <c r="E22" s="159"/>
      <c r="F22" s="159"/>
      <c r="G22" s="186" t="s">
        <v>835</v>
      </c>
      <c r="H22" s="159"/>
      <c r="I22" s="159"/>
      <c r="J22" s="159"/>
      <c r="K22" s="159"/>
      <c r="L22" s="159"/>
      <c r="M22" s="3"/>
      <c r="N22" s="3"/>
      <c r="O22" s="26"/>
      <c r="P22" s="3"/>
    </row>
    <row r="23" spans="1:16">
      <c r="A23" s="186"/>
      <c r="B23" s="159"/>
      <c r="C23" s="159"/>
      <c r="D23" s="159"/>
      <c r="E23" s="159"/>
      <c r="F23" s="159"/>
      <c r="G23" s="159"/>
      <c r="H23" s="159"/>
      <c r="I23" s="159"/>
      <c r="J23" s="159"/>
      <c r="K23" s="159"/>
      <c r="L23" s="159"/>
      <c r="M23" s="3"/>
      <c r="N23" s="3"/>
      <c r="O23" s="26"/>
      <c r="P23" s="3"/>
    </row>
    <row r="24" spans="1:16">
      <c r="A24" s="186"/>
      <c r="B24" s="159"/>
      <c r="C24" s="159"/>
      <c r="D24" s="159"/>
      <c r="E24" s="159"/>
      <c r="F24" s="159"/>
      <c r="G24" s="159"/>
      <c r="H24" s="159"/>
      <c r="I24" s="159"/>
      <c r="J24" s="159"/>
      <c r="K24" s="159"/>
      <c r="L24" s="159"/>
      <c r="M24" s="3"/>
      <c r="N24" s="3"/>
      <c r="O24" s="26"/>
      <c r="P24" s="3"/>
    </row>
    <row r="25" spans="1:16">
      <c r="A25" s="186"/>
      <c r="B25" s="159"/>
      <c r="C25" s="159"/>
      <c r="D25" s="159"/>
      <c r="E25" s="159"/>
      <c r="F25" s="159"/>
      <c r="G25" s="159"/>
      <c r="H25" s="159"/>
      <c r="I25" s="159"/>
      <c r="J25" s="159"/>
      <c r="K25" s="159"/>
      <c r="L25" s="159"/>
      <c r="M25" s="3"/>
      <c r="O25" s="3"/>
      <c r="P25" s="3"/>
    </row>
    <row r="26" spans="1:16">
      <c r="A26" s="4"/>
      <c r="B26" s="159"/>
      <c r="C26" s="18" t="s">
        <v>6</v>
      </c>
      <c r="D26" s="18" t="s">
        <v>7</v>
      </c>
      <c r="E26" s="18" t="s">
        <v>8</v>
      </c>
      <c r="F26" s="11" t="s">
        <v>9</v>
      </c>
      <c r="G26" s="11"/>
      <c r="H26" s="17" t="s">
        <v>10</v>
      </c>
      <c r="I26" s="11"/>
      <c r="J26" s="17" t="s">
        <v>11</v>
      </c>
      <c r="K26" s="11"/>
      <c r="L26" s="18"/>
      <c r="M26" s="3"/>
      <c r="N26" s="3"/>
      <c r="O26" s="3"/>
      <c r="P26" s="3"/>
    </row>
    <row r="27" spans="1:16">
      <c r="A27" s="4"/>
      <c r="B27" s="159"/>
      <c r="C27" s="13"/>
      <c r="D27" s="52"/>
      <c r="E27" s="11"/>
      <c r="F27" s="11"/>
      <c r="G27" s="53" t="s">
        <v>42</v>
      </c>
      <c r="H27" s="4"/>
      <c r="I27" s="11"/>
      <c r="J27" s="53" t="s">
        <v>1147</v>
      </c>
      <c r="K27" s="11"/>
      <c r="L27" s="18"/>
      <c r="M27" s="3"/>
      <c r="N27" s="3"/>
      <c r="O27" s="3"/>
      <c r="P27" s="3"/>
    </row>
    <row r="28" spans="1:16">
      <c r="A28" s="7" t="s">
        <v>12</v>
      </c>
      <c r="B28" s="159"/>
      <c r="C28" s="13"/>
      <c r="D28" s="54" t="s">
        <v>40</v>
      </c>
      <c r="E28" s="53" t="s">
        <v>41</v>
      </c>
      <c r="F28" s="55"/>
      <c r="G28" s="636" t="s">
        <v>1148</v>
      </c>
      <c r="H28" s="636"/>
      <c r="I28" s="55"/>
      <c r="J28" s="7" t="s">
        <v>43</v>
      </c>
      <c r="K28" s="11"/>
      <c r="L28" s="18"/>
    </row>
    <row r="29" spans="1:16" ht="15.75" thickBot="1">
      <c r="A29" s="19" t="s">
        <v>14</v>
      </c>
      <c r="B29" s="159"/>
      <c r="C29" s="56" t="s">
        <v>44</v>
      </c>
      <c r="D29" s="11"/>
      <c r="E29" s="11"/>
      <c r="F29" s="11"/>
      <c r="G29" s="926" t="s">
        <v>1149</v>
      </c>
      <c r="H29" s="926"/>
      <c r="I29" s="11"/>
      <c r="J29" s="11"/>
      <c r="K29" s="11"/>
      <c r="L29" s="11"/>
    </row>
    <row r="30" spans="1:16">
      <c r="A30" s="7"/>
      <c r="B30" s="159"/>
      <c r="C30" s="13" t="s">
        <v>1150</v>
      </c>
      <c r="D30" s="11"/>
      <c r="E30" s="11"/>
      <c r="F30" s="11"/>
      <c r="G30" s="11"/>
      <c r="H30" s="11"/>
      <c r="I30" s="11"/>
      <c r="J30" s="11"/>
      <c r="K30" s="11"/>
      <c r="L30" s="11"/>
    </row>
    <row r="31" spans="1:16">
      <c r="A31" s="7">
        <v>1</v>
      </c>
      <c r="B31" s="159"/>
      <c r="C31" s="13" t="s">
        <v>46</v>
      </c>
      <c r="D31" s="24" t="str">
        <f>+'Attachment H'!$B$2&amp;", Page 2, Line "&amp;'Attachment H'!A63</f>
        <v>Attachment H, Page 2, Line 1</v>
      </c>
      <c r="E31" s="26">
        <f>+'Attachment H'!D63</f>
        <v>0</v>
      </c>
      <c r="F31" s="11"/>
      <c r="G31" s="11" t="s">
        <v>48</v>
      </c>
      <c r="H31" s="58" t="s">
        <v>9</v>
      </c>
      <c r="I31" s="11"/>
      <c r="J31" s="26">
        <v>0</v>
      </c>
      <c r="K31" s="11"/>
      <c r="L31" s="11"/>
    </row>
    <row r="32" spans="1:16">
      <c r="A32" s="7">
        <f>+A31+1</f>
        <v>2</v>
      </c>
      <c r="B32" s="159"/>
      <c r="C32" s="13" t="s">
        <v>49</v>
      </c>
      <c r="D32" s="24" t="str">
        <f>+'Attachment H'!$B$2&amp;", Page 2, Line "&amp;'Attachment H'!A64</f>
        <v>Attachment H, Page 2, Line 2</v>
      </c>
      <c r="E32" s="26">
        <f>+'Attachment H'!D64</f>
        <v>92294602.145676479</v>
      </c>
      <c r="F32" s="11"/>
      <c r="G32" s="11" t="s">
        <v>48</v>
      </c>
      <c r="H32" s="23"/>
      <c r="I32" s="24"/>
      <c r="J32" s="26">
        <f>+H32*E32</f>
        <v>0</v>
      </c>
      <c r="K32" s="11"/>
      <c r="L32" s="11"/>
    </row>
    <row r="33" spans="1:12">
      <c r="A33" s="7">
        <f>+A32+1</f>
        <v>3</v>
      </c>
      <c r="B33" s="159"/>
      <c r="C33" s="13" t="s">
        <v>51</v>
      </c>
      <c r="D33" s="24" t="s">
        <v>1151</v>
      </c>
      <c r="E33" s="26">
        <f>+'Attachment H'!D65</f>
        <v>0</v>
      </c>
      <c r="F33" s="11"/>
      <c r="G33" s="11" t="s">
        <v>36</v>
      </c>
      <c r="H33" s="23">
        <v>1</v>
      </c>
      <c r="I33" s="24"/>
      <c r="J33" s="26">
        <f>+E33*H33</f>
        <v>0</v>
      </c>
      <c r="K33" s="11"/>
      <c r="L33" s="11"/>
    </row>
    <row r="34" spans="1:12">
      <c r="A34" s="7">
        <f>+A33+1</f>
        <v>4</v>
      </c>
      <c r="B34" s="159"/>
      <c r="C34" s="13" t="s">
        <v>53</v>
      </c>
      <c r="D34" s="24" t="str">
        <f>+'Attachment H'!$B$2&amp;", Page 2, Line "&amp;'Attachment H'!A66</f>
        <v>Attachment H, Page 2, Line 4</v>
      </c>
      <c r="E34" s="26">
        <f>+'Attachment H'!D66</f>
        <v>0</v>
      </c>
      <c r="F34" s="11"/>
      <c r="G34" s="11" t="s">
        <v>55</v>
      </c>
      <c r="H34" s="23">
        <f>J148</f>
        <v>0</v>
      </c>
      <c r="I34" s="24"/>
      <c r="J34" s="26">
        <f>+H34*E34</f>
        <v>0</v>
      </c>
      <c r="K34" s="11"/>
      <c r="L34" s="11"/>
    </row>
    <row r="35" spans="1:12" ht="15.75" thickBot="1">
      <c r="A35" s="7">
        <f>+A34+1</f>
        <v>5</v>
      </c>
      <c r="B35" s="159"/>
      <c r="C35" s="13" t="s">
        <v>56</v>
      </c>
      <c r="D35" s="24" t="str">
        <f>+'Attachment H'!$B$2&amp;", Page 2, Line "&amp;'Attachment H'!A67</f>
        <v>Attachment H, Page 2, Line 5</v>
      </c>
      <c r="E35" s="26">
        <f>+'Attachment H'!D67</f>
        <v>0</v>
      </c>
      <c r="F35" s="11"/>
      <c r="G35" s="11" t="s">
        <v>58</v>
      </c>
      <c r="H35" s="23">
        <f>L152</f>
        <v>0</v>
      </c>
      <c r="I35" s="24"/>
      <c r="J35" s="60">
        <f>+H35*E35</f>
        <v>0</v>
      </c>
      <c r="K35" s="11"/>
      <c r="L35" s="11"/>
    </row>
    <row r="36" spans="1:12">
      <c r="A36" s="7">
        <f>+A35+1</f>
        <v>6</v>
      </c>
      <c r="B36" s="159"/>
      <c r="C36" s="5" t="s">
        <v>59</v>
      </c>
      <c r="D36" s="11" t="s">
        <v>60</v>
      </c>
      <c r="E36" s="26">
        <f>SUM(E31:E35)</f>
        <v>92294602.145676479</v>
      </c>
      <c r="F36" s="11"/>
      <c r="G36" s="11" t="s">
        <v>61</v>
      </c>
      <c r="H36" s="61">
        <f>IF(J36&gt;0,J36/E36,0)</f>
        <v>0</v>
      </c>
      <c r="I36" s="24"/>
      <c r="J36" s="26">
        <f>SUM(J31:J35)</f>
        <v>0</v>
      </c>
      <c r="K36" s="11"/>
      <c r="L36" s="62"/>
    </row>
    <row r="37" spans="1:12">
      <c r="A37" s="7"/>
      <c r="B37" s="159"/>
      <c r="C37" s="13"/>
      <c r="D37" s="11"/>
      <c r="E37" s="26"/>
      <c r="F37" s="11"/>
      <c r="G37" s="11"/>
      <c r="H37" s="62"/>
      <c r="I37" s="11"/>
      <c r="J37" s="26"/>
      <c r="K37" s="11"/>
      <c r="L37" s="62"/>
    </row>
    <row r="38" spans="1:12">
      <c r="A38" s="7">
        <f>+A36+1</f>
        <v>7</v>
      </c>
      <c r="B38" s="159"/>
      <c r="C38" s="13" t="s">
        <v>1152</v>
      </c>
      <c r="D38" s="11"/>
      <c r="E38" s="26"/>
      <c r="F38" s="11"/>
      <c r="G38" s="11"/>
      <c r="H38" s="11"/>
      <c r="I38" s="11"/>
      <c r="J38" s="26"/>
      <c r="K38" s="11"/>
      <c r="L38" s="11"/>
    </row>
    <row r="39" spans="1:12">
      <c r="A39" s="7">
        <f t="shared" ref="A39:A44" si="3">+A38+1</f>
        <v>8</v>
      </c>
      <c r="B39" s="159"/>
      <c r="C39" s="13" t="s">
        <v>46</v>
      </c>
      <c r="D39" s="24" t="str">
        <f>+'Attachment H'!$B$2&amp;", Page 2, Line "&amp;'Attachment H'!A71</f>
        <v>Attachment H, Page 2, Line 8</v>
      </c>
      <c r="E39" s="26">
        <f>+'Attachment H'!D71</f>
        <v>0</v>
      </c>
      <c r="F39" s="11"/>
      <c r="G39" s="11" t="s">
        <v>48</v>
      </c>
      <c r="H39" s="58" t="s">
        <v>9</v>
      </c>
      <c r="I39" s="11"/>
      <c r="J39" s="26">
        <v>0</v>
      </c>
      <c r="K39" s="11"/>
      <c r="L39" s="11"/>
    </row>
    <row r="40" spans="1:12">
      <c r="A40" s="7">
        <f t="shared" si="3"/>
        <v>9</v>
      </c>
      <c r="B40" s="159"/>
      <c r="C40" s="13" t="s">
        <v>49</v>
      </c>
      <c r="D40" s="24" t="str">
        <f>+'Attachment H'!$B$2&amp;", Page 2, Line "&amp;'Attachment H'!A72</f>
        <v>Attachment H, Page 2, Line 9</v>
      </c>
      <c r="E40" s="26">
        <f>+'Attachment H'!D72</f>
        <v>15651697.456114136</v>
      </c>
      <c r="F40" s="11"/>
      <c r="G40" s="11" t="s">
        <v>48</v>
      </c>
      <c r="H40" s="23"/>
      <c r="I40" s="24"/>
      <c r="J40" s="26">
        <f>+H40*E40</f>
        <v>0</v>
      </c>
      <c r="K40" s="11"/>
      <c r="L40" s="11"/>
    </row>
    <row r="41" spans="1:12">
      <c r="A41" s="7">
        <f t="shared" si="3"/>
        <v>10</v>
      </c>
      <c r="B41" s="159"/>
      <c r="C41" s="13" t="s">
        <v>51</v>
      </c>
      <c r="D41" s="24" t="s">
        <v>1153</v>
      </c>
      <c r="E41" s="26">
        <f>+'Attachment H'!D73</f>
        <v>0</v>
      </c>
      <c r="F41" s="11"/>
      <c r="G41" s="11" t="s">
        <v>36</v>
      </c>
      <c r="H41" s="23">
        <v>1</v>
      </c>
      <c r="I41" s="24"/>
      <c r="J41" s="26">
        <f>+H41*E41</f>
        <v>0</v>
      </c>
      <c r="K41" s="11"/>
      <c r="L41" s="11"/>
    </row>
    <row r="42" spans="1:12">
      <c r="A42" s="7">
        <f t="shared" si="3"/>
        <v>11</v>
      </c>
      <c r="B42" s="159"/>
      <c r="C42" s="13" t="s">
        <v>53</v>
      </c>
      <c r="D42" s="24" t="str">
        <f>+'Attachment H'!$B$2&amp;", Page 2, Line "&amp;'Attachment H'!A74</f>
        <v>Attachment H, Page 2, Line 11</v>
      </c>
      <c r="E42" s="26">
        <f>+'Attachment H'!D74</f>
        <v>0</v>
      </c>
      <c r="F42" s="11"/>
      <c r="G42" s="11" t="s">
        <v>55</v>
      </c>
      <c r="H42" s="23">
        <f>+H34</f>
        <v>0</v>
      </c>
      <c r="I42" s="24"/>
      <c r="J42" s="26">
        <f>+H42*E42</f>
        <v>0</v>
      </c>
      <c r="K42" s="11"/>
      <c r="L42" s="11"/>
    </row>
    <row r="43" spans="1:12" ht="15.75" thickBot="1">
      <c r="A43" s="7">
        <f t="shared" si="3"/>
        <v>12</v>
      </c>
      <c r="B43" s="159"/>
      <c r="C43" s="13" t="s">
        <v>56</v>
      </c>
      <c r="D43" s="24" t="str">
        <f>+'Attachment H'!$B$2&amp;", Page 2, Line "&amp;'Attachment H'!A75</f>
        <v>Attachment H, Page 2, Line 12</v>
      </c>
      <c r="E43" s="60">
        <f>+'Attachment H'!D75</f>
        <v>0</v>
      </c>
      <c r="F43" s="11"/>
      <c r="G43" s="11" t="s">
        <v>58</v>
      </c>
      <c r="H43" s="23">
        <f>+H35</f>
        <v>0</v>
      </c>
      <c r="I43" s="24"/>
      <c r="J43" s="60">
        <f>+H43*E43</f>
        <v>0</v>
      </c>
      <c r="K43" s="11"/>
      <c r="L43" s="11"/>
    </row>
    <row r="44" spans="1:12">
      <c r="A44" s="7">
        <f t="shared" si="3"/>
        <v>13</v>
      </c>
      <c r="B44" s="159"/>
      <c r="C44" s="13" t="s">
        <v>67</v>
      </c>
      <c r="D44" s="11" t="s">
        <v>68</v>
      </c>
      <c r="E44" s="26">
        <f>SUM(E39:E43)</f>
        <v>15651697.456114136</v>
      </c>
      <c r="F44" s="11"/>
      <c r="G44" s="11"/>
      <c r="H44" s="23"/>
      <c r="I44" s="24"/>
      <c r="J44" s="26">
        <f>SUM(J39:J43)</f>
        <v>0</v>
      </c>
      <c r="K44" s="11"/>
      <c r="L44" s="11"/>
    </row>
    <row r="45" spans="1:12">
      <c r="A45" s="7"/>
      <c r="B45" s="159"/>
      <c r="C45" s="4"/>
      <c r="D45" s="11" t="s">
        <v>9</v>
      </c>
      <c r="E45" s="26"/>
      <c r="F45" s="11"/>
      <c r="G45" s="11"/>
      <c r="H45" s="61"/>
      <c r="I45" s="11"/>
      <c r="J45" s="26"/>
      <c r="K45" s="11"/>
      <c r="L45" s="62"/>
    </row>
    <row r="46" spans="1:12">
      <c r="A46" s="7">
        <f>+A44+1</f>
        <v>14</v>
      </c>
      <c r="B46" s="159"/>
      <c r="C46" s="13" t="s">
        <v>69</v>
      </c>
      <c r="D46" s="11"/>
      <c r="E46" s="26"/>
      <c r="F46" s="11"/>
      <c r="G46" s="11"/>
      <c r="H46" s="23"/>
      <c r="I46" s="11"/>
      <c r="J46" s="26"/>
      <c r="K46" s="11"/>
      <c r="L46" s="11"/>
    </row>
    <row r="47" spans="1:12">
      <c r="A47" s="7">
        <f t="shared" ref="A47:A52" si="4">+A46+1</f>
        <v>15</v>
      </c>
      <c r="B47" s="159"/>
      <c r="C47" s="13" t="s">
        <v>46</v>
      </c>
      <c r="D47" s="11" t="str">
        <f>"(line "&amp;A31&amp;" - line "&amp;A39&amp;")"</f>
        <v>(line 1 - line 8)</v>
      </c>
      <c r="E47" s="26">
        <f>E31-E39</f>
        <v>0</v>
      </c>
      <c r="F47" s="24"/>
      <c r="G47" s="24"/>
      <c r="H47" s="61"/>
      <c r="I47" s="24"/>
      <c r="J47" s="26">
        <f>J31-J39</f>
        <v>0</v>
      </c>
      <c r="K47" s="11"/>
      <c r="L47" s="62"/>
    </row>
    <row r="48" spans="1:12">
      <c r="A48" s="7">
        <f t="shared" si="4"/>
        <v>16</v>
      </c>
      <c r="B48" s="159"/>
      <c r="C48" s="13" t="s">
        <v>49</v>
      </c>
      <c r="D48" s="11" t="s">
        <v>70</v>
      </c>
      <c r="E48" s="26">
        <f>E32-E40</f>
        <v>76642904.689562351</v>
      </c>
      <c r="F48" s="24"/>
      <c r="G48" s="24"/>
      <c r="H48" s="23"/>
      <c r="I48" s="24"/>
      <c r="J48" s="26">
        <f>J32-J40</f>
        <v>0</v>
      </c>
      <c r="K48" s="11"/>
      <c r="L48" s="62"/>
    </row>
    <row r="49" spans="1:12">
      <c r="A49" s="7">
        <f t="shared" si="4"/>
        <v>17</v>
      </c>
      <c r="B49" s="159"/>
      <c r="C49" s="13" t="s">
        <v>51</v>
      </c>
      <c r="D49" s="11" t="str">
        <f>"(line "&amp;A33&amp;" - line "&amp;A41&amp;")"</f>
        <v>(line 3 - line 10)</v>
      </c>
      <c r="E49" s="26">
        <f>E33-E41</f>
        <v>0</v>
      </c>
      <c r="F49" s="24"/>
      <c r="G49" s="24"/>
      <c r="H49" s="61"/>
      <c r="I49" s="24"/>
      <c r="J49" s="26">
        <f>J33-J41</f>
        <v>0</v>
      </c>
      <c r="K49" s="11"/>
      <c r="L49" s="62"/>
    </row>
    <row r="50" spans="1:12">
      <c r="A50" s="7">
        <f t="shared" si="4"/>
        <v>18</v>
      </c>
      <c r="B50" s="159"/>
      <c r="C50" s="13" t="s">
        <v>53</v>
      </c>
      <c r="D50" s="11" t="s">
        <v>71</v>
      </c>
      <c r="E50" s="26">
        <f>E34-E42</f>
        <v>0</v>
      </c>
      <c r="F50" s="24"/>
      <c r="G50" s="24"/>
      <c r="H50" s="61"/>
      <c r="I50" s="24"/>
      <c r="J50" s="26">
        <f>J34-J42</f>
        <v>0</v>
      </c>
      <c r="K50" s="11"/>
      <c r="L50" s="62"/>
    </row>
    <row r="51" spans="1:12" ht="15.75" thickBot="1">
      <c r="A51" s="7">
        <f t="shared" si="4"/>
        <v>19</v>
      </c>
      <c r="B51" s="159"/>
      <c r="C51" s="13" t="s">
        <v>56</v>
      </c>
      <c r="D51" s="11" t="str">
        <f>"(line "&amp;A35&amp;" - line "&amp;A43&amp;")"</f>
        <v>(line 5 - line 12)</v>
      </c>
      <c r="E51" s="60">
        <f>E35-E43</f>
        <v>0</v>
      </c>
      <c r="F51" s="24"/>
      <c r="G51" s="24"/>
      <c r="H51" s="61"/>
      <c r="I51" s="24"/>
      <c r="J51" s="60">
        <f>J35-J43</f>
        <v>0</v>
      </c>
      <c r="K51" s="11"/>
      <c r="L51" s="62"/>
    </row>
    <row r="52" spans="1:12">
      <c r="A52" s="7">
        <f t="shared" si="4"/>
        <v>20</v>
      </c>
      <c r="B52" s="159"/>
      <c r="C52" s="13" t="s">
        <v>72</v>
      </c>
      <c r="D52" s="11" t="s">
        <v>73</v>
      </c>
      <c r="E52" s="26">
        <f>SUM(E47:E51)</f>
        <v>76642904.689562351</v>
      </c>
      <c r="F52" s="24"/>
      <c r="G52" s="24" t="s">
        <v>74</v>
      </c>
      <c r="H52" s="61">
        <f>IF(J52&gt;0,J52/E52,0)</f>
        <v>0</v>
      </c>
      <c r="I52" s="24"/>
      <c r="J52" s="26">
        <f>SUM(J47:J51)</f>
        <v>0</v>
      </c>
      <c r="K52" s="11"/>
      <c r="L52" s="11"/>
    </row>
    <row r="53" spans="1:12">
      <c r="A53" s="7"/>
      <c r="B53" s="159"/>
      <c r="C53" s="4"/>
      <c r="D53" s="11"/>
      <c r="E53" s="26"/>
      <c r="F53" s="11"/>
      <c r="G53" s="4"/>
      <c r="H53" s="4"/>
      <c r="I53" s="11"/>
      <c r="J53" s="26"/>
      <c r="K53" s="11"/>
      <c r="L53" s="62"/>
    </row>
    <row r="54" spans="1:12">
      <c r="A54" s="7">
        <f>+A52+1</f>
        <v>21</v>
      </c>
      <c r="B54" s="159"/>
      <c r="C54" s="5" t="s">
        <v>1154</v>
      </c>
      <c r="D54" s="11"/>
      <c r="E54" s="26"/>
      <c r="F54" s="11"/>
      <c r="G54" s="11"/>
      <c r="H54" s="11"/>
      <c r="I54" s="11"/>
      <c r="J54" s="26"/>
      <c r="K54" s="11"/>
      <c r="L54" s="11"/>
    </row>
    <row r="55" spans="1:12">
      <c r="A55" s="7">
        <f>+A54+1</f>
        <v>22</v>
      </c>
      <c r="B55" s="159"/>
      <c r="C55" s="13" t="s">
        <v>76</v>
      </c>
      <c r="D55" s="24" t="str">
        <f>+'Attachment H'!$B$2&amp;", Page 2, Line "&amp;'Attachment H'!A87</f>
        <v>Attachment H, Page 2, Line 22</v>
      </c>
      <c r="E55" s="26">
        <f>+'Attachment H'!D87</f>
        <v>0</v>
      </c>
      <c r="F55" s="11"/>
      <c r="G55" s="11" t="s">
        <v>48</v>
      </c>
      <c r="H55" s="63" t="s">
        <v>78</v>
      </c>
      <c r="I55" s="24"/>
      <c r="J55" s="26">
        <v>0</v>
      </c>
      <c r="K55" s="11"/>
      <c r="L55" s="62"/>
    </row>
    <row r="56" spans="1:12">
      <c r="A56" s="7">
        <f>+A55+1</f>
        <v>23</v>
      </c>
      <c r="B56" s="159"/>
      <c r="C56" s="13" t="s">
        <v>79</v>
      </c>
      <c r="D56" s="24" t="str">
        <f>+'Attachment H'!$B$2&amp;", Page 2, Line "&amp;'Attachment H'!A88</f>
        <v>Attachment H, Page 2, Line 23</v>
      </c>
      <c r="E56" s="26">
        <f>+'Attachment H'!D88</f>
        <v>-2694854.1631239178</v>
      </c>
      <c r="F56" s="11"/>
      <c r="G56" s="11" t="s">
        <v>36</v>
      </c>
      <c r="H56" s="64">
        <v>1</v>
      </c>
      <c r="I56" s="24"/>
      <c r="J56" s="26">
        <f>E56*H56</f>
        <v>-2694854.1631239178</v>
      </c>
      <c r="K56" s="11"/>
      <c r="L56" s="62"/>
    </row>
    <row r="57" spans="1:12">
      <c r="A57" s="7">
        <f>+A56+1</f>
        <v>24</v>
      </c>
      <c r="B57" s="159"/>
      <c r="C57" s="13" t="s">
        <v>81</v>
      </c>
      <c r="D57" s="24" t="str">
        <f>+'Attachment H'!$B$2&amp;", Page 2, Line "&amp;'Attachment H'!A89</f>
        <v>Attachment H, Page 2, Line 24</v>
      </c>
      <c r="E57" s="26">
        <f>+'Attachment H'!D89</f>
        <v>0</v>
      </c>
      <c r="F57" s="11"/>
      <c r="G57" s="11" t="s">
        <v>36</v>
      </c>
      <c r="H57" s="64">
        <v>1</v>
      </c>
      <c r="I57" s="24"/>
      <c r="J57" s="26">
        <f>E57*H57</f>
        <v>0</v>
      </c>
      <c r="K57" s="11"/>
      <c r="L57" s="62"/>
    </row>
    <row r="58" spans="1:12">
      <c r="A58" s="7">
        <f>+A57+1</f>
        <v>25</v>
      </c>
      <c r="B58" s="159"/>
      <c r="C58" s="13" t="s">
        <v>83</v>
      </c>
      <c r="D58" s="24" t="str">
        <f>+'Attachment H'!$B$2&amp;", Page 2, Line "&amp;'Attachment H'!A90</f>
        <v>Attachment H, Page 2, Line 25</v>
      </c>
      <c r="E58" s="26">
        <f>+'Attachment H'!D90</f>
        <v>0</v>
      </c>
      <c r="F58" s="11"/>
      <c r="G58" s="11" t="s">
        <v>36</v>
      </c>
      <c r="H58" s="64">
        <v>1</v>
      </c>
      <c r="I58" s="24"/>
      <c r="J58" s="26">
        <f>E58*H58</f>
        <v>0</v>
      </c>
      <c r="K58" s="11"/>
      <c r="L58" s="62"/>
    </row>
    <row r="59" spans="1:12">
      <c r="A59" s="7">
        <f>+A58+1</f>
        <v>26</v>
      </c>
      <c r="B59" s="159"/>
      <c r="C59" s="4" t="s">
        <v>85</v>
      </c>
      <c r="D59" s="24" t="str">
        <f>+'Attachment H'!$B$2&amp;", Page 2, Line "&amp;'Attachment H'!A91</f>
        <v>Attachment H, Page 2, Line 26</v>
      </c>
      <c r="E59" s="26">
        <f>+'Attachment H'!D91</f>
        <v>0</v>
      </c>
      <c r="F59" s="11"/>
      <c r="G59" s="11" t="s">
        <v>87</v>
      </c>
      <c r="H59" s="64">
        <f>+H51</f>
        <v>0</v>
      </c>
      <c r="I59" s="24"/>
      <c r="J59" s="26">
        <f>E59*H59</f>
        <v>0</v>
      </c>
      <c r="K59" s="11"/>
      <c r="L59" s="62"/>
    </row>
    <row r="60" spans="1:12">
      <c r="A60" s="7" t="s">
        <v>88</v>
      </c>
      <c r="B60" s="159"/>
      <c r="C60" s="4" t="s">
        <v>89</v>
      </c>
      <c r="D60" s="24" t="s">
        <v>1155</v>
      </c>
      <c r="E60" s="26">
        <f>+'Attachment H'!D92</f>
        <v>0</v>
      </c>
      <c r="F60" s="11"/>
      <c r="G60" s="11" t="s">
        <v>36</v>
      </c>
      <c r="H60" s="64">
        <v>1</v>
      </c>
      <c r="I60" s="24"/>
      <c r="J60" s="26">
        <f>+H60*E60</f>
        <v>0</v>
      </c>
      <c r="K60" s="11"/>
      <c r="L60" s="62"/>
    </row>
    <row r="61" spans="1:12">
      <c r="A61" s="7">
        <f>+A59+1</f>
        <v>27</v>
      </c>
      <c r="B61" s="159"/>
      <c r="C61" s="34" t="s">
        <v>91</v>
      </c>
      <c r="D61" s="24" t="str">
        <f>+'Attachment H'!$B$2&amp;", Page 2, Line "&amp;'Attachment H'!A93</f>
        <v>Attachment H, Page 2, Line 27</v>
      </c>
      <c r="E61" s="26">
        <f>+'Attachment H'!D93</f>
        <v>0</v>
      </c>
      <c r="F61" s="39"/>
      <c r="G61" s="39" t="s">
        <v>48</v>
      </c>
      <c r="H61" s="64"/>
      <c r="I61" s="39"/>
      <c r="J61" s="26">
        <f>+H61*E61</f>
        <v>0</v>
      </c>
      <c r="K61" s="3"/>
      <c r="L61" s="62"/>
    </row>
    <row r="62" spans="1:12">
      <c r="A62" s="7">
        <f>+A61+1</f>
        <v>28</v>
      </c>
      <c r="B62" s="159"/>
      <c r="C62" s="34" t="s">
        <v>93</v>
      </c>
      <c r="D62" s="24" t="str">
        <f>+'Attachment H'!$B$2&amp;", Page 2, Line "&amp;'Attachment H'!A94</f>
        <v>Attachment H, Page 2, Line 28</v>
      </c>
      <c r="E62" s="26">
        <f>+'Attachment H'!D94</f>
        <v>0</v>
      </c>
      <c r="F62" s="39"/>
      <c r="G62" s="39" t="s">
        <v>36</v>
      </c>
      <c r="H62" s="64">
        <v>1</v>
      </c>
      <c r="I62" s="39"/>
      <c r="J62" s="26">
        <f>+H62*E62</f>
        <v>0</v>
      </c>
      <c r="K62" s="3"/>
      <c r="L62" s="62"/>
    </row>
    <row r="63" spans="1:12" ht="15.75" thickBot="1">
      <c r="A63" s="7">
        <f>+A62+1</f>
        <v>29</v>
      </c>
      <c r="B63" s="159"/>
      <c r="C63" s="34" t="s">
        <v>95</v>
      </c>
      <c r="D63" s="24" t="str">
        <f>+'Attachment H'!$B$2&amp;", Page 2, Line "&amp;'Attachment H'!A95</f>
        <v>Attachment H, Page 2, Line 29</v>
      </c>
      <c r="E63" s="60">
        <f>+'Attachment H'!D95</f>
        <v>0</v>
      </c>
      <c r="F63" s="39"/>
      <c r="G63" s="39" t="s">
        <v>36</v>
      </c>
      <c r="H63" s="64">
        <v>1</v>
      </c>
      <c r="I63" s="39"/>
      <c r="J63" s="60">
        <f>+H63*E63</f>
        <v>0</v>
      </c>
      <c r="K63" s="3"/>
      <c r="L63" s="62"/>
    </row>
    <row r="64" spans="1:12">
      <c r="A64" s="7">
        <f>+A63+1</f>
        <v>30</v>
      </c>
      <c r="B64" s="159"/>
      <c r="C64" s="13" t="s">
        <v>97</v>
      </c>
      <c r="D64" s="11" t="s">
        <v>98</v>
      </c>
      <c r="E64" s="26">
        <f>SUM(E55:E63)</f>
        <v>-2694854.1631239178</v>
      </c>
      <c r="F64" s="11"/>
      <c r="G64" s="11"/>
      <c r="H64" s="24"/>
      <c r="I64" s="24"/>
      <c r="J64" s="26">
        <f>SUM(J55:J63)</f>
        <v>-2694854.1631239178</v>
      </c>
      <c r="K64" s="11"/>
      <c r="L64" s="11"/>
    </row>
    <row r="65" spans="1:15">
      <c r="A65" s="7"/>
      <c r="B65" s="159"/>
      <c r="C65" s="4"/>
      <c r="D65" s="11"/>
      <c r="E65" s="26"/>
      <c r="F65" s="11"/>
      <c r="G65" s="11"/>
      <c r="H65" s="62"/>
      <c r="I65" s="11"/>
      <c r="J65" s="26"/>
      <c r="K65" s="11"/>
      <c r="L65" s="62"/>
    </row>
    <row r="66" spans="1:15">
      <c r="A66" s="7">
        <f>+A64+1</f>
        <v>31</v>
      </c>
      <c r="B66" s="159"/>
      <c r="C66" s="5" t="s">
        <v>1156</v>
      </c>
      <c r="D66" s="24" t="s">
        <v>1157</v>
      </c>
      <c r="E66" s="57"/>
      <c r="F66" s="11"/>
      <c r="G66" s="11" t="s">
        <v>36</v>
      </c>
      <c r="H66" s="23">
        <v>1</v>
      </c>
      <c r="I66" s="24"/>
      <c r="J66" s="26">
        <f>+H66*E66</f>
        <v>0</v>
      </c>
      <c r="K66" s="11"/>
      <c r="L66" s="11"/>
    </row>
    <row r="67" spans="1:15">
      <c r="A67" s="7"/>
      <c r="B67" s="159"/>
      <c r="C67" s="13"/>
      <c r="D67" s="11"/>
      <c r="E67" s="26"/>
      <c r="F67" s="11"/>
      <c r="G67" s="11"/>
      <c r="H67" s="23"/>
      <c r="I67" s="24"/>
      <c r="J67" s="26"/>
      <c r="K67" s="11"/>
      <c r="L67" s="11"/>
    </row>
    <row r="68" spans="1:15">
      <c r="A68" s="7">
        <f>+A66+1</f>
        <v>32</v>
      </c>
      <c r="B68" s="159"/>
      <c r="C68" s="13" t="s">
        <v>101</v>
      </c>
      <c r="D68" s="11"/>
      <c r="E68" s="26"/>
      <c r="F68" s="11"/>
      <c r="G68" s="11"/>
      <c r="H68" s="23"/>
      <c r="I68" s="24"/>
      <c r="J68" s="26"/>
      <c r="K68" s="11"/>
      <c r="L68" s="11"/>
    </row>
    <row r="69" spans="1:15">
      <c r="A69" s="7">
        <f>+A68+1</f>
        <v>33</v>
      </c>
      <c r="B69" s="159"/>
      <c r="C69" s="13" t="s">
        <v>103</v>
      </c>
      <c r="D69" s="4" t="s">
        <v>1158</v>
      </c>
      <c r="E69" s="26">
        <f>(E94)/8</f>
        <v>439629.36361272057</v>
      </c>
      <c r="F69" s="11"/>
      <c r="G69" s="11"/>
      <c r="H69" s="23"/>
      <c r="I69" s="24"/>
      <c r="J69" s="26">
        <f>(J94)/8</f>
        <v>0</v>
      </c>
      <c r="K69" s="13"/>
      <c r="L69" s="62"/>
    </row>
    <row r="70" spans="1:15">
      <c r="A70" s="7">
        <f>+A69+1</f>
        <v>34</v>
      </c>
      <c r="B70" s="159"/>
      <c r="C70" s="13" t="s">
        <v>1159</v>
      </c>
      <c r="D70" s="24" t="s">
        <v>1160</v>
      </c>
      <c r="E70" s="57">
        <f>+'4- Rate Base'!G83</f>
        <v>0</v>
      </c>
      <c r="F70" s="11"/>
      <c r="G70" s="11" t="s">
        <v>36</v>
      </c>
      <c r="H70" s="23">
        <v>1</v>
      </c>
      <c r="I70" s="24"/>
      <c r="J70" s="26">
        <f>+H70*E70</f>
        <v>0</v>
      </c>
      <c r="K70" s="11" t="s">
        <v>9</v>
      </c>
      <c r="L70" s="62"/>
    </row>
    <row r="71" spans="1:15" ht="15.75" thickBot="1">
      <c r="A71" s="7">
        <f>+A70+1</f>
        <v>35</v>
      </c>
      <c r="B71" s="159"/>
      <c r="C71" s="13" t="s">
        <v>107</v>
      </c>
      <c r="D71" s="24" t="str">
        <f>+'Attachment H'!$B$2&amp;", Page 2, Line "&amp;'Attachment H'!A103</f>
        <v>Attachment H, Page 2, Line 35</v>
      </c>
      <c r="E71" s="59">
        <f>+'4- Rate Base'!H83</f>
        <v>0</v>
      </c>
      <c r="F71" s="11"/>
      <c r="G71" s="11" t="s">
        <v>109</v>
      </c>
      <c r="H71" s="23">
        <f>+H36</f>
        <v>0</v>
      </c>
      <c r="I71" s="24"/>
      <c r="J71" s="60">
        <f>+H71*E71</f>
        <v>0</v>
      </c>
      <c r="K71" s="11"/>
      <c r="L71" s="62"/>
    </row>
    <row r="72" spans="1:15">
      <c r="A72" s="7">
        <f>+A71+1</f>
        <v>36</v>
      </c>
      <c r="B72" s="159"/>
      <c r="C72" s="13" t="s">
        <v>110</v>
      </c>
      <c r="D72" s="13" t="s">
        <v>111</v>
      </c>
      <c r="E72" s="26">
        <f>SUM(E69:E71)</f>
        <v>439629.36361272057</v>
      </c>
      <c r="F72" s="13"/>
      <c r="G72" s="13"/>
      <c r="H72" s="1"/>
      <c r="I72" s="1"/>
      <c r="J72" s="26">
        <f>J69+J70+J71</f>
        <v>0</v>
      </c>
      <c r="K72" s="13"/>
      <c r="L72" s="13"/>
    </row>
    <row r="73" spans="1:15" ht="15.75" thickBot="1">
      <c r="A73" s="7"/>
      <c r="B73" s="159"/>
      <c r="C73" s="4"/>
      <c r="D73" s="11"/>
      <c r="E73" s="60"/>
      <c r="F73" s="11"/>
      <c r="G73" s="11"/>
      <c r="H73" s="11"/>
      <c r="I73" s="11"/>
      <c r="J73" s="60"/>
      <c r="K73" s="11"/>
      <c r="L73" s="11"/>
    </row>
    <row r="74" spans="1:15" ht="15.75" thickBot="1">
      <c r="A74" s="7">
        <f>+A72+1</f>
        <v>37</v>
      </c>
      <c r="B74" s="159"/>
      <c r="C74" s="13" t="s">
        <v>112</v>
      </c>
      <c r="D74" s="11" t="s">
        <v>113</v>
      </c>
      <c r="E74" s="66">
        <f>+E72+E66+E64+E52</f>
        <v>74387679.890051156</v>
      </c>
      <c r="F74" s="24"/>
      <c r="G74" s="24"/>
      <c r="H74" s="67"/>
      <c r="I74" s="24"/>
      <c r="J74" s="66">
        <f>+J72+J66+J64+J52</f>
        <v>-2694854.1631239178</v>
      </c>
      <c r="K74" s="11"/>
      <c r="L74" s="62"/>
    </row>
    <row r="75" spans="1:15" ht="15.75" thickTop="1">
      <c r="A75" s="7"/>
      <c r="B75" s="159"/>
      <c r="C75" s="13"/>
      <c r="D75" s="11"/>
      <c r="E75" s="24"/>
      <c r="F75" s="24"/>
      <c r="G75" s="24"/>
      <c r="H75" s="67"/>
      <c r="I75" s="24"/>
      <c r="J75" s="24"/>
      <c r="K75" s="11"/>
      <c r="L75" s="62"/>
    </row>
    <row r="76" spans="1:15">
      <c r="A76" s="7"/>
      <c r="B76" s="159"/>
      <c r="C76" s="13"/>
      <c r="D76" s="11"/>
      <c r="E76" s="24"/>
      <c r="F76" s="24"/>
      <c r="G76" s="24"/>
      <c r="H76" s="67"/>
      <c r="I76" s="24"/>
      <c r="J76" s="24"/>
      <c r="K76" s="11"/>
      <c r="L76" s="62"/>
    </row>
    <row r="77" spans="1:15" ht="24" customHeight="1">
      <c r="A77" s="7"/>
      <c r="B77" s="159"/>
      <c r="C77" s="13"/>
      <c r="D77" s="11"/>
      <c r="E77" s="11"/>
      <c r="F77" s="11"/>
      <c r="G77" s="11"/>
      <c r="H77" s="11"/>
      <c r="I77" s="11"/>
      <c r="J77" s="11"/>
      <c r="K77" s="11"/>
      <c r="O77" s="69" t="s">
        <v>1161</v>
      </c>
    </row>
    <row r="78" spans="1:15">
      <c r="A78" s="7"/>
      <c r="B78" s="159"/>
      <c r="C78" s="13"/>
      <c r="D78" s="11"/>
      <c r="E78" s="11"/>
      <c r="F78" s="11"/>
      <c r="G78" s="11"/>
      <c r="H78" s="11"/>
      <c r="I78" s="11"/>
      <c r="J78" s="11"/>
      <c r="K78" s="11"/>
      <c r="L78" s="69"/>
    </row>
    <row r="79" spans="1:15">
      <c r="A79" s="7"/>
      <c r="B79" s="159"/>
      <c r="C79" s="13" t="s">
        <v>2</v>
      </c>
      <c r="D79" s="11"/>
      <c r="E79" s="12"/>
      <c r="F79" s="11"/>
      <c r="G79" s="186" t="s">
        <v>1110</v>
      </c>
      <c r="H79" s="11"/>
      <c r="I79" s="11"/>
      <c r="J79" s="1"/>
      <c r="K79" s="11"/>
      <c r="L79" s="69"/>
    </row>
    <row r="80" spans="1:15">
      <c r="A80" s="7"/>
      <c r="B80" s="159"/>
      <c r="C80" s="13"/>
      <c r="D80" s="11"/>
      <c r="E80" s="12"/>
      <c r="F80" s="11"/>
      <c r="G80" s="186" t="s">
        <v>1111</v>
      </c>
      <c r="H80" s="11"/>
      <c r="I80" s="11"/>
      <c r="J80" s="11"/>
      <c r="K80" s="11"/>
      <c r="L80" s="11"/>
    </row>
    <row r="81" spans="1:12">
      <c r="A81" s="7"/>
      <c r="B81" s="159"/>
      <c r="C81" s="4"/>
      <c r="D81" s="11"/>
      <c r="E81" s="12"/>
      <c r="F81" s="11"/>
      <c r="G81" s="186" t="s">
        <v>835</v>
      </c>
      <c r="H81" s="11"/>
      <c r="I81" s="11"/>
      <c r="J81" s="11"/>
      <c r="K81" s="11"/>
      <c r="L81" s="11"/>
    </row>
    <row r="82" spans="1:12">
      <c r="A82" s="927"/>
      <c r="B82" s="159"/>
      <c r="C82" s="927"/>
      <c r="D82" s="927"/>
      <c r="E82" s="927"/>
      <c r="F82" s="927"/>
      <c r="G82" s="927"/>
      <c r="H82" s="927"/>
      <c r="I82" s="927"/>
      <c r="J82" s="927"/>
      <c r="K82" s="927"/>
      <c r="L82" s="927"/>
    </row>
    <row r="83" spans="1:12">
      <c r="A83" s="7"/>
      <c r="B83" s="159"/>
      <c r="C83" s="18" t="s">
        <v>6</v>
      </c>
      <c r="D83" s="18" t="s">
        <v>7</v>
      </c>
      <c r="E83" s="18" t="s">
        <v>8</v>
      </c>
      <c r="F83" s="11" t="s">
        <v>9</v>
      </c>
      <c r="G83" s="11"/>
      <c r="H83" s="17" t="s">
        <v>10</v>
      </c>
      <c r="I83" s="11"/>
      <c r="J83" s="17" t="s">
        <v>11</v>
      </c>
      <c r="K83" s="11"/>
      <c r="L83" s="11"/>
    </row>
    <row r="84" spans="1:12">
      <c r="A84" s="7" t="s">
        <v>12</v>
      </c>
      <c r="B84" s="159"/>
      <c r="C84" s="13"/>
      <c r="D84" s="52"/>
      <c r="E84" s="11"/>
      <c r="F84" s="11"/>
      <c r="G84" s="11"/>
      <c r="H84" s="7"/>
      <c r="I84" s="11"/>
      <c r="J84" s="53" t="s">
        <v>1147</v>
      </c>
      <c r="K84" s="11"/>
      <c r="L84" s="53"/>
    </row>
    <row r="85" spans="1:12" ht="15.75" thickBot="1">
      <c r="A85" s="19" t="s">
        <v>14</v>
      </c>
      <c r="B85" s="159"/>
      <c r="C85" s="13"/>
      <c r="D85" s="54" t="s">
        <v>40</v>
      </c>
      <c r="E85" s="53" t="s">
        <v>41</v>
      </c>
      <c r="F85" s="55"/>
      <c r="G85" s="53" t="s">
        <v>42</v>
      </c>
      <c r="H85" s="4"/>
      <c r="I85" s="55"/>
      <c r="J85" s="7" t="s">
        <v>43</v>
      </c>
      <c r="K85" s="11"/>
      <c r="L85" s="53"/>
    </row>
    <row r="86" spans="1:12">
      <c r="A86" s="7"/>
      <c r="B86" s="159"/>
      <c r="C86" s="13" t="s">
        <v>115</v>
      </c>
      <c r="D86" s="11"/>
      <c r="E86" s="11"/>
      <c r="F86" s="11"/>
      <c r="G86" s="11"/>
      <c r="H86" s="11"/>
      <c r="I86" s="11"/>
      <c r="J86" s="11"/>
      <c r="K86" s="11"/>
      <c r="L86" s="11"/>
    </row>
    <row r="87" spans="1:12">
      <c r="A87" s="7">
        <v>1</v>
      </c>
      <c r="B87" s="159"/>
      <c r="C87" s="13" t="s">
        <v>1162</v>
      </c>
      <c r="D87" s="381" t="s">
        <v>1163</v>
      </c>
      <c r="E87" s="57"/>
      <c r="F87" s="11"/>
      <c r="G87" s="11" t="s">
        <v>36</v>
      </c>
      <c r="H87" s="23">
        <v>1</v>
      </c>
      <c r="I87" s="24"/>
      <c r="J87" s="26">
        <f t="shared" ref="J87:J93" si="5">+H87*E87</f>
        <v>0</v>
      </c>
      <c r="K87" s="13"/>
      <c r="L87" s="11"/>
    </row>
    <row r="88" spans="1:12">
      <c r="A88" s="33">
        <f>+A87+1</f>
        <v>2</v>
      </c>
      <c r="B88" s="159"/>
      <c r="C88" s="13" t="s">
        <v>122</v>
      </c>
      <c r="D88" s="24" t="str">
        <f>+'Attachment H'!$B$2&amp;", Page 3, Line "&amp;'Attachment H'!A122</f>
        <v>Attachment H, Page 3, Line 4</v>
      </c>
      <c r="E88" s="26">
        <f>+'Attachment H'!D122</f>
        <v>3517034.9089017645</v>
      </c>
      <c r="F88" s="11"/>
      <c r="G88" s="11" t="s">
        <v>55</v>
      </c>
      <c r="H88" s="23">
        <f>+H42</f>
        <v>0</v>
      </c>
      <c r="I88" s="24"/>
      <c r="J88" s="26">
        <f t="shared" si="5"/>
        <v>0</v>
      </c>
      <c r="K88" s="11"/>
      <c r="L88" s="11" t="s">
        <v>9</v>
      </c>
    </row>
    <row r="89" spans="1:12">
      <c r="A89" s="33">
        <f t="shared" ref="A89:A126" si="6">+A88+1</f>
        <v>3</v>
      </c>
      <c r="B89" s="159"/>
      <c r="C89" s="13" t="s">
        <v>124</v>
      </c>
      <c r="D89" s="24" t="str">
        <f>+'Attachment H'!$B$2&amp;", Page 3, Line "&amp;'Attachment H'!A123</f>
        <v>Attachment H, Page 3, Line 5</v>
      </c>
      <c r="E89" s="26">
        <f>+'Attachment H'!D123</f>
        <v>0</v>
      </c>
      <c r="F89" s="11"/>
      <c r="G89" s="11" t="s">
        <v>55</v>
      </c>
      <c r="H89" s="23">
        <f>+H88</f>
        <v>0</v>
      </c>
      <c r="I89" s="24"/>
      <c r="J89" s="26">
        <f t="shared" si="5"/>
        <v>0</v>
      </c>
      <c r="K89" s="11"/>
      <c r="L89" s="11"/>
    </row>
    <row r="90" spans="1:12">
      <c r="A90" s="33">
        <f t="shared" si="6"/>
        <v>4</v>
      </c>
      <c r="B90" s="159"/>
      <c r="C90" s="13" t="s">
        <v>126</v>
      </c>
      <c r="D90" s="24" t="str">
        <f>+'Attachment H'!$B$2&amp;", Page 3, Line "&amp;'Attachment H'!A124</f>
        <v>Attachment H, Page 3, Line 6</v>
      </c>
      <c r="E90" s="26">
        <f>+'Attachment H'!D124</f>
        <v>0</v>
      </c>
      <c r="F90" s="11"/>
      <c r="G90" s="11" t="s">
        <v>55</v>
      </c>
      <c r="H90" s="23">
        <f>+H89</f>
        <v>0</v>
      </c>
      <c r="I90" s="24"/>
      <c r="J90" s="26">
        <f t="shared" si="5"/>
        <v>0</v>
      </c>
      <c r="K90" s="11"/>
      <c r="L90" s="11"/>
    </row>
    <row r="91" spans="1:12">
      <c r="A91" s="33">
        <f t="shared" si="6"/>
        <v>5</v>
      </c>
      <c r="B91" s="159"/>
      <c r="C91" s="13" t="s">
        <v>129</v>
      </c>
      <c r="D91" s="24" t="str">
        <f>+'Attachment H'!$B$2&amp;", Page 3, Line "&amp;'Attachment H'!A125</f>
        <v>Attachment H, Page 3, Line 6a</v>
      </c>
      <c r="E91" s="26">
        <f>+'Attachment H'!D125</f>
        <v>0</v>
      </c>
      <c r="F91" s="72"/>
      <c r="G91" s="11" t="s">
        <v>55</v>
      </c>
      <c r="H91" s="23">
        <f>+H90</f>
        <v>0</v>
      </c>
      <c r="I91" s="24"/>
      <c r="J91" s="26">
        <f t="shared" si="5"/>
        <v>0</v>
      </c>
      <c r="K91" s="72"/>
      <c r="L91" s="72"/>
    </row>
    <row r="92" spans="1:12">
      <c r="A92" s="33">
        <f>+A91+1</f>
        <v>6</v>
      </c>
      <c r="B92" s="159"/>
      <c r="C92" s="13" t="s">
        <v>134</v>
      </c>
      <c r="D92" s="24" t="str">
        <f>+'Attachment H'!$B$2&amp;", Page 3, Line "&amp;'Attachment H'!A127</f>
        <v>Attachment H, Page 3, Line 7a</v>
      </c>
      <c r="E92" s="26">
        <f>+'Attachment H'!D127</f>
        <v>0</v>
      </c>
      <c r="F92" s="72"/>
      <c r="G92" s="11" t="s">
        <v>55</v>
      </c>
      <c r="H92" s="23">
        <f>+H91</f>
        <v>0</v>
      </c>
      <c r="I92" s="24"/>
      <c r="J92" s="26">
        <f t="shared" si="5"/>
        <v>0</v>
      </c>
      <c r="K92" s="72"/>
      <c r="L92" s="72"/>
    </row>
    <row r="93" spans="1:12">
      <c r="A93" s="33">
        <f t="shared" si="6"/>
        <v>7</v>
      </c>
      <c r="B93" s="159"/>
      <c r="C93" s="13" t="s">
        <v>56</v>
      </c>
      <c r="D93" s="24" t="str">
        <f>+'Attachment H'!$B$2&amp;", Page 3, Line "&amp;'Attachment H'!A128</f>
        <v>Attachment H, Page 3, Line 8</v>
      </c>
      <c r="E93" s="26">
        <f>+'Attachment H'!D128</f>
        <v>0</v>
      </c>
      <c r="F93" s="11"/>
      <c r="G93" s="11" t="s">
        <v>58</v>
      </c>
      <c r="H93" s="23">
        <f>+H43</f>
        <v>0</v>
      </c>
      <c r="I93" s="24"/>
      <c r="J93" s="26">
        <f t="shared" si="5"/>
        <v>0</v>
      </c>
      <c r="K93" s="11"/>
      <c r="L93" s="11"/>
    </row>
    <row r="94" spans="1:12">
      <c r="A94" s="33">
        <f t="shared" si="6"/>
        <v>8</v>
      </c>
      <c r="B94" s="159"/>
      <c r="C94" s="77" t="s">
        <v>146</v>
      </c>
      <c r="D94" s="78" t="s">
        <v>1164</v>
      </c>
      <c r="E94" s="26">
        <f>+E87+E88-E89-E90-E91+E92+E93</f>
        <v>3517034.9089017645</v>
      </c>
      <c r="F94" s="26"/>
      <c r="G94" s="26"/>
      <c r="H94" s="26"/>
      <c r="I94" s="26"/>
      <c r="J94" s="26">
        <f>+J87+J88-J89-J90-J91+J92+J93</f>
        <v>0</v>
      </c>
      <c r="K94" s="11"/>
      <c r="L94" s="11"/>
    </row>
    <row r="95" spans="1:12">
      <c r="A95" s="33"/>
      <c r="B95" s="159"/>
      <c r="C95" s="4"/>
      <c r="D95" s="11"/>
      <c r="E95" s="26"/>
      <c r="F95" s="26"/>
      <c r="G95" s="26"/>
      <c r="H95" s="26"/>
      <c r="I95" s="26"/>
      <c r="J95" s="26"/>
      <c r="K95" s="11"/>
      <c r="L95" s="11"/>
    </row>
    <row r="96" spans="1:12">
      <c r="A96" s="33">
        <f>+A94+1</f>
        <v>9</v>
      </c>
      <c r="B96" s="159"/>
      <c r="C96" s="13" t="s">
        <v>1165</v>
      </c>
      <c r="D96" s="11"/>
      <c r="E96" s="26"/>
      <c r="F96" s="26"/>
      <c r="G96" s="26"/>
      <c r="H96" s="26"/>
      <c r="I96" s="26"/>
      <c r="J96" s="26"/>
      <c r="K96" s="11"/>
      <c r="L96" s="11"/>
    </row>
    <row r="97" spans="1:12">
      <c r="A97" s="33">
        <f t="shared" si="6"/>
        <v>10</v>
      </c>
      <c r="B97" s="159"/>
      <c r="C97" s="13" t="s">
        <v>1162</v>
      </c>
      <c r="D97" s="65" t="s">
        <v>1166</v>
      </c>
      <c r="E97" s="57"/>
      <c r="F97" s="26"/>
      <c r="G97" s="11" t="s">
        <v>1167</v>
      </c>
      <c r="H97" s="23">
        <f>+H66</f>
        <v>1</v>
      </c>
      <c r="I97" s="26"/>
      <c r="J97" s="26">
        <f>+H97*E97</f>
        <v>0</v>
      </c>
      <c r="K97" s="11"/>
      <c r="L97" s="62"/>
    </row>
    <row r="98" spans="1:12">
      <c r="A98" s="33">
        <f t="shared" si="6"/>
        <v>11</v>
      </c>
      <c r="B98" s="159"/>
      <c r="C98" s="79" t="s">
        <v>53</v>
      </c>
      <c r="D98" s="24" t="str">
        <f>+'Attachment H'!$B$2&amp;", Page 3, Line "&amp;'Attachment H'!A138</f>
        <v>Attachment H, Page 3, Line 17</v>
      </c>
      <c r="E98" s="26">
        <f>+'Attachment H'!D138</f>
        <v>0</v>
      </c>
      <c r="F98" s="26"/>
      <c r="G98" s="26" t="s">
        <v>55</v>
      </c>
      <c r="H98" s="26">
        <f>+H88</f>
        <v>0</v>
      </c>
      <c r="I98" s="26"/>
      <c r="J98" s="26">
        <f>+H98*E98</f>
        <v>0</v>
      </c>
      <c r="K98" s="11"/>
      <c r="L98" s="62"/>
    </row>
    <row r="99" spans="1:12">
      <c r="A99" s="33">
        <f t="shared" si="6"/>
        <v>12</v>
      </c>
      <c r="B99" s="159"/>
      <c r="C99" s="13" t="s">
        <v>56</v>
      </c>
      <c r="D99" s="24" t="str">
        <f>+'Attachment H'!$B$2&amp;", Page 3, Line "&amp;'Attachment H'!A139</f>
        <v>Attachment H, Page 3, Line 18</v>
      </c>
      <c r="E99" s="26">
        <f>+'Attachment H'!D139</f>
        <v>0</v>
      </c>
      <c r="F99" s="26"/>
      <c r="G99" s="26" t="s">
        <v>58</v>
      </c>
      <c r="H99" s="26">
        <f>+H93</f>
        <v>0</v>
      </c>
      <c r="I99" s="26"/>
      <c r="J99" s="26">
        <f>+H99*E99</f>
        <v>0</v>
      </c>
      <c r="K99" s="11"/>
      <c r="L99" s="62"/>
    </row>
    <row r="100" spans="1:12">
      <c r="A100" s="33">
        <f t="shared" si="6"/>
        <v>13</v>
      </c>
      <c r="B100" s="159"/>
      <c r="C100" s="13" t="s">
        <v>154</v>
      </c>
      <c r="D100" s="11" t="s">
        <v>1168</v>
      </c>
      <c r="E100" s="26">
        <f>SUM(E97:E99)</f>
        <v>0</v>
      </c>
      <c r="F100" s="26"/>
      <c r="G100" s="26"/>
      <c r="H100" s="26"/>
      <c r="I100" s="26"/>
      <c r="J100" s="26">
        <f>SUM(J97:J99)</f>
        <v>0</v>
      </c>
      <c r="K100" s="11"/>
      <c r="L100" s="11"/>
    </row>
    <row r="101" spans="1:12">
      <c r="A101" s="33"/>
      <c r="B101" s="159"/>
      <c r="C101" s="13"/>
      <c r="D101" s="11"/>
      <c r="E101" s="26"/>
      <c r="F101" s="26"/>
      <c r="G101" s="26"/>
      <c r="H101" s="26"/>
      <c r="I101" s="26"/>
      <c r="J101" s="26"/>
      <c r="K101" s="11"/>
      <c r="L101" s="11"/>
    </row>
    <row r="102" spans="1:12">
      <c r="A102" s="33">
        <f>+A100+1</f>
        <v>14</v>
      </c>
      <c r="B102" s="159"/>
      <c r="C102" s="13" t="s">
        <v>156</v>
      </c>
      <c r="D102" s="4"/>
      <c r="E102" s="26"/>
      <c r="F102" s="26"/>
      <c r="G102" s="26"/>
      <c r="H102" s="26"/>
      <c r="I102" s="26"/>
      <c r="J102" s="26"/>
      <c r="K102" s="11"/>
      <c r="L102" s="11"/>
    </row>
    <row r="103" spans="1:12">
      <c r="A103" s="33">
        <f t="shared" si="6"/>
        <v>15</v>
      </c>
      <c r="B103" s="159"/>
      <c r="C103" s="13" t="s">
        <v>158</v>
      </c>
      <c r="D103" s="4"/>
      <c r="E103" s="26"/>
      <c r="F103" s="26"/>
      <c r="G103" s="26"/>
      <c r="H103" s="26"/>
      <c r="I103" s="26"/>
      <c r="J103" s="26"/>
      <c r="K103" s="11"/>
      <c r="L103" s="62"/>
    </row>
    <row r="104" spans="1:12">
      <c r="A104" s="33">
        <f t="shared" si="6"/>
        <v>16</v>
      </c>
      <c r="B104" s="159"/>
      <c r="C104" s="13" t="s">
        <v>159</v>
      </c>
      <c r="D104" s="24" t="str">
        <f>+'Attachment H'!$B$2&amp;", Page 3, Line "&amp;'Attachment H'!A145</f>
        <v>Attachment H, Page 3, Line 23</v>
      </c>
      <c r="E104" s="26">
        <f>+'Attachment H'!D145</f>
        <v>0</v>
      </c>
      <c r="F104" s="26"/>
      <c r="G104" s="26" t="s">
        <v>55</v>
      </c>
      <c r="H104" s="26">
        <f>+H98</f>
        <v>0</v>
      </c>
      <c r="I104" s="26"/>
      <c r="J104" s="26">
        <f>+H104*E104</f>
        <v>0</v>
      </c>
      <c r="K104" s="11"/>
      <c r="L104" s="62"/>
    </row>
    <row r="105" spans="1:12">
      <c r="A105" s="33">
        <f t="shared" si="6"/>
        <v>17</v>
      </c>
      <c r="B105" s="159"/>
      <c r="C105" s="13" t="s">
        <v>161</v>
      </c>
      <c r="D105" s="24" t="str">
        <f>+'Attachment H'!$B$2&amp;", Page 3, Line "&amp;'Attachment H'!A146</f>
        <v>Attachment H, Page 3, Line 24</v>
      </c>
      <c r="E105" s="26">
        <f>+'Attachment H'!D146</f>
        <v>0</v>
      </c>
      <c r="F105" s="26"/>
      <c r="G105" s="26" t="s">
        <v>55</v>
      </c>
      <c r="H105" s="26">
        <f>+H104</f>
        <v>0</v>
      </c>
      <c r="I105" s="26"/>
      <c r="J105" s="26">
        <f>+H105*E105</f>
        <v>0</v>
      </c>
      <c r="K105" s="11"/>
      <c r="L105" s="62"/>
    </row>
    <row r="106" spans="1:12">
      <c r="A106" s="33">
        <f t="shared" si="6"/>
        <v>18</v>
      </c>
      <c r="B106" s="159"/>
      <c r="C106" s="13" t="s">
        <v>163</v>
      </c>
      <c r="D106" s="11" t="s">
        <v>9</v>
      </c>
      <c r="E106" s="26"/>
      <c r="F106" s="26"/>
      <c r="G106" s="26"/>
      <c r="H106" s="26"/>
      <c r="I106" s="26"/>
      <c r="J106" s="26"/>
      <c r="K106" s="11"/>
      <c r="L106" s="62"/>
    </row>
    <row r="107" spans="1:12">
      <c r="A107" s="33">
        <f t="shared" si="6"/>
        <v>19</v>
      </c>
      <c r="B107" s="159"/>
      <c r="C107" s="13" t="s">
        <v>164</v>
      </c>
      <c r="D107" s="24" t="str">
        <f>+'Attachment H'!$B$2&amp;", Page 3, Line "&amp;'Attachment H'!A148</f>
        <v>Attachment H, Page 3, Line 26</v>
      </c>
      <c r="E107" s="26">
        <f>+'Attachment H'!D148</f>
        <v>1486838.0614342662</v>
      </c>
      <c r="F107" s="26"/>
      <c r="G107" s="26" t="s">
        <v>109</v>
      </c>
      <c r="H107" s="26">
        <f>+H36</f>
        <v>0</v>
      </c>
      <c r="I107" s="26"/>
      <c r="J107" s="26">
        <f>+H107*E107</f>
        <v>0</v>
      </c>
      <c r="K107" s="11"/>
      <c r="L107" s="62"/>
    </row>
    <row r="108" spans="1:12">
      <c r="A108" s="33">
        <f t="shared" si="6"/>
        <v>20</v>
      </c>
      <c r="B108" s="159"/>
      <c r="C108" s="13" t="s">
        <v>166</v>
      </c>
      <c r="D108" s="24" t="str">
        <f>+'Attachment H'!$B$2&amp;", Page 3, Line "&amp;'Attachment H'!A149</f>
        <v>Attachment H, Page 3, Line 27</v>
      </c>
      <c r="E108" s="26">
        <f>+'Attachment H'!D149</f>
        <v>0</v>
      </c>
      <c r="F108" s="26"/>
      <c r="G108" s="26" t="s">
        <v>48</v>
      </c>
      <c r="H108" s="71" t="s">
        <v>78</v>
      </c>
      <c r="I108" s="26"/>
      <c r="J108" s="26">
        <v>0</v>
      </c>
      <c r="K108" s="11"/>
      <c r="L108" s="62"/>
    </row>
    <row r="109" spans="1:12">
      <c r="A109" s="33">
        <f t="shared" si="6"/>
        <v>21</v>
      </c>
      <c r="B109" s="159"/>
      <c r="C109" s="13" t="s">
        <v>168</v>
      </c>
      <c r="D109" s="24" t="str">
        <f>+'Attachment H'!$B$2&amp;", Page 3, Line "&amp;'Attachment H'!A150</f>
        <v>Attachment H, Page 3, Line 28</v>
      </c>
      <c r="E109" s="26">
        <f>+'Attachment H'!D150</f>
        <v>0</v>
      </c>
      <c r="F109" s="26"/>
      <c r="G109" s="26" t="s">
        <v>109</v>
      </c>
      <c r="H109" s="26">
        <f>+H107</f>
        <v>0</v>
      </c>
      <c r="I109" s="26"/>
      <c r="J109" s="26">
        <f>+H109*E109</f>
        <v>0</v>
      </c>
      <c r="K109" s="11"/>
      <c r="L109" s="62"/>
    </row>
    <row r="110" spans="1:12" ht="15.75" thickBot="1">
      <c r="A110" s="33">
        <f t="shared" si="6"/>
        <v>22</v>
      </c>
      <c r="B110" s="159"/>
      <c r="C110" s="13" t="s">
        <v>170</v>
      </c>
      <c r="D110" s="24" t="str">
        <f>+'Attachment H'!$B$2&amp;", Page 3, Line "&amp;'Attachment H'!A151</f>
        <v>Attachment H, Page 3, Line 29</v>
      </c>
      <c r="E110" s="26">
        <f>+'Attachment H'!D151</f>
        <v>0</v>
      </c>
      <c r="F110" s="26"/>
      <c r="G110" s="26" t="s">
        <v>109</v>
      </c>
      <c r="H110" s="26">
        <f>+H107</f>
        <v>0</v>
      </c>
      <c r="I110" s="26"/>
      <c r="J110" s="60">
        <f>+H110*E110</f>
        <v>0</v>
      </c>
      <c r="K110" s="11"/>
      <c r="L110" s="62"/>
    </row>
    <row r="111" spans="1:12">
      <c r="A111" s="33">
        <f t="shared" si="6"/>
        <v>23</v>
      </c>
      <c r="B111" s="159"/>
      <c r="C111" s="13" t="s">
        <v>172</v>
      </c>
      <c r="D111" s="11" t="s">
        <v>1169</v>
      </c>
      <c r="E111" s="26">
        <f>SUM(E104:E110)</f>
        <v>1486838.0614342662</v>
      </c>
      <c r="F111" s="26"/>
      <c r="G111" s="26"/>
      <c r="H111" s="26"/>
      <c r="I111" s="26"/>
      <c r="J111" s="26">
        <f>SUM(J104:J110)</f>
        <v>0</v>
      </c>
      <c r="K111" s="11"/>
      <c r="L111" s="11"/>
    </row>
    <row r="112" spans="1:12">
      <c r="A112" s="33"/>
      <c r="B112" s="159"/>
      <c r="C112" s="13"/>
      <c r="D112" s="11"/>
      <c r="E112" s="11"/>
      <c r="F112" s="11"/>
      <c r="G112" s="11"/>
      <c r="H112" s="30"/>
      <c r="I112" s="11"/>
      <c r="J112" s="11"/>
      <c r="K112" s="11"/>
      <c r="L112" s="11"/>
    </row>
    <row r="113" spans="1:12">
      <c r="A113" s="33">
        <f>+A111+1</f>
        <v>24</v>
      </c>
      <c r="B113" s="159"/>
      <c r="C113" s="13" t="s">
        <v>174</v>
      </c>
      <c r="D113" s="24"/>
      <c r="E113" s="11"/>
      <c r="F113" s="11"/>
      <c r="G113" s="4"/>
      <c r="H113" s="80"/>
      <c r="I113" s="11"/>
      <c r="J113" s="4"/>
      <c r="K113" s="11"/>
      <c r="L113" s="4"/>
    </row>
    <row r="114" spans="1:12">
      <c r="A114" s="33">
        <f t="shared" si="6"/>
        <v>25</v>
      </c>
      <c r="B114" s="159"/>
      <c r="C114" s="81" t="s">
        <v>175</v>
      </c>
      <c r="D114" s="24" t="str">
        <f>+'Attachment H'!$B$2&amp;", Page 3, Line "&amp;'Attachment H'!A155</f>
        <v>Attachment H, Page 3, Line 32</v>
      </c>
      <c r="E114" s="296">
        <f>+'Attachment H'!D155</f>
        <v>0.15848853644583333</v>
      </c>
      <c r="F114" s="11"/>
      <c r="G114" s="4"/>
      <c r="H114" s="80"/>
      <c r="I114" s="11"/>
      <c r="J114" s="4"/>
      <c r="K114" s="11"/>
      <c r="L114" s="4"/>
    </row>
    <row r="115" spans="1:12">
      <c r="A115" s="33">
        <f>+A114+1</f>
        <v>26</v>
      </c>
      <c r="B115" s="159"/>
      <c r="C115" s="81" t="str">
        <f>"      1 / (1 - T) =      (T from line "&amp;A114&amp;")"</f>
        <v xml:space="preserve">      1 / (1 - T) =      (T from line 25)</v>
      </c>
      <c r="D115" s="11" t="s">
        <v>1170</v>
      </c>
      <c r="E115" s="296">
        <f>+'Attachment H'!D157</f>
        <v>1.1883379410857327</v>
      </c>
      <c r="F115" s="11"/>
      <c r="G115" s="4"/>
      <c r="H115" s="80"/>
      <c r="I115" s="11"/>
      <c r="J115" s="26"/>
      <c r="K115" s="11"/>
      <c r="L115" s="4"/>
    </row>
    <row r="116" spans="1:12">
      <c r="A116" s="33">
        <f t="shared" si="6"/>
        <v>27</v>
      </c>
      <c r="B116" s="159"/>
      <c r="C116" s="13" t="s">
        <v>177</v>
      </c>
      <c r="D116" s="24" t="str">
        <f>+'Attachment H'!$B$2&amp;", Page 3, Line "&amp;'Attachment H'!A158</f>
        <v>Attachment H, Page 3, Line 35</v>
      </c>
      <c r="E116" s="296">
        <f>+'Attachment H'!D158</f>
        <v>0</v>
      </c>
      <c r="F116" s="11"/>
      <c r="G116" s="4"/>
      <c r="H116" s="80"/>
      <c r="I116" s="11"/>
      <c r="J116" s="26"/>
      <c r="K116" s="11"/>
      <c r="L116" s="4"/>
    </row>
    <row r="117" spans="1:12">
      <c r="A117" s="33">
        <f t="shared" si="6"/>
        <v>28</v>
      </c>
      <c r="B117" s="159"/>
      <c r="C117" s="13" t="s">
        <v>179</v>
      </c>
      <c r="D117" s="24" t="str">
        <f>+'Attachment H'!$B$2&amp;", Page 3, Line "&amp;'Attachment H'!A159</f>
        <v>Attachment H, Page 3, Line 36</v>
      </c>
      <c r="E117" s="296">
        <f>+'Attachment H'!D159</f>
        <v>0</v>
      </c>
      <c r="F117" s="11"/>
      <c r="G117" s="4"/>
      <c r="H117" s="26"/>
      <c r="I117" s="11"/>
      <c r="J117" s="26"/>
      <c r="K117" s="11"/>
      <c r="L117" s="4"/>
    </row>
    <row r="118" spans="1:12">
      <c r="A118" s="33">
        <f t="shared" si="6"/>
        <v>29</v>
      </c>
      <c r="B118" s="159"/>
      <c r="C118" s="13" t="s">
        <v>181</v>
      </c>
      <c r="D118" s="24" t="str">
        <f>+'Attachment H'!$B$2&amp;", Page 3, Line "&amp;'Attachment H'!A160</f>
        <v>Attachment H, Page 3, Line 37</v>
      </c>
      <c r="E118" s="296">
        <f>+'Attachment H'!D160</f>
        <v>0</v>
      </c>
      <c r="F118" s="11"/>
      <c r="G118" s="4"/>
      <c r="H118" s="80"/>
      <c r="I118" s="11"/>
      <c r="J118" s="26"/>
      <c r="K118" s="11"/>
      <c r="L118" s="4"/>
    </row>
    <row r="119" spans="1:12">
      <c r="A119" s="33">
        <f t="shared" si="6"/>
        <v>30</v>
      </c>
      <c r="B119" s="159"/>
      <c r="C119" s="81" t="s">
        <v>183</v>
      </c>
      <c r="D119" s="82" t="s">
        <v>1171</v>
      </c>
      <c r="E119" s="71">
        <f>+(E113/(1-E113)*(J160+J161))*J73</f>
        <v>0</v>
      </c>
      <c r="F119" s="24"/>
      <c r="G119" s="24" t="s">
        <v>48</v>
      </c>
      <c r="H119" s="29"/>
      <c r="I119" s="24"/>
      <c r="J119" s="71">
        <f>+E119</f>
        <v>0</v>
      </c>
      <c r="K119" s="11"/>
      <c r="L119" s="25" t="s">
        <v>9</v>
      </c>
    </row>
    <row r="120" spans="1:12">
      <c r="A120" s="33">
        <f t="shared" si="6"/>
        <v>31</v>
      </c>
      <c r="B120" s="159"/>
      <c r="C120" s="4" t="s">
        <v>185</v>
      </c>
      <c r="D120" s="82" t="s">
        <v>1172</v>
      </c>
      <c r="E120" s="71">
        <f>+E$115*E116</f>
        <v>0</v>
      </c>
      <c r="F120" s="24"/>
      <c r="G120" s="1" t="s">
        <v>87</v>
      </c>
      <c r="H120" s="23">
        <f>H52</f>
        <v>0</v>
      </c>
      <c r="I120" s="24"/>
      <c r="J120" s="71">
        <f>+H120*E120</f>
        <v>0</v>
      </c>
      <c r="K120" s="11"/>
      <c r="L120" s="25"/>
    </row>
    <row r="121" spans="1:12">
      <c r="A121" s="33">
        <f t="shared" si="6"/>
        <v>32</v>
      </c>
      <c r="B121" s="159"/>
      <c r="C121" s="4" t="s">
        <v>187</v>
      </c>
      <c r="D121" s="82" t="s">
        <v>1173</v>
      </c>
      <c r="E121" s="71">
        <f>+E$115*E117</f>
        <v>0</v>
      </c>
      <c r="F121" s="24"/>
      <c r="G121" s="1" t="s">
        <v>87</v>
      </c>
      <c r="H121" s="23">
        <f>H120</f>
        <v>0</v>
      </c>
      <c r="I121" s="24"/>
      <c r="J121" s="71">
        <f>+H121*E121</f>
        <v>0</v>
      </c>
      <c r="K121" s="11"/>
      <c r="L121" s="25"/>
    </row>
    <row r="122" spans="1:12" ht="15.75" thickBot="1">
      <c r="A122" s="33">
        <f t="shared" si="6"/>
        <v>33</v>
      </c>
      <c r="B122" s="159"/>
      <c r="C122" s="4" t="s">
        <v>189</v>
      </c>
      <c r="D122" s="82" t="s">
        <v>1174</v>
      </c>
      <c r="E122" s="296">
        <f>+'Attachment H'!D164+E118*E115</f>
        <v>0</v>
      </c>
      <c r="F122" s="24"/>
      <c r="G122" s="1" t="s">
        <v>87</v>
      </c>
      <c r="H122" s="23">
        <f>H121</f>
        <v>0</v>
      </c>
      <c r="I122" s="24"/>
      <c r="J122" s="84">
        <f>+H122*E122</f>
        <v>0</v>
      </c>
      <c r="K122" s="11"/>
      <c r="L122" s="25"/>
    </row>
    <row r="123" spans="1:12">
      <c r="A123" s="33">
        <f t="shared" si="6"/>
        <v>34</v>
      </c>
      <c r="B123" s="159"/>
      <c r="C123" s="85" t="s">
        <v>191</v>
      </c>
      <c r="D123" s="4" t="s">
        <v>1175</v>
      </c>
      <c r="E123" s="71">
        <f>SUM(E119:E122)</f>
        <v>0</v>
      </c>
      <c r="F123" s="24"/>
      <c r="G123" s="24" t="s">
        <v>9</v>
      </c>
      <c r="H123" s="29" t="s">
        <v>9</v>
      </c>
      <c r="I123" s="24"/>
      <c r="J123" s="71">
        <f>SUM(J119:J122)</f>
        <v>0</v>
      </c>
      <c r="K123" s="11"/>
      <c r="L123" s="11"/>
    </row>
    <row r="124" spans="1:12">
      <c r="A124" s="33"/>
      <c r="B124" s="159"/>
      <c r="C124" s="4"/>
      <c r="D124" s="86"/>
      <c r="E124" s="26"/>
      <c r="F124" s="11"/>
      <c r="G124" s="11"/>
      <c r="H124" s="30"/>
      <c r="I124" s="11"/>
      <c r="J124" s="26"/>
      <c r="K124" s="11"/>
      <c r="L124" s="11"/>
    </row>
    <row r="125" spans="1:12">
      <c r="A125" s="33">
        <f>+A123+1</f>
        <v>35</v>
      </c>
      <c r="B125" s="159"/>
      <c r="C125" s="13" t="s">
        <v>193</v>
      </c>
      <c r="D125" s="3"/>
      <c r="E125" s="3"/>
      <c r="F125" s="3"/>
      <c r="G125" s="3"/>
      <c r="H125" s="3"/>
      <c r="I125" s="3"/>
      <c r="J125" s="3"/>
      <c r="K125" s="11"/>
      <c r="L125" s="4"/>
    </row>
    <row r="126" spans="1:12">
      <c r="A126" s="33">
        <f t="shared" si="6"/>
        <v>36</v>
      </c>
      <c r="B126" s="159"/>
      <c r="C126" s="85" t="s">
        <v>194</v>
      </c>
      <c r="D126" s="81" t="s">
        <v>1176</v>
      </c>
      <c r="E126" s="26">
        <f>+$J162*E74</f>
        <v>5719145.0735108219</v>
      </c>
      <c r="F126" s="24"/>
      <c r="G126" s="24" t="s">
        <v>48</v>
      </c>
      <c r="H126" s="87"/>
      <c r="I126" s="24"/>
      <c r="J126" s="26">
        <f>+$J162*J74</f>
        <v>-207188.36685914124</v>
      </c>
      <c r="K126" s="3"/>
      <c r="L126" s="62"/>
    </row>
    <row r="127" spans="1:12">
      <c r="A127" s="33"/>
      <c r="B127" s="159"/>
      <c r="C127" s="13"/>
      <c r="D127" s="4"/>
      <c r="E127" s="26"/>
      <c r="F127" s="24"/>
      <c r="G127" s="24"/>
      <c r="H127" s="87"/>
      <c r="I127" s="24"/>
      <c r="J127" s="26"/>
      <c r="K127" s="11"/>
      <c r="L127" s="62"/>
    </row>
    <row r="128" spans="1:12" ht="15.75" thickBot="1">
      <c r="A128" s="33">
        <f>+A126+1</f>
        <v>37</v>
      </c>
      <c r="B128" s="159"/>
      <c r="C128" s="13" t="s">
        <v>196</v>
      </c>
      <c r="D128" s="11" t="s">
        <v>1177</v>
      </c>
      <c r="E128" s="88">
        <f>+E126+E123+E111+E100+E94</f>
        <v>10723018.043846853</v>
      </c>
      <c r="F128" s="24"/>
      <c r="G128" s="24"/>
      <c r="H128" s="24"/>
      <c r="I128" s="24"/>
      <c r="J128" s="88">
        <f>+J126+J123+J111+J100+J94</f>
        <v>-207188.36685914124</v>
      </c>
      <c r="K128" s="13"/>
      <c r="L128" s="13"/>
    </row>
    <row r="129" spans="1:15" ht="15.75" thickTop="1">
      <c r="A129" s="33"/>
      <c r="B129" s="159"/>
      <c r="C129" s="13"/>
      <c r="D129" s="11"/>
      <c r="E129" s="24"/>
      <c r="F129" s="24"/>
      <c r="G129" s="24"/>
      <c r="H129" s="24"/>
      <c r="I129" s="24"/>
      <c r="J129" s="26"/>
      <c r="K129" s="13"/>
      <c r="L129" s="13"/>
    </row>
    <row r="130" spans="1:15">
      <c r="A130" s="33"/>
      <c r="B130" s="159"/>
      <c r="C130" s="1"/>
      <c r="D130" s="24"/>
      <c r="E130" s="24"/>
      <c r="F130" s="24"/>
      <c r="G130" s="24"/>
      <c r="H130" s="24"/>
      <c r="I130" s="24"/>
      <c r="J130" s="24"/>
      <c r="K130" s="13"/>
      <c r="L130" s="13"/>
    </row>
    <row r="131" spans="1:15">
      <c r="A131" s="7"/>
      <c r="B131" s="159"/>
      <c r="C131" s="4"/>
      <c r="D131" s="4"/>
      <c r="E131" s="4"/>
      <c r="F131" s="4"/>
      <c r="G131" s="4"/>
      <c r="H131" s="4"/>
      <c r="I131" s="4"/>
      <c r="J131" s="4"/>
      <c r="K131" s="11"/>
      <c r="O131" s="69" t="s">
        <v>1178</v>
      </c>
    </row>
    <row r="132" spans="1:15">
      <c r="A132" s="7"/>
      <c r="B132" s="159"/>
      <c r="C132" s="4"/>
      <c r="D132" s="4"/>
      <c r="E132" s="4"/>
      <c r="F132" s="4"/>
      <c r="G132" s="4"/>
      <c r="H132" s="4"/>
      <c r="I132" s="4"/>
      <c r="J132" s="4"/>
      <c r="K132" s="11"/>
      <c r="L132" s="11"/>
    </row>
    <row r="133" spans="1:15">
      <c r="A133" s="7"/>
      <c r="B133" s="159"/>
      <c r="C133" s="13" t="s">
        <v>2</v>
      </c>
      <c r="D133" s="4"/>
      <c r="E133" s="44"/>
      <c r="F133" s="4"/>
      <c r="G133" s="186" t="s">
        <v>1110</v>
      </c>
      <c r="H133" s="4"/>
      <c r="I133" s="4"/>
      <c r="J133" s="1"/>
      <c r="K133" s="11"/>
      <c r="L133" s="89"/>
    </row>
    <row r="134" spans="1:15">
      <c r="A134" s="7"/>
      <c r="B134" s="159"/>
      <c r="C134" s="13"/>
      <c r="D134" s="4"/>
      <c r="E134" s="44"/>
      <c r="F134" s="4"/>
      <c r="G134" s="186" t="s">
        <v>1111</v>
      </c>
      <c r="H134" s="4"/>
      <c r="I134" s="4"/>
      <c r="J134" s="4"/>
      <c r="K134" s="11"/>
      <c r="L134" s="11"/>
    </row>
    <row r="135" spans="1:15">
      <c r="A135" s="7"/>
      <c r="B135" s="159"/>
      <c r="C135" s="4"/>
      <c r="D135" s="4"/>
      <c r="E135" s="44"/>
      <c r="F135" s="4"/>
      <c r="G135" s="186" t="s">
        <v>835</v>
      </c>
      <c r="H135" s="4"/>
      <c r="I135" s="4"/>
      <c r="J135" s="4"/>
      <c r="K135" s="11"/>
      <c r="L135" s="11"/>
    </row>
    <row r="136" spans="1:15">
      <c r="A136" s="927"/>
      <c r="B136" s="159"/>
      <c r="C136" s="927"/>
      <c r="D136" s="927"/>
      <c r="E136" s="927"/>
      <c r="F136" s="927"/>
      <c r="G136" s="927"/>
      <c r="H136" s="927"/>
      <c r="I136" s="927"/>
      <c r="J136" s="927"/>
      <c r="K136" s="927"/>
      <c r="L136" s="927"/>
    </row>
    <row r="137" spans="1:15">
      <c r="A137" s="90"/>
      <c r="B137" s="159"/>
      <c r="C137" s="18" t="s">
        <v>6</v>
      </c>
      <c r="D137" s="18" t="s">
        <v>7</v>
      </c>
      <c r="E137" s="18" t="s">
        <v>8</v>
      </c>
      <c r="F137" s="11" t="s">
        <v>9</v>
      </c>
      <c r="G137" s="11"/>
      <c r="H137" s="17" t="s">
        <v>10</v>
      </c>
      <c r="I137" s="11"/>
      <c r="J137" s="17" t="s">
        <v>11</v>
      </c>
      <c r="K137" s="72"/>
      <c r="L137" s="72"/>
    </row>
    <row r="138" spans="1:15">
      <c r="A138" s="7"/>
      <c r="B138" s="159"/>
      <c r="C138" s="4"/>
      <c r="D138" s="13"/>
      <c r="E138" s="13"/>
      <c r="F138" s="13"/>
      <c r="G138" s="13"/>
      <c r="H138" s="13"/>
      <c r="I138" s="13"/>
      <c r="J138" s="13"/>
      <c r="K138" s="13"/>
      <c r="L138" s="13"/>
    </row>
    <row r="139" spans="1:15">
      <c r="A139" s="7"/>
      <c r="B139" s="159"/>
      <c r="C139" s="4"/>
      <c r="D139" s="56" t="s">
        <v>199</v>
      </c>
      <c r="E139" s="4"/>
      <c r="F139" s="13"/>
      <c r="G139" s="13"/>
      <c r="H139" s="13"/>
      <c r="I139" s="13"/>
      <c r="J139" s="13"/>
      <c r="K139" s="11"/>
      <c r="L139" s="11"/>
    </row>
    <row r="140" spans="1:15">
      <c r="A140" s="7" t="s">
        <v>12</v>
      </c>
      <c r="B140" s="159"/>
      <c r="C140" s="56"/>
      <c r="D140" s="13"/>
      <c r="E140" s="13"/>
      <c r="F140" s="13"/>
      <c r="G140" s="13"/>
      <c r="H140" s="13"/>
      <c r="I140" s="13"/>
      <c r="J140" s="13"/>
      <c r="K140" s="11"/>
      <c r="L140" s="11"/>
    </row>
    <row r="141" spans="1:15" ht="15.75" thickBot="1">
      <c r="A141" s="19" t="s">
        <v>14</v>
      </c>
      <c r="B141" s="159"/>
      <c r="C141" s="5"/>
      <c r="D141" s="13"/>
      <c r="E141" s="13"/>
      <c r="F141" s="13"/>
      <c r="G141" s="13"/>
      <c r="H141" s="13"/>
      <c r="I141" s="4"/>
      <c r="J141" s="4"/>
      <c r="K141" s="11"/>
      <c r="L141" s="11"/>
    </row>
    <row r="142" spans="1:15">
      <c r="A142" s="7">
        <v>1</v>
      </c>
      <c r="B142" s="159"/>
      <c r="C142" s="13" t="s">
        <v>212</v>
      </c>
      <c r="D142" s="11"/>
      <c r="E142" s="11"/>
      <c r="F142" s="11"/>
      <c r="G142" s="11"/>
      <c r="H142" s="11"/>
      <c r="I142" s="11"/>
      <c r="J142" s="11"/>
      <c r="K142" s="11"/>
      <c r="L142" s="11"/>
    </row>
    <row r="143" spans="1:15" ht="15.75" thickBot="1">
      <c r="A143" s="7"/>
      <c r="B143" s="159"/>
      <c r="C143" s="13"/>
      <c r="D143" s="94" t="s">
        <v>213</v>
      </c>
      <c r="E143" s="95" t="s">
        <v>214</v>
      </c>
      <c r="F143" s="95" t="s">
        <v>1179</v>
      </c>
      <c r="G143" s="11"/>
      <c r="H143" s="95" t="s">
        <v>215</v>
      </c>
      <c r="I143" s="11"/>
      <c r="J143" s="11"/>
      <c r="K143" s="11"/>
      <c r="L143" s="11"/>
    </row>
    <row r="144" spans="1:15">
      <c r="A144" s="7">
        <f>+A142+1</f>
        <v>2</v>
      </c>
      <c r="B144" s="159"/>
      <c r="C144" s="13" t="s">
        <v>46</v>
      </c>
      <c r="D144" s="24" t="str">
        <f>+'Attachment H'!$B$2&amp;", Page 4, Line "&amp;'Attachment H'!A193</f>
        <v>Attachment H, Page 4, Line 7</v>
      </c>
      <c r="E144" s="26">
        <f>+'Attachment H'!D193</f>
        <v>0</v>
      </c>
      <c r="F144" s="23">
        <v>0</v>
      </c>
      <c r="G144" s="96"/>
      <c r="H144" s="26">
        <f>E144*F144</f>
        <v>0</v>
      </c>
      <c r="I144" s="24"/>
      <c r="J144" s="24"/>
      <c r="K144" s="11"/>
      <c r="L144" s="11"/>
    </row>
    <row r="145" spans="1:12">
      <c r="A145" s="7">
        <f>+A144+1</f>
        <v>3</v>
      </c>
      <c r="B145" s="159"/>
      <c r="C145" s="13" t="s">
        <v>49</v>
      </c>
      <c r="D145" s="24" t="str">
        <f>+'Attachment H'!$B$2&amp;", Page 4, Line "&amp;'Attachment H'!A194</f>
        <v>Attachment H, Page 4, Line 8</v>
      </c>
      <c r="E145" s="26">
        <f>+'Attachment H'!D194</f>
        <v>455030.91000000003</v>
      </c>
      <c r="F145" s="23">
        <v>0</v>
      </c>
      <c r="G145" s="96"/>
      <c r="H145" s="26">
        <f>E145*F145</f>
        <v>0</v>
      </c>
      <c r="I145" s="24"/>
      <c r="J145" s="24"/>
      <c r="K145" s="11"/>
      <c r="L145" s="11"/>
    </row>
    <row r="146" spans="1:12">
      <c r="A146" s="7">
        <f>+A145+1</f>
        <v>4</v>
      </c>
      <c r="B146" s="159"/>
      <c r="C146" s="13" t="s">
        <v>51</v>
      </c>
      <c r="D146" s="24" t="str">
        <f>+'Attachment H'!$B$2&amp;", Page 4, Line "&amp;'Attachment H'!A195</f>
        <v>Attachment H, Page 4, Line 9</v>
      </c>
      <c r="E146" s="26">
        <f>+'Attachment H'!D195</f>
        <v>0</v>
      </c>
      <c r="F146" s="23">
        <v>1</v>
      </c>
      <c r="G146" s="96"/>
      <c r="H146" s="26">
        <f>E146*F146</f>
        <v>0</v>
      </c>
      <c r="I146" s="24"/>
      <c r="J146" s="97" t="s">
        <v>219</v>
      </c>
      <c r="K146" s="11"/>
      <c r="L146" s="11"/>
    </row>
    <row r="147" spans="1:12" ht="15.75" thickBot="1">
      <c r="A147" s="7">
        <f>+A146+1</f>
        <v>5</v>
      </c>
      <c r="B147" s="159"/>
      <c r="C147" s="13" t="s">
        <v>220</v>
      </c>
      <c r="D147" s="24" t="str">
        <f>+'Attachment H'!$B$2&amp;", Page 4, Line "&amp;'Attachment H'!A196</f>
        <v>Attachment H, Page 4, Line 10</v>
      </c>
      <c r="E147" s="60">
        <f>+'Attachment H'!D196</f>
        <v>0</v>
      </c>
      <c r="F147" s="23">
        <v>0</v>
      </c>
      <c r="G147" s="96"/>
      <c r="H147" s="60">
        <f>E147*F147</f>
        <v>0</v>
      </c>
      <c r="I147" s="24"/>
      <c r="J147" s="98" t="s">
        <v>222</v>
      </c>
      <c r="K147" s="11"/>
      <c r="L147" s="11"/>
    </row>
    <row r="148" spans="1:12">
      <c r="A148" s="7">
        <f>+A147+1</f>
        <v>6</v>
      </c>
      <c r="B148" s="159"/>
      <c r="C148" s="13" t="s">
        <v>223</v>
      </c>
      <c r="D148" s="11" t="s">
        <v>1180</v>
      </c>
      <c r="E148" s="26">
        <f>SUM(E144:E147)</f>
        <v>455030.91000000003</v>
      </c>
      <c r="F148" s="11"/>
      <c r="G148" s="11"/>
      <c r="H148" s="26">
        <f>SUM(H144:H147)</f>
        <v>0</v>
      </c>
      <c r="I148" s="99" t="s">
        <v>225</v>
      </c>
      <c r="J148" s="64">
        <f>IF(H148&gt;0,H148/E148,0)</f>
        <v>0</v>
      </c>
      <c r="K148" s="12" t="s">
        <v>225</v>
      </c>
      <c r="L148" s="11" t="s">
        <v>226</v>
      </c>
    </row>
    <row r="149" spans="1:12">
      <c r="B149" s="159"/>
      <c r="C149" s="13" t="s">
        <v>9</v>
      </c>
      <c r="D149" s="11" t="s">
        <v>9</v>
      </c>
      <c r="E149" s="4"/>
      <c r="F149" s="11"/>
      <c r="G149" s="11"/>
      <c r="H149" s="4"/>
      <c r="I149" s="4"/>
      <c r="J149" s="4"/>
      <c r="K149" s="4"/>
      <c r="L149" s="11"/>
    </row>
    <row r="150" spans="1:12">
      <c r="A150" s="7"/>
      <c r="B150" s="159"/>
      <c r="C150" s="13" t="s">
        <v>1181</v>
      </c>
      <c r="D150" s="11"/>
      <c r="E150" s="52" t="s">
        <v>214</v>
      </c>
      <c r="F150" s="11"/>
      <c r="G150" s="11"/>
      <c r="H150" s="12" t="s">
        <v>228</v>
      </c>
      <c r="I150" s="80"/>
      <c r="J150" s="62" t="s">
        <v>219</v>
      </c>
      <c r="K150" s="11"/>
      <c r="L150" s="11"/>
    </row>
    <row r="151" spans="1:12">
      <c r="A151" s="7">
        <f>+A148+1</f>
        <v>7</v>
      </c>
      <c r="B151" s="159"/>
      <c r="C151" s="13" t="s">
        <v>229</v>
      </c>
      <c r="D151" s="24" t="str">
        <f>+'Attachment H'!$B$2&amp;", Page 4, Line "&amp;'Attachment H'!A200</f>
        <v>Attachment H, Page 4, Line 13</v>
      </c>
      <c r="E151" s="26">
        <v>0</v>
      </c>
      <c r="F151" s="11"/>
      <c r="G151" s="4"/>
      <c r="H151" s="7" t="s">
        <v>1182</v>
      </c>
      <c r="I151" s="101"/>
      <c r="J151" s="7" t="s">
        <v>1183</v>
      </c>
      <c r="K151" s="11"/>
      <c r="L151" s="18" t="s">
        <v>58</v>
      </c>
    </row>
    <row r="152" spans="1:12">
      <c r="A152" s="7">
        <f>+A151+1</f>
        <v>8</v>
      </c>
      <c r="B152" s="159"/>
      <c r="C152" s="13" t="s">
        <v>233</v>
      </c>
      <c r="D152" s="24" t="str">
        <f>+'Attachment H'!$B$2&amp;", Page 4, Line "&amp;'Attachment H'!A201</f>
        <v>Attachment H, Page 4, Line 14</v>
      </c>
      <c r="E152" s="26">
        <v>0</v>
      </c>
      <c r="F152" s="11"/>
      <c r="G152" s="4"/>
      <c r="H152" s="64">
        <f>IF(E154&gt;0,E151/E154,0)</f>
        <v>0</v>
      </c>
      <c r="I152" s="102" t="s">
        <v>235</v>
      </c>
      <c r="J152" s="64">
        <f>J148</f>
        <v>0</v>
      </c>
      <c r="K152" s="102" t="s">
        <v>225</v>
      </c>
      <c r="L152" s="64">
        <f>J152*H152</f>
        <v>0</v>
      </c>
    </row>
    <row r="153" spans="1:12" ht="15.75" thickBot="1">
      <c r="A153" s="7">
        <f>+A152+1</f>
        <v>9</v>
      </c>
      <c r="B153" s="159"/>
      <c r="C153" s="92" t="s">
        <v>1184</v>
      </c>
      <c r="D153" s="928" t="str">
        <f>+'Attachment H'!$B$2&amp;", Page 4, Line "&amp;'Attachment H'!A202</f>
        <v>Attachment H, Page 4, Line 15</v>
      </c>
      <c r="E153" s="60">
        <v>0</v>
      </c>
      <c r="F153" s="11"/>
      <c r="G153" s="11"/>
      <c r="H153" s="11" t="s">
        <v>9</v>
      </c>
      <c r="I153" s="11"/>
      <c r="J153" s="11"/>
      <c r="K153" s="11"/>
      <c r="L153" s="11"/>
    </row>
    <row r="154" spans="1:12">
      <c r="A154" s="7">
        <f>+A153+1</f>
        <v>10</v>
      </c>
      <c r="B154" s="159"/>
      <c r="C154" s="13" t="s">
        <v>237</v>
      </c>
      <c r="D154" s="11" t="s">
        <v>1185</v>
      </c>
      <c r="E154" s="26">
        <f>E151+E152+E153</f>
        <v>0</v>
      </c>
      <c r="F154" s="11"/>
      <c r="G154" s="11"/>
      <c r="H154" s="11"/>
      <c r="I154" s="11"/>
      <c r="J154" s="11"/>
      <c r="K154" s="11"/>
      <c r="L154" s="11"/>
    </row>
    <row r="155" spans="1:12">
      <c r="A155" s="7">
        <f>+A154+1</f>
        <v>11</v>
      </c>
      <c r="B155" s="159"/>
      <c r="C155" s="13"/>
      <c r="D155" s="11"/>
      <c r="E155" s="4"/>
      <c r="F155" s="11"/>
      <c r="G155" s="11"/>
      <c r="H155" s="11"/>
      <c r="I155" s="11"/>
      <c r="J155" s="11"/>
      <c r="K155" s="11"/>
      <c r="L155" s="11"/>
    </row>
    <row r="156" spans="1:12" ht="15.75" thickBot="1">
      <c r="A156" s="7"/>
      <c r="B156" s="159"/>
      <c r="C156" s="5" t="s">
        <v>239</v>
      </c>
      <c r="D156" s="11"/>
      <c r="E156" s="11"/>
      <c r="F156" s="11"/>
      <c r="G156" s="11"/>
      <c r="H156" s="11"/>
      <c r="I156" s="11"/>
      <c r="J156" s="95" t="s">
        <v>214</v>
      </c>
      <c r="K156" s="11"/>
      <c r="L156" s="11"/>
    </row>
    <row r="157" spans="1:12">
      <c r="A157" s="7">
        <f>+A155+1</f>
        <v>12</v>
      </c>
      <c r="B157" s="159"/>
      <c r="C157" s="13"/>
      <c r="D157" s="11"/>
      <c r="E157" s="11"/>
      <c r="F157" s="11"/>
      <c r="G157" s="11"/>
      <c r="I157" s="11"/>
      <c r="J157" s="11"/>
      <c r="K157" s="11"/>
      <c r="L157" s="11"/>
    </row>
    <row r="158" spans="1:12" ht="15.75" thickBot="1">
      <c r="A158" s="7">
        <f>+A157+1</f>
        <v>13</v>
      </c>
      <c r="B158" s="159"/>
      <c r="C158" s="13"/>
      <c r="D158" s="11"/>
      <c r="E158" s="19" t="s">
        <v>214</v>
      </c>
      <c r="G158" s="19" t="s">
        <v>242</v>
      </c>
      <c r="H158" s="95" t="s">
        <v>241</v>
      </c>
      <c r="I158" s="11"/>
      <c r="J158" s="19" t="s">
        <v>243</v>
      </c>
      <c r="K158" s="11"/>
      <c r="L158" s="11"/>
    </row>
    <row r="159" spans="1:12">
      <c r="A159" s="7">
        <f>+A158+1</f>
        <v>14</v>
      </c>
      <c r="B159" s="159"/>
      <c r="C159" s="5" t="s">
        <v>244</v>
      </c>
      <c r="D159" s="24" t="str">
        <f>+'Attachment H'!$B$2&amp;", Page 4, Line "&amp;'Attachment H'!A208</f>
        <v>Attachment H, Page 4, Line 20</v>
      </c>
      <c r="E159" s="26">
        <f>+'Attachment H'!D208</f>
        <v>42186047.918201916</v>
      </c>
      <c r="G159" s="23">
        <f>+'Attachment H'!E208</f>
        <v>0.4</v>
      </c>
      <c r="H159" s="23">
        <f>+'Attachment H'!G208</f>
        <v>3.7707401883081137E-2</v>
      </c>
      <c r="I159" s="23"/>
      <c r="J159" s="23">
        <f>+'Attachment H'!I208</f>
        <v>1.5082960753232455E-2</v>
      </c>
      <c r="K159" s="107" t="s">
        <v>246</v>
      </c>
      <c r="L159" s="4"/>
    </row>
    <row r="160" spans="1:12">
      <c r="A160" s="7">
        <f>+A159+1</f>
        <v>15</v>
      </c>
      <c r="B160" s="159"/>
      <c r="C160" s="5" t="s">
        <v>247</v>
      </c>
      <c r="D160" s="24" t="str">
        <f>+'Attachment H'!$B$2&amp;", Page 4, Line "&amp;'Attachment H'!A209</f>
        <v>Attachment H, Page 4, Line 21</v>
      </c>
      <c r="E160" s="26">
        <f>+'Attachment H'!D209</f>
        <v>0</v>
      </c>
      <c r="G160" s="23">
        <f>+'Attachment H'!E209</f>
        <v>0</v>
      </c>
      <c r="H160" s="23">
        <f>+'Attachment H'!G209</f>
        <v>0</v>
      </c>
      <c r="I160" s="23"/>
      <c r="J160" s="23">
        <f>+'Attachment H'!I209</f>
        <v>0</v>
      </c>
      <c r="K160" s="11"/>
      <c r="L160" s="4"/>
    </row>
    <row r="161" spans="1:14" ht="15.75" thickBot="1">
      <c r="A161" s="7">
        <f>+A160+1</f>
        <v>16</v>
      </c>
      <c r="B161" s="159"/>
      <c r="C161" s="5" t="s">
        <v>248</v>
      </c>
      <c r="D161" s="24" t="str">
        <f>+'Attachment H'!$B$2&amp;", Page 4, Line "&amp;'Attachment H'!A210</f>
        <v>Attachment H, Page 4, Line 22</v>
      </c>
      <c r="E161" s="60">
        <f>+'Attachment H'!D210</f>
        <v>64270717.782705076</v>
      </c>
      <c r="G161" s="23">
        <f>+'Attachment H'!E210</f>
        <v>0.6</v>
      </c>
      <c r="H161" s="106">
        <f>+'Attachment H'!G210</f>
        <v>0.10299999999999999</v>
      </c>
      <c r="I161" s="23"/>
      <c r="J161" s="23">
        <f>+'Attachment H'!I210</f>
        <v>6.1799999999999994E-2</v>
      </c>
      <c r="K161" s="11"/>
      <c r="L161" s="4"/>
    </row>
    <row r="162" spans="1:14">
      <c r="A162" s="7">
        <v>17</v>
      </c>
      <c r="B162" s="159"/>
      <c r="C162" s="13" t="s">
        <v>250</v>
      </c>
      <c r="D162" s="4" t="s">
        <v>1186</v>
      </c>
      <c r="E162" s="113">
        <f>SUM(E159:E161)</f>
        <v>106456765.70090699</v>
      </c>
      <c r="F162" s="11" t="s">
        <v>9</v>
      </c>
      <c r="G162" s="23"/>
      <c r="H162" s="23"/>
      <c r="I162" s="23"/>
      <c r="J162" s="23">
        <f>SUM(J159:J161)</f>
        <v>7.6882960753232449E-2</v>
      </c>
      <c r="K162" s="107" t="s">
        <v>252</v>
      </c>
      <c r="L162" s="4"/>
    </row>
    <row r="163" spans="1:14">
      <c r="A163" s="7"/>
      <c r="B163" s="159"/>
      <c r="G163" s="23"/>
      <c r="H163" s="23"/>
      <c r="I163" s="23"/>
      <c r="J163" s="23"/>
      <c r="K163" s="3"/>
      <c r="L163" s="3"/>
      <c r="M163" s="3"/>
      <c r="N163" s="3"/>
    </row>
    <row r="164" spans="1:14">
      <c r="A164" s="7"/>
      <c r="B164" s="159"/>
      <c r="C164" s="3"/>
      <c r="D164" s="3"/>
      <c r="E164" s="3"/>
      <c r="F164" s="3"/>
      <c r="G164" s="3"/>
      <c r="H164" s="3"/>
      <c r="I164" s="3"/>
      <c r="L164" s="3"/>
      <c r="M164" s="3"/>
      <c r="N164" s="3"/>
    </row>
    <row r="165" spans="1:14">
      <c r="A165" s="7"/>
      <c r="B165" s="159"/>
      <c r="C165" s="3"/>
      <c r="D165" s="3"/>
      <c r="E165" s="3"/>
      <c r="F165" s="3"/>
      <c r="G165" s="15" t="s">
        <v>15</v>
      </c>
      <c r="H165" s="3"/>
      <c r="I165" s="3"/>
      <c r="J165" s="3" t="s">
        <v>1187</v>
      </c>
      <c r="K165" s="3" t="s">
        <v>1188</v>
      </c>
      <c r="L165" s="3"/>
      <c r="M165" s="3"/>
      <c r="N165" s="3"/>
    </row>
    <row r="166" spans="1:14">
      <c r="A166" s="7"/>
      <c r="B166" s="159"/>
      <c r="C166" s="3"/>
      <c r="E166" s="3"/>
      <c r="F166" s="3"/>
      <c r="G166" s="15" t="s">
        <v>1189</v>
      </c>
      <c r="H166" s="3"/>
      <c r="I166" s="3"/>
      <c r="J166" s="3" t="s">
        <v>1147</v>
      </c>
      <c r="K166" s="3" t="s">
        <v>1190</v>
      </c>
      <c r="L166" s="3"/>
      <c r="M166" s="3"/>
      <c r="N166" s="3"/>
    </row>
    <row r="167" spans="1:14">
      <c r="A167" s="7">
        <v>18</v>
      </c>
      <c r="B167" s="159"/>
      <c r="C167" s="929" t="s">
        <v>364</v>
      </c>
      <c r="E167" s="930"/>
      <c r="F167" s="897"/>
      <c r="G167" s="26">
        <f>+J94+J111</f>
        <v>0</v>
      </c>
      <c r="I167" s="26"/>
      <c r="J167" s="26">
        <f>+J33</f>
        <v>0</v>
      </c>
      <c r="K167" s="23">
        <f>IF(J167=0,0,G167/J167)</f>
        <v>0</v>
      </c>
      <c r="L167" s="3"/>
      <c r="M167" s="3"/>
      <c r="N167" s="3"/>
    </row>
    <row r="168" spans="1:14">
      <c r="A168" s="7"/>
      <c r="B168" s="159"/>
      <c r="C168" s="929"/>
      <c r="D168" s="3"/>
      <c r="E168" s="930"/>
      <c r="F168" s="897"/>
      <c r="G168" s="15" t="s">
        <v>15</v>
      </c>
      <c r="H168" s="26"/>
      <c r="I168" s="26"/>
      <c r="J168" s="3" t="s">
        <v>1191</v>
      </c>
      <c r="K168" s="3" t="s">
        <v>1188</v>
      </c>
      <c r="L168" s="3"/>
      <c r="M168" s="3"/>
      <c r="N168" s="3"/>
    </row>
    <row r="169" spans="1:14">
      <c r="A169" s="7"/>
      <c r="B169" s="159"/>
      <c r="C169" s="929"/>
      <c r="D169" s="3"/>
      <c r="E169" s="930"/>
      <c r="F169" s="897"/>
      <c r="G169" s="15" t="s">
        <v>1192</v>
      </c>
      <c r="H169" s="26"/>
      <c r="I169" s="26"/>
      <c r="J169" s="3" t="s">
        <v>1147</v>
      </c>
      <c r="K169" s="3" t="s">
        <v>1190</v>
      </c>
      <c r="L169" s="3"/>
      <c r="M169" s="3"/>
      <c r="N169" s="3"/>
    </row>
    <row r="170" spans="1:14">
      <c r="A170" s="7">
        <v>19</v>
      </c>
      <c r="B170" s="159"/>
      <c r="C170" s="929" t="s">
        <v>380</v>
      </c>
      <c r="E170" s="3"/>
      <c r="F170" s="3"/>
      <c r="G170" s="26">
        <f>+J123+J126</f>
        <v>-207188.36685914124</v>
      </c>
      <c r="H170" s="26"/>
      <c r="I170" s="26"/>
      <c r="J170" s="26">
        <f>+J49</f>
        <v>0</v>
      </c>
      <c r="K170" s="23">
        <f>IF(J170=0,0,G170/J170)</f>
        <v>0</v>
      </c>
      <c r="L170" s="3"/>
      <c r="M170" s="3"/>
      <c r="N170" s="3"/>
    </row>
    <row r="171" spans="1:14">
      <c r="A171" s="7"/>
      <c r="B171" s="159"/>
      <c r="C171" s="881"/>
      <c r="D171" s="3"/>
      <c r="E171" s="3"/>
      <c r="F171" s="3"/>
      <c r="G171" s="3"/>
      <c r="H171" s="931"/>
      <c r="I171" s="931"/>
      <c r="J171" s="931"/>
      <c r="K171" s="3"/>
      <c r="L171" s="3"/>
      <c r="M171" s="3"/>
      <c r="N171" s="3"/>
    </row>
    <row r="172" spans="1:14">
      <c r="A172" s="7"/>
      <c r="B172" s="159"/>
      <c r="C172" s="3"/>
      <c r="D172" s="3"/>
      <c r="E172" s="3"/>
      <c r="F172" s="3"/>
      <c r="G172" s="3"/>
      <c r="H172" s="3"/>
      <c r="I172" s="3"/>
      <c r="J172" s="3"/>
      <c r="K172" s="3"/>
      <c r="L172" s="3"/>
      <c r="M172" s="3"/>
      <c r="N172" s="3"/>
    </row>
    <row r="173" spans="1:14">
      <c r="A173" s="367"/>
      <c r="B173" s="3"/>
      <c r="C173" s="370"/>
      <c r="D173" s="372"/>
      <c r="E173" s="372" t="s">
        <v>1193</v>
      </c>
      <c r="F173" s="3"/>
      <c r="G173" s="372"/>
      <c r="H173" s="372"/>
      <c r="I173" s="372"/>
      <c r="J173" s="372"/>
      <c r="K173" s="372"/>
      <c r="L173" s="372"/>
      <c r="M173" s="3"/>
      <c r="N173" s="3"/>
    </row>
    <row r="174" spans="1:14">
      <c r="A174" s="367"/>
      <c r="B174" s="3"/>
      <c r="C174" s="370"/>
      <c r="D174" s="372" t="s">
        <v>552</v>
      </c>
      <c r="E174" s="375" t="s">
        <v>1194</v>
      </c>
      <c r="F174" s="3"/>
      <c r="G174" s="372" t="s">
        <v>554</v>
      </c>
      <c r="H174" s="932" t="s">
        <v>555</v>
      </c>
      <c r="I174" s="3"/>
      <c r="J174" s="372"/>
      <c r="K174" s="786"/>
      <c r="L174" s="786"/>
      <c r="N174" s="3"/>
    </row>
    <row r="175" spans="1:14" ht="25.5">
      <c r="A175" s="374" t="s">
        <v>557</v>
      </c>
      <c r="B175" s="3"/>
      <c r="C175" s="375" t="s">
        <v>558</v>
      </c>
      <c r="D175" s="375" t="s">
        <v>1147</v>
      </c>
      <c r="E175" s="439" t="str">
        <f>+D175</f>
        <v>Distribution</v>
      </c>
      <c r="F175" s="3"/>
      <c r="G175" s="375" t="s">
        <v>561</v>
      </c>
      <c r="H175" s="375" t="s">
        <v>105</v>
      </c>
      <c r="I175" s="3"/>
      <c r="J175" s="375"/>
      <c r="K175" s="375"/>
      <c r="L175" s="375"/>
      <c r="N175" s="3"/>
    </row>
    <row r="176" spans="1:14">
      <c r="A176" s="367"/>
      <c r="B176" s="3"/>
      <c r="C176" s="372" t="s">
        <v>538</v>
      </c>
      <c r="D176" s="372" t="s">
        <v>539</v>
      </c>
      <c r="E176" s="372" t="s">
        <v>540</v>
      </c>
      <c r="F176" s="3"/>
      <c r="G176" s="375" t="s">
        <v>541</v>
      </c>
      <c r="H176" s="375" t="s">
        <v>563</v>
      </c>
      <c r="I176" s="3"/>
      <c r="J176" s="375"/>
      <c r="K176" s="377"/>
      <c r="L176" s="377"/>
      <c r="N176" s="3"/>
    </row>
    <row r="177" spans="1:14">
      <c r="A177" s="367"/>
      <c r="B177" s="3"/>
      <c r="C177" s="378"/>
      <c r="D177" s="368"/>
      <c r="E177" s="368"/>
      <c r="F177" s="3"/>
      <c r="G177" s="379"/>
      <c r="H177" s="379"/>
      <c r="I177" s="3"/>
      <c r="J177" s="379"/>
      <c r="K177" s="380"/>
      <c r="L177" s="380"/>
      <c r="N177" s="3"/>
    </row>
    <row r="178" spans="1:14" ht="57" customHeight="1">
      <c r="A178" s="367"/>
      <c r="B178" s="3"/>
      <c r="C178" s="372"/>
      <c r="D178" s="382" t="s">
        <v>52</v>
      </c>
      <c r="E178" s="382" t="s">
        <v>1195</v>
      </c>
      <c r="F178" s="15"/>
      <c r="G178" s="382" t="s">
        <v>571</v>
      </c>
      <c r="H178" s="382" t="s">
        <v>1196</v>
      </c>
      <c r="I178" s="3"/>
      <c r="J178" s="381"/>
      <c r="K178" s="381"/>
      <c r="L178" s="381"/>
      <c r="N178" s="3"/>
    </row>
    <row r="179" spans="1:14">
      <c r="A179" s="367">
        <f>+A170+1</f>
        <v>20</v>
      </c>
      <c r="B179" s="3"/>
      <c r="C179" s="383" t="s">
        <v>576</v>
      </c>
      <c r="D179" s="384">
        <v>0</v>
      </c>
      <c r="E179" s="384">
        <v>0</v>
      </c>
      <c r="F179" s="3"/>
      <c r="G179" s="384">
        <v>0</v>
      </c>
      <c r="H179" s="384">
        <v>0</v>
      </c>
      <c r="I179" s="3"/>
      <c r="J179" s="26"/>
      <c r="K179" s="933"/>
      <c r="L179" s="933"/>
      <c r="N179" s="3"/>
    </row>
    <row r="180" spans="1:14">
      <c r="A180" s="367">
        <f>+A179+1</f>
        <v>21</v>
      </c>
      <c r="B180" s="3"/>
      <c r="C180" s="383" t="s">
        <v>577</v>
      </c>
      <c r="D180" s="384">
        <v>0</v>
      </c>
      <c r="E180" s="384">
        <v>0</v>
      </c>
      <c r="F180" s="3"/>
      <c r="G180" s="384">
        <v>0</v>
      </c>
      <c r="H180" s="384">
        <v>0</v>
      </c>
      <c r="I180" s="3"/>
      <c r="J180" s="933"/>
      <c r="K180" s="26"/>
      <c r="L180" s="933"/>
      <c r="N180" s="3"/>
    </row>
    <row r="181" spans="1:14">
      <c r="A181" s="367">
        <f t="shared" ref="A181:A192" si="7">+A180+1</f>
        <v>22</v>
      </c>
      <c r="B181" s="3"/>
      <c r="C181" s="365" t="s">
        <v>578</v>
      </c>
      <c r="D181" s="384">
        <v>0</v>
      </c>
      <c r="E181" s="384">
        <v>0</v>
      </c>
      <c r="F181" s="3"/>
      <c r="G181" s="384">
        <v>0</v>
      </c>
      <c r="H181" s="384">
        <v>0</v>
      </c>
      <c r="I181" s="3"/>
      <c r="J181" s="933"/>
      <c r="K181" s="26"/>
      <c r="L181" s="933"/>
      <c r="N181" s="3"/>
    </row>
    <row r="182" spans="1:14">
      <c r="A182" s="367">
        <f t="shared" si="7"/>
        <v>23</v>
      </c>
      <c r="B182" s="3"/>
      <c r="C182" s="365" t="s">
        <v>579</v>
      </c>
      <c r="D182" s="384">
        <v>0</v>
      </c>
      <c r="E182" s="384">
        <v>0</v>
      </c>
      <c r="F182" s="3"/>
      <c r="G182" s="384">
        <v>0</v>
      </c>
      <c r="H182" s="384">
        <v>0</v>
      </c>
      <c r="I182" s="3"/>
      <c r="J182" s="933"/>
      <c r="K182" s="26"/>
      <c r="L182" s="933"/>
      <c r="N182" s="3"/>
    </row>
    <row r="183" spans="1:14">
      <c r="A183" s="367">
        <f t="shared" si="7"/>
        <v>24</v>
      </c>
      <c r="B183" s="3"/>
      <c r="C183" s="365" t="s">
        <v>580</v>
      </c>
      <c r="D183" s="384">
        <v>0</v>
      </c>
      <c r="E183" s="384">
        <v>0</v>
      </c>
      <c r="F183" s="3"/>
      <c r="G183" s="384">
        <v>0</v>
      </c>
      <c r="H183" s="384">
        <v>0</v>
      </c>
      <c r="I183" s="3"/>
      <c r="J183" s="933"/>
      <c r="K183" s="26"/>
      <c r="L183" s="933"/>
      <c r="N183" s="3"/>
    </row>
    <row r="184" spans="1:14">
      <c r="A184" s="367">
        <f t="shared" si="7"/>
        <v>25</v>
      </c>
      <c r="B184" s="3"/>
      <c r="C184" s="365" t="s">
        <v>581</v>
      </c>
      <c r="D184" s="384">
        <f t="shared" ref="D184:D191" si="8">+D183</f>
        <v>0</v>
      </c>
      <c r="E184" s="384">
        <v>0</v>
      </c>
      <c r="F184" s="3"/>
      <c r="G184" s="384">
        <v>0</v>
      </c>
      <c r="H184" s="384">
        <v>0</v>
      </c>
      <c r="I184" s="3"/>
      <c r="J184" s="933"/>
      <c r="K184" s="26"/>
      <c r="L184" s="933"/>
      <c r="N184" s="3"/>
    </row>
    <row r="185" spans="1:14">
      <c r="A185" s="367">
        <f t="shared" si="7"/>
        <v>26</v>
      </c>
      <c r="B185" s="3"/>
      <c r="C185" s="365" t="s">
        <v>582</v>
      </c>
      <c r="D185" s="384">
        <f t="shared" si="8"/>
        <v>0</v>
      </c>
      <c r="E185" s="384">
        <v>0</v>
      </c>
      <c r="F185" s="3"/>
      <c r="G185" s="384">
        <v>0</v>
      </c>
      <c r="H185" s="384">
        <v>0</v>
      </c>
      <c r="I185" s="3"/>
      <c r="J185" s="933"/>
      <c r="K185" s="26"/>
      <c r="L185" s="933"/>
      <c r="N185" s="3"/>
    </row>
    <row r="186" spans="1:14">
      <c r="A186" s="367">
        <f t="shared" si="7"/>
        <v>27</v>
      </c>
      <c r="B186" s="3"/>
      <c r="C186" s="365" t="s">
        <v>583</v>
      </c>
      <c r="D186" s="384">
        <f t="shared" si="8"/>
        <v>0</v>
      </c>
      <c r="E186" s="384">
        <v>0</v>
      </c>
      <c r="F186" s="3"/>
      <c r="G186" s="384">
        <v>0</v>
      </c>
      <c r="H186" s="384">
        <v>0</v>
      </c>
      <c r="I186" s="3"/>
      <c r="J186" s="933"/>
      <c r="K186" s="26"/>
      <c r="L186" s="933"/>
      <c r="N186" s="3"/>
    </row>
    <row r="187" spans="1:14">
      <c r="A187" s="367">
        <f t="shared" si="7"/>
        <v>28</v>
      </c>
      <c r="B187" s="3"/>
      <c r="C187" s="365" t="s">
        <v>584</v>
      </c>
      <c r="D187" s="384">
        <f t="shared" si="8"/>
        <v>0</v>
      </c>
      <c r="E187" s="384">
        <v>0</v>
      </c>
      <c r="F187" s="3"/>
      <c r="G187" s="384">
        <v>0</v>
      </c>
      <c r="H187" s="384">
        <v>0</v>
      </c>
      <c r="I187" s="3"/>
      <c r="J187" s="933"/>
      <c r="K187" s="26"/>
      <c r="L187" s="933"/>
      <c r="N187" s="3"/>
    </row>
    <row r="188" spans="1:14">
      <c r="A188" s="367">
        <f t="shared" si="7"/>
        <v>29</v>
      </c>
      <c r="B188" s="3"/>
      <c r="C188" s="365" t="s">
        <v>585</v>
      </c>
      <c r="D188" s="384">
        <f t="shared" si="8"/>
        <v>0</v>
      </c>
      <c r="E188" s="384">
        <v>0</v>
      </c>
      <c r="F188" s="3"/>
      <c r="G188" s="384">
        <v>0</v>
      </c>
      <c r="H188" s="384">
        <v>0</v>
      </c>
      <c r="I188" s="3"/>
      <c r="J188" s="933"/>
      <c r="K188" s="26"/>
      <c r="L188" s="933"/>
      <c r="N188" s="3"/>
    </row>
    <row r="189" spans="1:14">
      <c r="A189" s="367">
        <f t="shared" si="7"/>
        <v>30</v>
      </c>
      <c r="B189" s="3"/>
      <c r="C189" s="365" t="s">
        <v>586</v>
      </c>
      <c r="D189" s="384">
        <f t="shared" si="8"/>
        <v>0</v>
      </c>
      <c r="E189" s="384">
        <v>0</v>
      </c>
      <c r="F189" s="3"/>
      <c r="G189" s="384">
        <v>0</v>
      </c>
      <c r="H189" s="384">
        <v>0</v>
      </c>
      <c r="I189" s="3"/>
      <c r="J189" s="933"/>
      <c r="K189" s="26"/>
      <c r="L189" s="933"/>
      <c r="N189" s="3"/>
    </row>
    <row r="190" spans="1:14">
      <c r="A190" s="367">
        <f t="shared" si="7"/>
        <v>31</v>
      </c>
      <c r="B190" s="3"/>
      <c r="C190" s="365" t="s">
        <v>587</v>
      </c>
      <c r="D190" s="384">
        <f t="shared" si="8"/>
        <v>0</v>
      </c>
      <c r="E190" s="384">
        <v>0</v>
      </c>
      <c r="F190" s="3"/>
      <c r="G190" s="384">
        <v>0</v>
      </c>
      <c r="H190" s="384">
        <v>0</v>
      </c>
      <c r="I190" s="3"/>
      <c r="J190" s="933"/>
      <c r="K190" s="26"/>
      <c r="L190" s="933"/>
      <c r="N190" s="3"/>
    </row>
    <row r="191" spans="1:14">
      <c r="A191" s="367">
        <f t="shared" si="7"/>
        <v>32</v>
      </c>
      <c r="B191" s="3"/>
      <c r="C191" s="365" t="s">
        <v>588</v>
      </c>
      <c r="D191" s="384">
        <f t="shared" si="8"/>
        <v>0</v>
      </c>
      <c r="E191" s="384">
        <v>0</v>
      </c>
      <c r="F191" s="3"/>
      <c r="G191" s="384">
        <v>0</v>
      </c>
      <c r="H191" s="384">
        <v>0</v>
      </c>
      <c r="I191" s="3"/>
      <c r="J191" s="933"/>
      <c r="K191" s="26"/>
      <c r="L191" s="933"/>
      <c r="N191" s="3"/>
    </row>
    <row r="192" spans="1:14" ht="15.75" thickBot="1">
      <c r="A192" s="367">
        <f t="shared" si="7"/>
        <v>33</v>
      </c>
      <c r="B192" s="3"/>
      <c r="C192" s="366" t="s">
        <v>589</v>
      </c>
      <c r="D192" s="391">
        <f t="shared" ref="D192" si="9">SUM(D179:D191)/13</f>
        <v>0</v>
      </c>
      <c r="E192" s="391">
        <f>SUM(E179:E191)/13</f>
        <v>0</v>
      </c>
      <c r="F192" s="3"/>
      <c r="G192" s="391">
        <f>SUM(G179:G191)/13</f>
        <v>0</v>
      </c>
      <c r="H192" s="391">
        <f>SUM(H179:H191)/13</f>
        <v>0</v>
      </c>
      <c r="I192" s="3"/>
      <c r="J192" s="23"/>
      <c r="K192" s="23"/>
      <c r="L192" s="23"/>
      <c r="N192" s="3"/>
    </row>
    <row r="193" spans="1:14" ht="15.75" thickTop="1">
      <c r="A193" s="3"/>
      <c r="B193" s="3"/>
      <c r="C193" s="3"/>
      <c r="D193" s="3"/>
      <c r="E193" s="3"/>
      <c r="F193" s="3"/>
      <c r="G193" s="3"/>
      <c r="H193" s="3"/>
      <c r="I193" s="3"/>
      <c r="J193" s="3"/>
      <c r="K193" s="3"/>
      <c r="L193" s="3"/>
      <c r="M193" s="3"/>
      <c r="N193" s="3"/>
    </row>
    <row r="196" spans="1:14">
      <c r="A196" s="367"/>
      <c r="C196" s="15" t="s">
        <v>1197</v>
      </c>
      <c r="D196" s="393"/>
      <c r="E196" s="393"/>
      <c r="G196" s="393"/>
      <c r="H196" s="393"/>
      <c r="I196" s="393"/>
      <c r="J196" s="3"/>
      <c r="K196" s="3"/>
    </row>
    <row r="197" spans="1:14">
      <c r="A197" s="367"/>
      <c r="C197" s="15" t="s">
        <v>538</v>
      </c>
      <c r="D197" s="15" t="s">
        <v>539</v>
      </c>
      <c r="E197" s="15" t="s">
        <v>540</v>
      </c>
      <c r="G197" s="15" t="s">
        <v>541</v>
      </c>
      <c r="H197" s="15" t="s">
        <v>563</v>
      </c>
      <c r="J197" s="15" t="s">
        <v>564</v>
      </c>
      <c r="K197" s="15" t="s">
        <v>565</v>
      </c>
      <c r="L197" s="15" t="s">
        <v>566</v>
      </c>
    </row>
    <row r="198" spans="1:14" ht="131.25" customHeight="1">
      <c r="A198" s="367">
        <f>+A192+1</f>
        <v>34</v>
      </c>
      <c r="C198" s="394" t="s">
        <v>609</v>
      </c>
      <c r="D198" s="395"/>
      <c r="E198" s="396" t="s">
        <v>15</v>
      </c>
      <c r="G198" s="396" t="s">
        <v>610</v>
      </c>
      <c r="H198" s="396" t="s">
        <v>611</v>
      </c>
      <c r="J198" s="396" t="s">
        <v>612</v>
      </c>
      <c r="K198" s="397" t="s">
        <v>613</v>
      </c>
      <c r="L198" s="397" t="s">
        <v>614</v>
      </c>
    </row>
    <row r="199" spans="1:14">
      <c r="A199" s="367" t="s">
        <v>1198</v>
      </c>
      <c r="C199" s="3"/>
      <c r="D199" s="398" t="s">
        <v>616</v>
      </c>
      <c r="E199" s="103">
        <v>0</v>
      </c>
      <c r="G199" s="103">
        <v>0</v>
      </c>
      <c r="H199" s="399"/>
      <c r="J199" s="399"/>
      <c r="K199" s="103"/>
      <c r="L199" s="400">
        <f>+K199*G199*E199</f>
        <v>0</v>
      </c>
    </row>
    <row r="200" spans="1:14">
      <c r="A200" s="367" t="s">
        <v>1199</v>
      </c>
      <c r="C200" s="3"/>
      <c r="D200" s="398" t="s">
        <v>618</v>
      </c>
      <c r="E200" s="75">
        <v>0</v>
      </c>
      <c r="G200" s="103">
        <v>0</v>
      </c>
      <c r="H200" s="399"/>
      <c r="J200" s="399"/>
      <c r="K200" s="103"/>
      <c r="L200" s="400">
        <f>+K200*G200*E200</f>
        <v>0</v>
      </c>
    </row>
    <row r="201" spans="1:14">
      <c r="A201" s="367" t="s">
        <v>1200</v>
      </c>
      <c r="C201" s="3"/>
      <c r="D201" s="398" t="s">
        <v>620</v>
      </c>
      <c r="E201" s="75"/>
      <c r="G201" s="103"/>
      <c r="H201" s="399"/>
      <c r="J201" s="399"/>
      <c r="K201" s="103"/>
      <c r="L201" s="400"/>
    </row>
    <row r="202" spans="1:14">
      <c r="A202" s="367" t="s">
        <v>624</v>
      </c>
      <c r="C202" s="3"/>
      <c r="D202" s="398"/>
      <c r="E202" s="75"/>
      <c r="G202" s="103"/>
      <c r="H202" s="399"/>
      <c r="J202" s="399"/>
      <c r="K202" s="103"/>
      <c r="L202" s="400"/>
    </row>
    <row r="203" spans="1:14">
      <c r="A203" s="367" t="s">
        <v>624</v>
      </c>
      <c r="C203" s="3"/>
      <c r="D203" s="398" t="s">
        <v>624</v>
      </c>
      <c r="E203" s="75"/>
      <c r="G203" s="103"/>
      <c r="H203" s="399"/>
      <c r="J203" s="399"/>
      <c r="K203" s="103"/>
      <c r="L203" s="400"/>
    </row>
    <row r="204" spans="1:14">
      <c r="A204" s="367" t="s">
        <v>624</v>
      </c>
      <c r="C204" s="3"/>
      <c r="D204" s="401" t="s">
        <v>624</v>
      </c>
      <c r="E204" s="402">
        <v>0</v>
      </c>
      <c r="G204" s="403">
        <v>0</v>
      </c>
      <c r="H204" s="404"/>
      <c r="J204" s="404"/>
      <c r="K204" s="403"/>
      <c r="L204" s="405">
        <f>+K204*G204*E204</f>
        <v>0</v>
      </c>
    </row>
    <row r="205" spans="1:14">
      <c r="A205" s="367">
        <v>36</v>
      </c>
      <c r="C205" s="3"/>
      <c r="D205" s="394" t="s">
        <v>20</v>
      </c>
      <c r="E205" s="26">
        <f>SUM(E199:E204)</f>
        <v>0</v>
      </c>
      <c r="G205" s="113"/>
      <c r="H205" s="73"/>
      <c r="J205" s="73"/>
      <c r="K205" s="113"/>
      <c r="L205" s="400">
        <f>SUM(L199:L204)</f>
        <v>0</v>
      </c>
    </row>
    <row r="207" spans="1:14" ht="67.5" customHeight="1">
      <c r="A207" s="362" t="s">
        <v>431</v>
      </c>
      <c r="B207" s="413" t="s">
        <v>633</v>
      </c>
      <c r="C207" s="413"/>
      <c r="D207" s="413"/>
      <c r="E207" s="413"/>
      <c r="F207" s="413"/>
      <c r="G207" s="413"/>
      <c r="H207" s="413"/>
      <c r="I207" s="413"/>
      <c r="J207" s="413"/>
    </row>
    <row r="208" spans="1:14" ht="21" customHeight="1">
      <c r="A208" s="367" t="s">
        <v>433</v>
      </c>
      <c r="B208" s="415" t="s">
        <v>1201</v>
      </c>
      <c r="C208" s="3"/>
      <c r="D208" s="3"/>
      <c r="E208" s="3"/>
      <c r="F208" s="3"/>
      <c r="G208" s="3"/>
      <c r="H208" s="3"/>
      <c r="I208" s="3"/>
      <c r="J208" s="3"/>
    </row>
  </sheetData>
  <mergeCells count="3">
    <mergeCell ref="G28:H28"/>
    <mergeCell ref="G29:H29"/>
    <mergeCell ref="B207:J207"/>
  </mergeCells>
  <pageMargins left="0.7" right="0.7" top="0.75" bottom="0.75" header="0.3" footer="0.3"/>
  <pageSetup scale="42" orientation="portrait" r:id="rId1"/>
  <rowBreaks count="3" manualBreakCount="3">
    <brk id="19" max="16383" man="1"/>
    <brk id="76" max="16383" man="1"/>
    <brk id="129"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30D57-13AF-4445-9473-9F4254AFFCD4}">
  <sheetPr>
    <tabColor theme="6" tint="-0.499984740745262"/>
  </sheetPr>
  <dimension ref="A1:K62"/>
  <sheetViews>
    <sheetView workbookViewId="0">
      <selection activeCell="A39" sqref="A39:C39"/>
    </sheetView>
  </sheetViews>
  <sheetFormatPr defaultRowHeight="15"/>
  <cols>
    <col min="2" max="2" width="27.33203125" customWidth="1"/>
    <col min="4" max="4" width="11.6640625" customWidth="1"/>
    <col min="5" max="5" width="14.77734375" customWidth="1"/>
    <col min="6" max="6" width="13.33203125" customWidth="1"/>
    <col min="7" max="7" width="12.109375" customWidth="1"/>
    <col min="8" max="8" width="12.88671875" customWidth="1"/>
    <col min="10" max="10" width="10.88671875" customWidth="1"/>
    <col min="11" max="11" width="11" customWidth="1"/>
  </cols>
  <sheetData>
    <row r="1" spans="1:11">
      <c r="A1" s="159"/>
      <c r="B1" s="159"/>
      <c r="C1" s="159"/>
      <c r="D1" s="159"/>
      <c r="E1" s="159"/>
      <c r="F1" s="159"/>
      <c r="G1" s="159"/>
      <c r="H1" s="159"/>
      <c r="I1" s="159"/>
      <c r="J1" s="161" t="s">
        <v>451</v>
      </c>
      <c r="K1" s="159"/>
    </row>
    <row r="2" spans="1:11">
      <c r="A2" s="159"/>
      <c r="B2" s="159"/>
      <c r="C2" s="159"/>
      <c r="D2" s="159"/>
      <c r="E2" s="159"/>
      <c r="F2" s="159"/>
      <c r="G2" s="159"/>
      <c r="H2" s="159"/>
      <c r="I2" s="159"/>
      <c r="J2" s="159"/>
      <c r="K2" s="159"/>
    </row>
    <row r="3" spans="1:11">
      <c r="A3" s="159"/>
      <c r="B3" s="159"/>
      <c r="C3" s="159"/>
      <c r="D3" s="159"/>
      <c r="E3" s="159"/>
      <c r="F3" s="159"/>
      <c r="G3" s="159"/>
      <c r="H3" s="159"/>
      <c r="I3" s="159"/>
      <c r="J3" s="159"/>
      <c r="K3" s="159"/>
    </row>
    <row r="4" spans="1:11">
      <c r="A4" s="159"/>
      <c r="B4" s="159"/>
      <c r="C4" s="159"/>
      <c r="D4" s="159"/>
      <c r="E4" s="159"/>
      <c r="F4" s="159"/>
      <c r="G4" s="159"/>
      <c r="H4" s="159"/>
      <c r="I4" s="159"/>
      <c r="J4" s="159"/>
      <c r="K4" s="159"/>
    </row>
    <row r="5" spans="1:11">
      <c r="A5" s="308"/>
      <c r="B5" s="159"/>
      <c r="C5" s="159"/>
      <c r="D5" s="161"/>
      <c r="E5" s="162" t="s">
        <v>1202</v>
      </c>
      <c r="F5" s="161"/>
      <c r="G5" s="161"/>
      <c r="H5" s="159"/>
      <c r="I5" s="161"/>
      <c r="J5" s="161"/>
      <c r="K5" s="161"/>
    </row>
    <row r="6" spans="1:11">
      <c r="A6" s="308"/>
      <c r="B6" s="159"/>
      <c r="C6" s="159"/>
      <c r="D6" s="161"/>
      <c r="E6" s="309" t="s">
        <v>1203</v>
      </c>
      <c r="F6" s="165"/>
      <c r="G6" s="165"/>
      <c r="H6" s="159"/>
      <c r="I6" s="165"/>
      <c r="J6" s="165"/>
      <c r="K6" s="165"/>
    </row>
    <row r="7" spans="1:11">
      <c r="A7" s="308"/>
      <c r="B7" s="159"/>
      <c r="C7" s="164"/>
      <c r="D7" s="164"/>
      <c r="E7" s="18" t="str">
        <f>+'2-Incentive ROE'!F5</f>
        <v>GridLiance High Plains LLC</v>
      </c>
      <c r="F7" s="164"/>
      <c r="G7" s="164"/>
      <c r="H7" s="159"/>
      <c r="I7" s="164"/>
      <c r="J7" s="164"/>
      <c r="K7" s="164"/>
    </row>
    <row r="8" spans="1:11">
      <c r="A8" s="310"/>
      <c r="B8" s="159"/>
      <c r="C8" s="159"/>
      <c r="D8" s="159"/>
      <c r="E8" s="175"/>
      <c r="F8" s="175"/>
      <c r="G8" s="175"/>
      <c r="H8" s="159"/>
      <c r="I8" s="164"/>
      <c r="J8" s="164"/>
      <c r="K8" s="164"/>
    </row>
    <row r="9" spans="1:11">
      <c r="A9" s="308"/>
      <c r="B9" s="3"/>
      <c r="C9" s="3"/>
      <c r="D9" s="3"/>
      <c r="E9" s="3"/>
      <c r="F9" s="3"/>
      <c r="G9" s="3"/>
      <c r="H9" s="3"/>
      <c r="I9" s="3"/>
      <c r="J9" s="3"/>
      <c r="K9" s="15"/>
    </row>
    <row r="10" spans="1:11">
      <c r="A10" s="308"/>
      <c r="B10" s="3"/>
      <c r="C10" s="3"/>
      <c r="D10" s="312" t="s">
        <v>491</v>
      </c>
      <c r="E10" s="313"/>
      <c r="F10" s="314"/>
      <c r="G10" s="315" t="s">
        <v>492</v>
      </c>
      <c r="H10" s="314"/>
      <c r="I10" s="316"/>
      <c r="J10" s="316"/>
      <c r="K10" s="317"/>
    </row>
    <row r="11" spans="1:11" ht="15.75">
      <c r="A11" s="308">
        <v>1</v>
      </c>
      <c r="B11" s="3" t="s">
        <v>493</v>
      </c>
      <c r="C11" s="3"/>
      <c r="D11" s="318" t="s">
        <v>494</v>
      </c>
      <c r="E11" s="319"/>
      <c r="F11" s="320" t="s">
        <v>495</v>
      </c>
      <c r="G11" s="321" t="s">
        <v>496</v>
      </c>
      <c r="H11" s="320" t="s">
        <v>497</v>
      </c>
      <c r="I11" s="322"/>
      <c r="J11" s="322"/>
      <c r="K11" s="323"/>
    </row>
    <row r="12" spans="1:11">
      <c r="A12" s="308">
        <v>2</v>
      </c>
      <c r="B12" s="637"/>
      <c r="C12" s="3"/>
      <c r="D12" s="325"/>
      <c r="E12" s="325"/>
      <c r="F12" s="326">
        <v>0</v>
      </c>
      <c r="G12" s="327"/>
      <c r="H12" s="325"/>
      <c r="I12" s="325"/>
      <c r="J12" s="325"/>
      <c r="K12" s="314"/>
    </row>
    <row r="13" spans="1:11">
      <c r="A13" s="311"/>
      <c r="B13" s="328" t="s">
        <v>431</v>
      </c>
      <c r="C13" s="328" t="s">
        <v>433</v>
      </c>
      <c r="D13" s="321" t="s">
        <v>278</v>
      </c>
      <c r="E13" s="321" t="s">
        <v>280</v>
      </c>
      <c r="F13" s="315" t="s">
        <v>282</v>
      </c>
      <c r="G13" s="328" t="s">
        <v>284</v>
      </c>
      <c r="H13" s="329" t="s">
        <v>286</v>
      </c>
      <c r="I13" s="329" t="s">
        <v>296</v>
      </c>
      <c r="J13" s="329" t="s">
        <v>298</v>
      </c>
      <c r="K13" s="330" t="s">
        <v>300</v>
      </c>
    </row>
    <row r="14" spans="1:11">
      <c r="A14" s="308"/>
      <c r="B14" s="325"/>
      <c r="C14" s="315"/>
      <c r="D14" s="315"/>
      <c r="E14" s="331" t="s">
        <v>498</v>
      </c>
      <c r="F14" s="315"/>
      <c r="G14" s="315"/>
      <c r="H14" s="325"/>
      <c r="I14" s="315"/>
      <c r="J14" s="325"/>
      <c r="K14" s="325"/>
    </row>
    <row r="15" spans="1:11">
      <c r="A15" s="308"/>
      <c r="B15" s="327"/>
      <c r="C15" s="329"/>
      <c r="D15" s="329" t="s">
        <v>499</v>
      </c>
      <c r="E15" s="330" t="s">
        <v>20</v>
      </c>
      <c r="F15" s="329" t="s">
        <v>500</v>
      </c>
      <c r="G15" s="329" t="s">
        <v>501</v>
      </c>
      <c r="H15" s="329" t="s">
        <v>502</v>
      </c>
      <c r="I15" s="329"/>
      <c r="J15" s="329" t="s">
        <v>503</v>
      </c>
      <c r="K15" s="329"/>
    </row>
    <row r="16" spans="1:11">
      <c r="A16" s="308"/>
      <c r="B16" s="329" t="s">
        <v>504</v>
      </c>
      <c r="C16" s="329"/>
      <c r="D16" s="329" t="s">
        <v>505</v>
      </c>
      <c r="E16" s="330" t="s">
        <v>506</v>
      </c>
      <c r="F16" s="329" t="s">
        <v>507</v>
      </c>
      <c r="G16" s="329" t="s">
        <v>505</v>
      </c>
      <c r="H16" s="329" t="s">
        <v>508</v>
      </c>
      <c r="I16" s="315" t="s">
        <v>509</v>
      </c>
      <c r="J16" s="329" t="s">
        <v>510</v>
      </c>
      <c r="K16" s="329" t="s">
        <v>511</v>
      </c>
    </row>
    <row r="17" spans="1:11" ht="15.75">
      <c r="A17" s="308"/>
      <c r="B17" s="321" t="s">
        <v>512</v>
      </c>
      <c r="C17" s="321" t="s">
        <v>513</v>
      </c>
      <c r="D17" s="321" t="s">
        <v>514</v>
      </c>
      <c r="E17" s="330" t="s">
        <v>496</v>
      </c>
      <c r="F17" s="332" t="s">
        <v>515</v>
      </c>
      <c r="G17" s="321" t="s">
        <v>516</v>
      </c>
      <c r="H17" s="321" t="s">
        <v>517</v>
      </c>
      <c r="I17" s="329" t="s">
        <v>518</v>
      </c>
      <c r="J17" s="321" t="s">
        <v>519</v>
      </c>
      <c r="K17" s="321" t="s">
        <v>520</v>
      </c>
    </row>
    <row r="18" spans="1:11">
      <c r="A18" s="308">
        <v>3</v>
      </c>
      <c r="B18" s="339"/>
      <c r="C18" s="339"/>
      <c r="D18" s="333">
        <v>0</v>
      </c>
      <c r="E18" s="334">
        <f>IF(D$39=0,0,D18/D$39)</f>
        <v>0</v>
      </c>
      <c r="F18" s="335">
        <f>IF(F$12=0,0,#REF!*F$12)</f>
        <v>0</v>
      </c>
      <c r="G18" s="336">
        <v>0</v>
      </c>
      <c r="H18" s="337">
        <f t="shared" ref="H18:H37" si="0">+G18-F18</f>
        <v>0</v>
      </c>
      <c r="I18" s="338">
        <v>0</v>
      </c>
      <c r="J18" s="337">
        <f t="shared" ref="J18:J37" si="1">(H18+I18)*((J$41/12)*24)</f>
        <v>0</v>
      </c>
      <c r="K18" s="337">
        <f>+H18+J18+I18</f>
        <v>0</v>
      </c>
    </row>
    <row r="19" spans="1:11">
      <c r="A19" s="308" t="s">
        <v>521</v>
      </c>
      <c r="B19" s="339"/>
      <c r="C19" s="339"/>
      <c r="D19" s="340">
        <v>0</v>
      </c>
      <c r="E19" s="226">
        <f t="shared" ref="E19:E37" si="2">IF(D$39=0,0,D19/D$39)</f>
        <v>0</v>
      </c>
      <c r="F19" s="335">
        <f>IF(F$12=0,0,#REF!*F$12)</f>
        <v>0</v>
      </c>
      <c r="G19" s="341">
        <v>0</v>
      </c>
      <c r="H19" s="226">
        <f t="shared" si="0"/>
        <v>0</v>
      </c>
      <c r="I19" s="342">
        <v>0</v>
      </c>
      <c r="J19" s="337">
        <f t="shared" si="1"/>
        <v>0</v>
      </c>
      <c r="K19" s="337">
        <f t="shared" ref="K19:K37" si="3">+H19+J19+I19</f>
        <v>0</v>
      </c>
    </row>
    <row r="20" spans="1:11">
      <c r="A20" s="308" t="s">
        <v>523</v>
      </c>
      <c r="B20" s="339"/>
      <c r="C20" s="339"/>
      <c r="D20" s="340">
        <v>0</v>
      </c>
      <c r="E20" s="226">
        <f t="shared" si="2"/>
        <v>0</v>
      </c>
      <c r="F20" s="335">
        <f>IF(F$12=0,0,#REF!*F$12)</f>
        <v>0</v>
      </c>
      <c r="G20" s="341">
        <v>0</v>
      </c>
      <c r="H20" s="226">
        <f t="shared" si="0"/>
        <v>0</v>
      </c>
      <c r="I20" s="342">
        <v>0</v>
      </c>
      <c r="J20" s="337">
        <f t="shared" si="1"/>
        <v>0</v>
      </c>
      <c r="K20" s="337">
        <f t="shared" si="3"/>
        <v>0</v>
      </c>
    </row>
    <row r="21" spans="1:11">
      <c r="A21" s="308" t="s">
        <v>524</v>
      </c>
      <c r="B21" s="339"/>
      <c r="C21" s="339"/>
      <c r="D21" s="340">
        <v>0</v>
      </c>
      <c r="E21" s="226">
        <f t="shared" si="2"/>
        <v>0</v>
      </c>
      <c r="F21" s="335">
        <f>IF(F$12=0,0,#REF!*F$12)</f>
        <v>0</v>
      </c>
      <c r="G21" s="341">
        <v>0</v>
      </c>
      <c r="H21" s="226">
        <f t="shared" si="0"/>
        <v>0</v>
      </c>
      <c r="I21" s="342">
        <v>0</v>
      </c>
      <c r="J21" s="337">
        <f t="shared" si="1"/>
        <v>0</v>
      </c>
      <c r="K21" s="337">
        <f t="shared" si="3"/>
        <v>0</v>
      </c>
    </row>
    <row r="22" spans="1:11">
      <c r="A22" s="308"/>
      <c r="B22" s="339"/>
      <c r="C22" s="339"/>
      <c r="D22" s="340">
        <v>0</v>
      </c>
      <c r="E22" s="226">
        <f t="shared" si="2"/>
        <v>0</v>
      </c>
      <c r="F22" s="335">
        <f>IF(F$12=0,0,#REF!*F$12)</f>
        <v>0</v>
      </c>
      <c r="G22" s="341">
        <v>0</v>
      </c>
      <c r="H22" s="226">
        <f t="shared" si="0"/>
        <v>0</v>
      </c>
      <c r="I22" s="342">
        <v>0</v>
      </c>
      <c r="J22" s="337">
        <f t="shared" si="1"/>
        <v>0</v>
      </c>
      <c r="K22" s="337">
        <f t="shared" si="3"/>
        <v>0</v>
      </c>
    </row>
    <row r="23" spans="1:11">
      <c r="A23" s="308"/>
      <c r="B23" s="339"/>
      <c r="C23" s="339"/>
      <c r="D23" s="340">
        <v>0</v>
      </c>
      <c r="E23" s="226">
        <f t="shared" si="2"/>
        <v>0</v>
      </c>
      <c r="F23" s="335">
        <f>IF(F$12=0,0,#REF!*F$12)</f>
        <v>0</v>
      </c>
      <c r="G23" s="341">
        <v>0</v>
      </c>
      <c r="H23" s="226">
        <f t="shared" si="0"/>
        <v>0</v>
      </c>
      <c r="I23" s="342">
        <v>0</v>
      </c>
      <c r="J23" s="337">
        <f t="shared" si="1"/>
        <v>0</v>
      </c>
      <c r="K23" s="337">
        <f t="shared" si="3"/>
        <v>0</v>
      </c>
    </row>
    <row r="24" spans="1:11">
      <c r="A24" s="308"/>
      <c r="B24" s="339"/>
      <c r="C24" s="339"/>
      <c r="D24" s="340">
        <v>0</v>
      </c>
      <c r="E24" s="226">
        <f t="shared" si="2"/>
        <v>0</v>
      </c>
      <c r="F24" s="335">
        <f>IF(F$12=0,0,#REF!*F$12)</f>
        <v>0</v>
      </c>
      <c r="G24" s="341">
        <v>0</v>
      </c>
      <c r="H24" s="226">
        <f t="shared" si="0"/>
        <v>0</v>
      </c>
      <c r="I24" s="342">
        <v>0</v>
      </c>
      <c r="J24" s="337">
        <f t="shared" si="1"/>
        <v>0</v>
      </c>
      <c r="K24" s="337">
        <f t="shared" si="3"/>
        <v>0</v>
      </c>
    </row>
    <row r="25" spans="1:11">
      <c r="A25" s="308"/>
      <c r="B25" s="339"/>
      <c r="C25" s="339"/>
      <c r="D25" s="340">
        <v>0</v>
      </c>
      <c r="E25" s="226">
        <f t="shared" si="2"/>
        <v>0</v>
      </c>
      <c r="F25" s="335">
        <f>IF(F$12=0,0,#REF!*F$12)</f>
        <v>0</v>
      </c>
      <c r="G25" s="341">
        <v>0</v>
      </c>
      <c r="H25" s="226">
        <f t="shared" si="0"/>
        <v>0</v>
      </c>
      <c r="I25" s="342">
        <v>0</v>
      </c>
      <c r="J25" s="337">
        <f t="shared" si="1"/>
        <v>0</v>
      </c>
      <c r="K25" s="337">
        <f t="shared" si="3"/>
        <v>0</v>
      </c>
    </row>
    <row r="26" spans="1:11">
      <c r="A26" s="308"/>
      <c r="B26" s="339"/>
      <c r="C26" s="339"/>
      <c r="D26" s="340">
        <v>0</v>
      </c>
      <c r="E26" s="226">
        <f t="shared" si="2"/>
        <v>0</v>
      </c>
      <c r="F26" s="335">
        <f>IF(F$12=0,0,#REF!*F$12)</f>
        <v>0</v>
      </c>
      <c r="G26" s="341">
        <v>0</v>
      </c>
      <c r="H26" s="226">
        <f t="shared" si="0"/>
        <v>0</v>
      </c>
      <c r="I26" s="342">
        <v>0</v>
      </c>
      <c r="J26" s="337">
        <f t="shared" si="1"/>
        <v>0</v>
      </c>
      <c r="K26" s="337">
        <f t="shared" si="3"/>
        <v>0</v>
      </c>
    </row>
    <row r="27" spans="1:11">
      <c r="A27" s="308"/>
      <c r="B27" s="339"/>
      <c r="C27" s="339"/>
      <c r="D27" s="340">
        <v>0</v>
      </c>
      <c r="E27" s="226">
        <f t="shared" si="2"/>
        <v>0</v>
      </c>
      <c r="F27" s="335">
        <f>IF(F$12=0,0,#REF!*F$12)</f>
        <v>0</v>
      </c>
      <c r="G27" s="341">
        <v>0</v>
      </c>
      <c r="H27" s="226">
        <f t="shared" si="0"/>
        <v>0</v>
      </c>
      <c r="I27" s="342">
        <v>0</v>
      </c>
      <c r="J27" s="337">
        <f t="shared" si="1"/>
        <v>0</v>
      </c>
      <c r="K27" s="337">
        <f t="shared" si="3"/>
        <v>0</v>
      </c>
    </row>
    <row r="28" spans="1:11">
      <c r="A28" s="308"/>
      <c r="B28" s="339"/>
      <c r="C28" s="339"/>
      <c r="D28" s="340">
        <v>0</v>
      </c>
      <c r="E28" s="226">
        <f t="shared" si="2"/>
        <v>0</v>
      </c>
      <c r="F28" s="335">
        <f>IF(F$12=0,0,#REF!*F$12)</f>
        <v>0</v>
      </c>
      <c r="G28" s="341">
        <v>0</v>
      </c>
      <c r="H28" s="226">
        <f t="shared" si="0"/>
        <v>0</v>
      </c>
      <c r="I28" s="342">
        <v>0</v>
      </c>
      <c r="J28" s="337">
        <f t="shared" si="1"/>
        <v>0</v>
      </c>
      <c r="K28" s="337">
        <f t="shared" si="3"/>
        <v>0</v>
      </c>
    </row>
    <row r="29" spans="1:11">
      <c r="A29" s="308"/>
      <c r="B29" s="339"/>
      <c r="C29" s="339"/>
      <c r="D29" s="340">
        <v>0</v>
      </c>
      <c r="E29" s="226">
        <f t="shared" si="2"/>
        <v>0</v>
      </c>
      <c r="F29" s="335">
        <f>IF(F$12=0,0,#REF!*F$12)</f>
        <v>0</v>
      </c>
      <c r="G29" s="341">
        <v>0</v>
      </c>
      <c r="H29" s="226">
        <f t="shared" si="0"/>
        <v>0</v>
      </c>
      <c r="I29" s="342">
        <v>0</v>
      </c>
      <c r="J29" s="337">
        <f t="shared" si="1"/>
        <v>0</v>
      </c>
      <c r="K29" s="337">
        <f t="shared" si="3"/>
        <v>0</v>
      </c>
    </row>
    <row r="30" spans="1:11">
      <c r="A30" s="308"/>
      <c r="B30" s="339"/>
      <c r="C30" s="339"/>
      <c r="D30" s="340">
        <v>0</v>
      </c>
      <c r="E30" s="226">
        <f t="shared" si="2"/>
        <v>0</v>
      </c>
      <c r="F30" s="335">
        <f>IF(F$12=0,0,#REF!*F$12)</f>
        <v>0</v>
      </c>
      <c r="G30" s="341">
        <v>0</v>
      </c>
      <c r="H30" s="226">
        <f t="shared" si="0"/>
        <v>0</v>
      </c>
      <c r="I30" s="342">
        <v>0</v>
      </c>
      <c r="J30" s="337">
        <f t="shared" si="1"/>
        <v>0</v>
      </c>
      <c r="K30" s="337">
        <f t="shared" si="3"/>
        <v>0</v>
      </c>
    </row>
    <row r="31" spans="1:11">
      <c r="A31" s="308"/>
      <c r="B31" s="339"/>
      <c r="C31" s="339"/>
      <c r="D31" s="340">
        <v>0</v>
      </c>
      <c r="E31" s="226">
        <f t="shared" si="2"/>
        <v>0</v>
      </c>
      <c r="F31" s="335">
        <f>IF(F$12=0,0,#REF!*F$12)</f>
        <v>0</v>
      </c>
      <c r="G31" s="341">
        <v>0</v>
      </c>
      <c r="H31" s="226">
        <f t="shared" si="0"/>
        <v>0</v>
      </c>
      <c r="I31" s="342">
        <v>0</v>
      </c>
      <c r="J31" s="337">
        <f t="shared" si="1"/>
        <v>0</v>
      </c>
      <c r="K31" s="337">
        <f t="shared" si="3"/>
        <v>0</v>
      </c>
    </row>
    <row r="32" spans="1:11">
      <c r="A32" s="308"/>
      <c r="B32" s="339"/>
      <c r="C32" s="339"/>
      <c r="D32" s="340">
        <v>0</v>
      </c>
      <c r="E32" s="226">
        <f t="shared" si="2"/>
        <v>0</v>
      </c>
      <c r="F32" s="335">
        <f>IF(F$12=0,0,#REF!*F$12)</f>
        <v>0</v>
      </c>
      <c r="G32" s="341">
        <v>0</v>
      </c>
      <c r="H32" s="226">
        <f t="shared" si="0"/>
        <v>0</v>
      </c>
      <c r="I32" s="342">
        <v>0</v>
      </c>
      <c r="J32" s="337">
        <f t="shared" si="1"/>
        <v>0</v>
      </c>
      <c r="K32" s="337">
        <f t="shared" si="3"/>
        <v>0</v>
      </c>
    </row>
    <row r="33" spans="1:11">
      <c r="A33" s="308"/>
      <c r="B33" s="339"/>
      <c r="C33" s="339"/>
      <c r="D33" s="340">
        <v>0</v>
      </c>
      <c r="E33" s="226">
        <f t="shared" si="2"/>
        <v>0</v>
      </c>
      <c r="F33" s="335">
        <f>IF(F$12=0,0,#REF!*F$12)</f>
        <v>0</v>
      </c>
      <c r="G33" s="341">
        <v>0</v>
      </c>
      <c r="H33" s="226">
        <f t="shared" si="0"/>
        <v>0</v>
      </c>
      <c r="I33" s="342">
        <v>0</v>
      </c>
      <c r="J33" s="337">
        <f t="shared" si="1"/>
        <v>0</v>
      </c>
      <c r="K33" s="337">
        <f t="shared" si="3"/>
        <v>0</v>
      </c>
    </row>
    <row r="34" spans="1:11">
      <c r="A34" s="308"/>
      <c r="B34" s="339"/>
      <c r="C34" s="339"/>
      <c r="D34" s="340">
        <v>0</v>
      </c>
      <c r="E34" s="226">
        <f t="shared" si="2"/>
        <v>0</v>
      </c>
      <c r="F34" s="335">
        <f>IF(F$12=0,0,#REF!*F$12)</f>
        <v>0</v>
      </c>
      <c r="G34" s="341">
        <v>0</v>
      </c>
      <c r="H34" s="226">
        <f t="shared" si="0"/>
        <v>0</v>
      </c>
      <c r="I34" s="342">
        <v>0</v>
      </c>
      <c r="J34" s="337">
        <f t="shared" si="1"/>
        <v>0</v>
      </c>
      <c r="K34" s="337">
        <f t="shared" si="3"/>
        <v>0</v>
      </c>
    </row>
    <row r="35" spans="1:11">
      <c r="A35" s="308"/>
      <c r="B35" s="339"/>
      <c r="C35" s="339"/>
      <c r="D35" s="340">
        <v>0</v>
      </c>
      <c r="E35" s="226">
        <f t="shared" si="2"/>
        <v>0</v>
      </c>
      <c r="F35" s="335">
        <f>IF(F$12=0,0,#REF!*F$12)</f>
        <v>0</v>
      </c>
      <c r="G35" s="341">
        <v>0</v>
      </c>
      <c r="H35" s="226">
        <f t="shared" si="0"/>
        <v>0</v>
      </c>
      <c r="I35" s="342">
        <v>0</v>
      </c>
      <c r="J35" s="337">
        <f t="shared" si="1"/>
        <v>0</v>
      </c>
      <c r="K35" s="337">
        <f t="shared" si="3"/>
        <v>0</v>
      </c>
    </row>
    <row r="36" spans="1:11">
      <c r="A36" s="308"/>
      <c r="B36" s="339"/>
      <c r="C36" s="339"/>
      <c r="D36" s="340">
        <v>0</v>
      </c>
      <c r="E36" s="226">
        <f t="shared" si="2"/>
        <v>0</v>
      </c>
      <c r="F36" s="335">
        <f>IF(F$12=0,0,#REF!*F$12)</f>
        <v>0</v>
      </c>
      <c r="G36" s="341">
        <v>0</v>
      </c>
      <c r="H36" s="226">
        <f t="shared" si="0"/>
        <v>0</v>
      </c>
      <c r="I36" s="342">
        <v>0</v>
      </c>
      <c r="J36" s="337">
        <f t="shared" si="1"/>
        <v>0</v>
      </c>
      <c r="K36" s="337">
        <f t="shared" si="3"/>
        <v>0</v>
      </c>
    </row>
    <row r="37" spans="1:11">
      <c r="A37" s="308"/>
      <c r="B37" s="339"/>
      <c r="C37" s="339"/>
      <c r="D37" s="340">
        <v>0</v>
      </c>
      <c r="E37" s="226">
        <f t="shared" si="2"/>
        <v>0</v>
      </c>
      <c r="F37" s="335">
        <f>IF(F$12=0,0,#REF!*F$12)</f>
        <v>0</v>
      </c>
      <c r="G37" s="341">
        <v>0</v>
      </c>
      <c r="H37" s="226">
        <f t="shared" si="0"/>
        <v>0</v>
      </c>
      <c r="I37" s="342">
        <v>0</v>
      </c>
      <c r="J37" s="337">
        <f t="shared" si="1"/>
        <v>0</v>
      </c>
      <c r="K37" s="337">
        <f t="shared" si="3"/>
        <v>0</v>
      </c>
    </row>
    <row r="38" spans="1:11">
      <c r="A38" s="308"/>
      <c r="B38" s="345"/>
      <c r="C38" s="345"/>
      <c r="D38" s="346"/>
      <c r="E38" s="347"/>
      <c r="F38" s="322"/>
      <c r="G38" s="348"/>
      <c r="H38" s="345"/>
      <c r="I38" s="345"/>
      <c r="J38" s="345"/>
      <c r="K38" s="345"/>
    </row>
    <row r="39" spans="1:11">
      <c r="A39" s="308">
        <v>4</v>
      </c>
      <c r="B39" s="3" t="s">
        <v>527</v>
      </c>
      <c r="C39" s="3"/>
      <c r="D39" s="23">
        <f t="shared" ref="D39:F39" si="4">SUM(D18:D38)</f>
        <v>0</v>
      </c>
      <c r="E39" s="23">
        <f t="shared" si="4"/>
        <v>0</v>
      </c>
      <c r="F39" s="23">
        <f t="shared" si="4"/>
        <v>0</v>
      </c>
      <c r="G39" s="23">
        <f>SUM(G18:G38)</f>
        <v>0</v>
      </c>
      <c r="H39" s="23">
        <f>SUM(H18:H38)</f>
        <v>0</v>
      </c>
      <c r="I39" s="23"/>
      <c r="J39" s="23">
        <f>SUM(J18:J38)</f>
        <v>0</v>
      </c>
      <c r="K39" s="23">
        <f>SUM(K18:K38)</f>
        <v>0</v>
      </c>
    </row>
    <row r="40" spans="1:11">
      <c r="A40" s="308"/>
      <c r="B40" s="3"/>
      <c r="C40" s="3"/>
      <c r="D40" s="23"/>
      <c r="E40" s="23"/>
      <c r="F40" s="23"/>
      <c r="G40" s="23"/>
      <c r="H40" s="23"/>
      <c r="I40" s="23"/>
      <c r="J40" s="23"/>
      <c r="K40" s="23"/>
    </row>
    <row r="41" spans="1:11">
      <c r="A41" s="308"/>
      <c r="B41" s="3"/>
      <c r="C41" s="3"/>
      <c r="D41" s="23"/>
      <c r="E41" s="23"/>
      <c r="F41" s="23"/>
      <c r="G41" s="23" t="s">
        <v>528</v>
      </c>
      <c r="H41" s="23"/>
      <c r="I41" s="23"/>
      <c r="J41" s="431">
        <v>0</v>
      </c>
      <c r="K41" s="23"/>
    </row>
    <row r="42" spans="1:11">
      <c r="A42" s="308"/>
      <c r="B42" s="3"/>
      <c r="C42" s="3"/>
      <c r="D42" s="23"/>
      <c r="E42" s="23"/>
      <c r="F42" s="23"/>
      <c r="G42" s="23" t="s">
        <v>529</v>
      </c>
      <c r="H42" s="23"/>
      <c r="I42" s="23"/>
      <c r="J42" s="23">
        <f>+J39</f>
        <v>0</v>
      </c>
      <c r="K42" s="23"/>
    </row>
    <row r="43" spans="1:11">
      <c r="A43" s="308"/>
      <c r="B43" s="3" t="s">
        <v>530</v>
      </c>
      <c r="C43" s="3"/>
      <c r="D43" s="3"/>
      <c r="E43" s="3"/>
      <c r="F43" s="3"/>
      <c r="G43" s="3"/>
      <c r="H43" s="3"/>
      <c r="I43" s="3"/>
      <c r="J43" s="3"/>
      <c r="K43" s="3"/>
    </row>
    <row r="44" spans="1:11">
      <c r="A44" s="308"/>
      <c r="B44" s="3" t="s">
        <v>1204</v>
      </c>
      <c r="C44" s="3"/>
      <c r="D44" s="3"/>
      <c r="E44" s="3"/>
      <c r="F44" s="3"/>
      <c r="G44" s="3"/>
      <c r="H44" s="3"/>
      <c r="I44" s="3"/>
      <c r="J44" s="3"/>
      <c r="K44" s="3"/>
    </row>
    <row r="45" spans="1:11">
      <c r="A45" s="308"/>
      <c r="B45" s="3" t="s">
        <v>1205</v>
      </c>
      <c r="C45" s="3"/>
      <c r="D45" s="3"/>
      <c r="E45" s="3"/>
      <c r="F45" s="3"/>
      <c r="G45" s="3"/>
      <c r="H45" s="3"/>
      <c r="I45" s="3"/>
      <c r="J45" s="3"/>
      <c r="K45" s="3"/>
    </row>
    <row r="46" spans="1:11">
      <c r="A46" s="308"/>
      <c r="B46" s="3" t="s">
        <v>1206</v>
      </c>
      <c r="C46" s="3"/>
      <c r="D46" s="3"/>
      <c r="E46" s="3"/>
      <c r="F46" s="3"/>
      <c r="G46" s="3"/>
      <c r="H46" s="3"/>
      <c r="I46" s="3"/>
      <c r="J46" s="3"/>
      <c r="K46" s="3"/>
    </row>
    <row r="47" spans="1:11">
      <c r="A47" s="308"/>
      <c r="B47" s="159" t="s">
        <v>534</v>
      </c>
      <c r="C47" s="3"/>
      <c r="D47" s="3"/>
      <c r="E47" s="3"/>
      <c r="F47" s="3"/>
      <c r="G47" s="3"/>
      <c r="H47" s="3"/>
      <c r="I47" s="3"/>
      <c r="J47" s="3"/>
      <c r="K47" s="3"/>
    </row>
    <row r="48" spans="1:11">
      <c r="A48" s="308"/>
      <c r="B48" s="3" t="s">
        <v>535</v>
      </c>
      <c r="C48" s="3"/>
      <c r="D48" s="3"/>
      <c r="E48" s="3"/>
      <c r="F48" s="3"/>
      <c r="G48" s="3"/>
      <c r="H48" s="3"/>
      <c r="I48" s="3"/>
      <c r="J48" s="3"/>
      <c r="K48" s="3"/>
    </row>
    <row r="49" spans="1:11">
      <c r="A49" s="308"/>
      <c r="B49" s="3" t="s">
        <v>536</v>
      </c>
      <c r="C49" s="3"/>
      <c r="D49" s="3"/>
      <c r="E49" s="3"/>
      <c r="F49" s="3"/>
      <c r="G49" s="3"/>
      <c r="H49" s="3"/>
      <c r="I49" s="3"/>
      <c r="J49" s="3"/>
      <c r="K49" s="3"/>
    </row>
    <row r="52" spans="1:11">
      <c r="A52" s="350" t="s">
        <v>537</v>
      </c>
      <c r="B52" s="159"/>
      <c r="C52" s="159"/>
      <c r="D52" s="23"/>
      <c r="E52" s="23"/>
      <c r="F52" s="23"/>
      <c r="G52" s="23"/>
      <c r="H52" s="23"/>
      <c r="I52" s="159"/>
      <c r="J52" s="159"/>
      <c r="K52" s="159"/>
    </row>
    <row r="53" spans="1:11">
      <c r="A53" s="308"/>
      <c r="B53" s="186" t="s">
        <v>538</v>
      </c>
      <c r="C53" s="351" t="s">
        <v>539</v>
      </c>
      <c r="D53" s="186" t="s">
        <v>540</v>
      </c>
      <c r="E53" s="186" t="s">
        <v>541</v>
      </c>
      <c r="F53" s="186"/>
      <c r="G53" s="159"/>
      <c r="H53" s="159"/>
      <c r="I53" s="159"/>
      <c r="J53" s="159"/>
      <c r="K53" s="159"/>
    </row>
    <row r="54" spans="1:11">
      <c r="A54" s="308"/>
      <c r="B54" s="352" t="str">
        <f>+A52</f>
        <v>Prior Period Adjustment</v>
      </c>
      <c r="C54" s="353" t="s">
        <v>15</v>
      </c>
      <c r="D54" s="353" t="s">
        <v>503</v>
      </c>
      <c r="E54" s="353" t="s">
        <v>20</v>
      </c>
      <c r="F54" s="159"/>
      <c r="G54" s="159"/>
      <c r="H54" s="159"/>
      <c r="I54" s="159"/>
      <c r="J54" s="159"/>
      <c r="K54" s="159"/>
    </row>
    <row r="55" spans="1:11">
      <c r="A55" s="308"/>
      <c r="B55" s="354" t="s">
        <v>542</v>
      </c>
      <c r="C55" s="355" t="s">
        <v>543</v>
      </c>
      <c r="D55" s="355" t="s">
        <v>544</v>
      </c>
      <c r="E55" s="355" t="s">
        <v>545</v>
      </c>
      <c r="F55" s="159"/>
      <c r="G55" s="159"/>
      <c r="H55" s="159"/>
      <c r="I55" s="159"/>
      <c r="J55" s="159"/>
      <c r="K55" s="159"/>
    </row>
    <row r="56" spans="1:11">
      <c r="A56" s="308" t="s">
        <v>344</v>
      </c>
      <c r="B56" s="356">
        <v>0</v>
      </c>
      <c r="C56" s="342">
        <v>0</v>
      </c>
      <c r="D56" s="342">
        <v>0</v>
      </c>
      <c r="E56" s="229">
        <f>+C56+D56</f>
        <v>0</v>
      </c>
      <c r="F56" s="159"/>
      <c r="G56" s="159"/>
      <c r="H56" s="159"/>
      <c r="I56" s="159"/>
      <c r="J56" s="159"/>
      <c r="K56" s="159"/>
    </row>
    <row r="57" spans="1:11">
      <c r="A57" s="308"/>
      <c r="B57" s="357" t="s">
        <v>1207</v>
      </c>
      <c r="C57" s="250"/>
      <c r="D57" s="934"/>
      <c r="E57" s="358"/>
      <c r="F57" s="159"/>
      <c r="G57" s="159"/>
      <c r="H57" s="159"/>
      <c r="I57" s="159"/>
      <c r="J57" s="159"/>
      <c r="K57" s="159"/>
    </row>
    <row r="58" spans="1:11">
      <c r="A58" s="308"/>
      <c r="B58" s="159"/>
      <c r="C58" s="159"/>
      <c r="D58" s="159"/>
      <c r="E58" s="159"/>
      <c r="F58" s="159"/>
      <c r="G58" s="159"/>
      <c r="H58" s="26"/>
      <c r="I58" s="159"/>
      <c r="J58" s="159"/>
      <c r="K58" s="159"/>
    </row>
    <row r="59" spans="1:11">
      <c r="A59" s="308"/>
      <c r="B59" s="159"/>
      <c r="C59" s="3"/>
      <c r="D59" s="359"/>
      <c r="E59" s="359"/>
      <c r="F59" s="359"/>
      <c r="G59" s="359"/>
      <c r="H59" s="359"/>
      <c r="I59" s="359"/>
      <c r="J59" s="159"/>
      <c r="K59" s="159"/>
    </row>
    <row r="60" spans="1:11" ht="67.5" customHeight="1">
      <c r="A60" s="360" t="s">
        <v>530</v>
      </c>
      <c r="B60" s="258" t="s">
        <v>431</v>
      </c>
      <c r="C60" s="361" t="s">
        <v>1208</v>
      </c>
      <c r="D60" s="361"/>
      <c r="E60" s="361"/>
      <c r="F60" s="361"/>
      <c r="G60" s="361"/>
      <c r="H60" s="361"/>
      <c r="I60" s="361"/>
      <c r="J60" s="361"/>
      <c r="K60" s="159"/>
    </row>
    <row r="61" spans="1:11" ht="34.5" customHeight="1">
      <c r="A61" s="308"/>
      <c r="B61" s="362" t="s">
        <v>433</v>
      </c>
      <c r="C61" s="259" t="s">
        <v>548</v>
      </c>
      <c r="D61" s="259"/>
      <c r="E61" s="259"/>
      <c r="F61" s="259"/>
      <c r="G61" s="259"/>
      <c r="H61" s="259"/>
      <c r="I61" s="259"/>
      <c r="J61" s="159"/>
      <c r="K61" s="159"/>
    </row>
    <row r="62" spans="1:11">
      <c r="B62" s="362" t="s">
        <v>278</v>
      </c>
      <c r="C62" s="259" t="s">
        <v>549</v>
      </c>
      <c r="D62" s="259"/>
      <c r="E62" s="259"/>
      <c r="F62" s="259"/>
      <c r="G62" s="259"/>
      <c r="H62" s="259"/>
      <c r="I62" s="259"/>
    </row>
  </sheetData>
  <mergeCells count="5">
    <mergeCell ref="D10:E10"/>
    <mergeCell ref="D11:E11"/>
    <mergeCell ref="C60:J60"/>
    <mergeCell ref="C61:I61"/>
    <mergeCell ref="C62:I6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174C1-F11B-4E3C-B9D5-A542ED43C928}">
  <sheetPr>
    <tabColor rgb="FF92D050"/>
  </sheetPr>
  <dimension ref="A1:K66"/>
  <sheetViews>
    <sheetView view="pageBreakPreview" zoomScale="75" zoomScaleNormal="100" zoomScaleSheetLayoutView="75" workbookViewId="0">
      <selection activeCell="D13" sqref="D13"/>
    </sheetView>
  </sheetViews>
  <sheetFormatPr defaultRowHeight="15.75"/>
  <cols>
    <col min="1" max="1" width="5.5546875" style="263" customWidth="1"/>
    <col min="2" max="2" width="21.5546875" style="264" customWidth="1"/>
    <col min="3" max="3" width="30.5546875" style="264" customWidth="1"/>
    <col min="4" max="4" width="25.21875" style="264" customWidth="1"/>
    <col min="5" max="5" width="9.88671875" style="264" customWidth="1"/>
    <col min="6" max="6" width="6.5546875" style="264" customWidth="1"/>
    <col min="7" max="7" width="9" style="264" bestFit="1" customWidth="1"/>
    <col min="8" max="8" width="5.88671875" style="264" bestFit="1" customWidth="1"/>
    <col min="9" max="9" width="12.33203125" style="264" customWidth="1"/>
    <col min="10" max="10" width="24.109375" style="276" bestFit="1" customWidth="1"/>
    <col min="11" max="11" width="12.5546875" customWidth="1"/>
  </cols>
  <sheetData>
    <row r="1" spans="1:11">
      <c r="C1" s="265"/>
      <c r="D1" s="265"/>
      <c r="E1" s="265"/>
      <c r="F1" s="266"/>
      <c r="G1" s="265"/>
      <c r="H1" s="265"/>
      <c r="I1" s="265"/>
      <c r="J1" s="267"/>
    </row>
    <row r="2" spans="1:11">
      <c r="B2" s="263"/>
      <c r="C2" s="265"/>
      <c r="D2" s="265"/>
      <c r="E2" s="265"/>
      <c r="F2" s="266"/>
      <c r="G2" s="265"/>
      <c r="H2" s="265"/>
      <c r="I2" s="265"/>
      <c r="J2" s="267"/>
    </row>
    <row r="3" spans="1:11">
      <c r="C3" s="265"/>
      <c r="D3" s="268" t="s">
        <v>9</v>
      </c>
      <c r="E3" s="268"/>
      <c r="F3" s="269" t="s">
        <v>450</v>
      </c>
      <c r="H3" s="268"/>
      <c r="I3" s="268"/>
      <c r="J3" s="265"/>
      <c r="K3" s="270" t="s">
        <v>451</v>
      </c>
    </row>
    <row r="4" spans="1:11">
      <c r="B4" s="271"/>
      <c r="C4" s="271"/>
      <c r="D4" s="271"/>
      <c r="E4" s="271"/>
      <c r="F4" s="272" t="s">
        <v>452</v>
      </c>
      <c r="H4" s="271"/>
      <c r="I4" s="271"/>
      <c r="J4" s="271"/>
      <c r="K4" s="273"/>
    </row>
    <row r="5" spans="1:11">
      <c r="B5" s="271"/>
      <c r="C5" s="271"/>
      <c r="D5" s="271"/>
      <c r="F5" s="274" t="str">
        <f>+'Attachment H'!D5</f>
        <v>GridLiance High Plains LLC</v>
      </c>
      <c r="H5" s="271"/>
      <c r="I5" s="271"/>
      <c r="J5" s="271"/>
      <c r="K5" s="271"/>
    </row>
    <row r="7" spans="1:11">
      <c r="A7" s="263">
        <v>1</v>
      </c>
      <c r="B7" s="264" t="s">
        <v>453</v>
      </c>
      <c r="C7" s="264" t="s">
        <v>454</v>
      </c>
      <c r="J7" s="264"/>
      <c r="K7" s="275">
        <f>+'Attachment H'!I106</f>
        <v>74996779.584632456</v>
      </c>
    </row>
    <row r="8" spans="1:11">
      <c r="J8" s="264"/>
      <c r="K8" s="276"/>
    </row>
    <row r="9" spans="1:11" ht="16.5" thickBot="1">
      <c r="A9" s="277">
        <f>+A7+1</f>
        <v>2</v>
      </c>
      <c r="B9" s="278" t="s">
        <v>455</v>
      </c>
      <c r="C9" s="279"/>
      <c r="D9" s="279"/>
      <c r="E9" s="279"/>
      <c r="F9" s="279"/>
      <c r="G9" s="279"/>
      <c r="H9" s="279"/>
      <c r="I9" s="279"/>
      <c r="J9" s="280" t="s">
        <v>214</v>
      </c>
      <c r="K9" s="276"/>
    </row>
    <row r="10" spans="1:11">
      <c r="A10" s="277"/>
      <c r="B10" s="281"/>
      <c r="C10" s="279"/>
      <c r="D10" s="279"/>
      <c r="E10" s="279"/>
      <c r="F10" s="279"/>
      <c r="G10" s="279"/>
      <c r="H10" s="282" t="s">
        <v>241</v>
      </c>
      <c r="I10" s="279"/>
      <c r="J10" s="279"/>
      <c r="K10" s="276"/>
    </row>
    <row r="11" spans="1:11" ht="16.5" thickBot="1">
      <c r="A11" s="277"/>
      <c r="B11" s="281"/>
      <c r="C11" s="279"/>
      <c r="D11" s="279"/>
      <c r="E11" s="283" t="s">
        <v>214</v>
      </c>
      <c r="F11" s="283" t="s">
        <v>242</v>
      </c>
      <c r="G11" s="279"/>
      <c r="H11" s="283"/>
      <c r="I11" s="279"/>
      <c r="J11" s="283" t="s">
        <v>243</v>
      </c>
      <c r="K11" s="276"/>
    </row>
    <row r="12" spans="1:11">
      <c r="A12" s="277">
        <f>+A9+1</f>
        <v>3</v>
      </c>
      <c r="B12" s="278" t="s">
        <v>244</v>
      </c>
      <c r="C12" s="284" t="s">
        <v>456</v>
      </c>
      <c r="D12" s="284"/>
      <c r="E12" s="285">
        <v>0</v>
      </c>
      <c r="F12" s="286">
        <v>0</v>
      </c>
      <c r="G12" s="287"/>
      <c r="H12" s="286">
        <v>0</v>
      </c>
      <c r="I12" s="287"/>
      <c r="J12" s="287">
        <f>F12*H12</f>
        <v>0</v>
      </c>
      <c r="K12" s="276"/>
    </row>
    <row r="13" spans="1:11">
      <c r="A13" s="277">
        <f>+A12+1</f>
        <v>4</v>
      </c>
      <c r="B13" s="278" t="s">
        <v>457</v>
      </c>
      <c r="C13" s="284" t="s">
        <v>456</v>
      </c>
      <c r="D13" s="284"/>
      <c r="E13" s="285">
        <v>0</v>
      </c>
      <c r="F13" s="286">
        <v>0</v>
      </c>
      <c r="G13" s="287"/>
      <c r="H13" s="288">
        <v>0</v>
      </c>
      <c r="I13" s="287"/>
      <c r="J13" s="287">
        <f>F13*H13</f>
        <v>0</v>
      </c>
      <c r="K13" s="276"/>
    </row>
    <row r="14" spans="1:11" ht="32.25" thickBot="1">
      <c r="A14" s="277">
        <f>+A13+1</f>
        <v>5</v>
      </c>
      <c r="B14" s="278" t="s">
        <v>248</v>
      </c>
      <c r="C14" s="284" t="s">
        <v>458</v>
      </c>
      <c r="D14" s="289" t="s">
        <v>459</v>
      </c>
      <c r="E14" s="290">
        <v>0</v>
      </c>
      <c r="F14" s="286">
        <v>0</v>
      </c>
      <c r="G14" s="287"/>
      <c r="H14" s="291">
        <v>0.113</v>
      </c>
      <c r="I14" s="287"/>
      <c r="J14" s="292">
        <f>F14*H14</f>
        <v>0</v>
      </c>
      <c r="K14" s="276"/>
    </row>
    <row r="15" spans="1:11">
      <c r="A15" s="277">
        <f>+A14+1</f>
        <v>6</v>
      </c>
      <c r="B15" s="281" t="s">
        <v>460</v>
      </c>
      <c r="C15" s="284"/>
      <c r="D15" s="284"/>
      <c r="E15" s="293">
        <f>SUM(E12:E14)</f>
        <v>0</v>
      </c>
      <c r="F15" s="287" t="s">
        <v>9</v>
      </c>
      <c r="G15" s="287"/>
      <c r="H15" s="287"/>
      <c r="I15" s="287"/>
      <c r="J15" s="287">
        <f>SUM(J12:J14)</f>
        <v>0</v>
      </c>
      <c r="K15" s="276"/>
    </row>
    <row r="16" spans="1:11">
      <c r="A16" s="277">
        <f t="shared" ref="A16:A38" si="0">+A15+1</f>
        <v>7</v>
      </c>
      <c r="B16" s="281" t="s">
        <v>461</v>
      </c>
      <c r="C16" s="284"/>
      <c r="D16" s="284"/>
      <c r="E16" s="293"/>
      <c r="F16" s="279"/>
      <c r="G16" s="279"/>
      <c r="H16" s="279"/>
      <c r="I16" s="279"/>
      <c r="J16" s="287"/>
      <c r="K16" s="287">
        <f>+J15*K7</f>
        <v>0</v>
      </c>
    </row>
    <row r="17" spans="1:11">
      <c r="A17" s="277"/>
      <c r="J17" s="264"/>
      <c r="K17" s="276"/>
    </row>
    <row r="18" spans="1:11">
      <c r="A18" s="277">
        <f>+A16+1</f>
        <v>8</v>
      </c>
      <c r="B18" s="281" t="s">
        <v>174</v>
      </c>
      <c r="C18" s="279"/>
      <c r="D18" s="279"/>
      <c r="E18" s="279"/>
      <c r="F18" s="279"/>
      <c r="G18" s="284"/>
      <c r="H18" s="294"/>
      <c r="I18" s="279"/>
      <c r="J18" s="284"/>
      <c r="K18" s="276"/>
    </row>
    <row r="19" spans="1:11">
      <c r="A19" s="277">
        <f t="shared" si="0"/>
        <v>9</v>
      </c>
      <c r="B19" s="295" t="s">
        <v>462</v>
      </c>
      <c r="C19" s="279"/>
      <c r="D19" s="11"/>
      <c r="E19" s="296">
        <v>0.16402152472396286</v>
      </c>
      <c r="F19" s="296"/>
      <c r="G19" s="284"/>
      <c r="H19" s="294"/>
      <c r="I19" s="279"/>
      <c r="J19" s="284"/>
      <c r="K19" s="276"/>
    </row>
    <row r="20" spans="1:11">
      <c r="A20" s="277">
        <f>+A19+1</f>
        <v>10</v>
      </c>
      <c r="B20" s="295" t="str">
        <f>"      1 / (1 - T)  =  (from line "&amp;A19&amp;")"</f>
        <v xml:space="preserve">      1 / (1 - T)  =  (from line 9)</v>
      </c>
      <c r="C20" s="279"/>
      <c r="D20" s="279"/>
      <c r="E20" s="296">
        <f>IF(E19&gt;0,1/(1-E19),0)</f>
        <v>1.1962030477756065</v>
      </c>
      <c r="F20" s="279"/>
      <c r="G20" s="284"/>
      <c r="H20" s="294"/>
      <c r="I20" s="279"/>
      <c r="J20" s="284"/>
      <c r="K20" s="276"/>
    </row>
    <row r="21" spans="1:11">
      <c r="A21" s="277">
        <f>+A20+1</f>
        <v>11</v>
      </c>
      <c r="B21" s="295"/>
      <c r="C21" s="279"/>
      <c r="D21" s="279"/>
      <c r="E21" s="296"/>
      <c r="F21" s="279"/>
      <c r="G21" s="284"/>
      <c r="H21" s="294"/>
      <c r="I21" s="279"/>
      <c r="J21" s="284"/>
      <c r="K21" s="276"/>
    </row>
    <row r="22" spans="1:11">
      <c r="A22" s="277">
        <f>+A21+1</f>
        <v>12</v>
      </c>
      <c r="B22" s="281" t="s">
        <v>463</v>
      </c>
      <c r="C22" s="279"/>
      <c r="D22" s="279" t="s">
        <v>464</v>
      </c>
      <c r="E22" s="297">
        <f>+'Attachment H'!D158</f>
        <v>0</v>
      </c>
      <c r="F22" s="279"/>
      <c r="G22" s="284"/>
      <c r="H22" s="294"/>
      <c r="I22" s="279"/>
      <c r="J22" s="284"/>
      <c r="K22" s="276"/>
    </row>
    <row r="23" spans="1:11">
      <c r="A23" s="277">
        <f t="shared" si="0"/>
        <v>13</v>
      </c>
      <c r="B23" s="281" t="s">
        <v>465</v>
      </c>
      <c r="C23" s="279"/>
      <c r="D23" s="279" t="s">
        <v>466</v>
      </c>
      <c r="E23" s="297">
        <f>+'Attachment H'!D159</f>
        <v>0</v>
      </c>
      <c r="F23" s="279"/>
      <c r="G23" s="284"/>
      <c r="H23" s="275"/>
      <c r="I23" s="279"/>
      <c r="J23" s="284"/>
      <c r="K23" s="276"/>
    </row>
    <row r="24" spans="1:11">
      <c r="A24" s="277">
        <f t="shared" si="0"/>
        <v>14</v>
      </c>
      <c r="B24" s="281" t="s">
        <v>467</v>
      </c>
      <c r="C24" s="279"/>
      <c r="D24" s="279" t="s">
        <v>468</v>
      </c>
      <c r="E24" s="297">
        <f>+'Attachment H'!D160</f>
        <v>0</v>
      </c>
      <c r="F24" s="279"/>
      <c r="G24" s="284"/>
      <c r="H24" s="294"/>
      <c r="I24" s="279"/>
      <c r="J24" s="284"/>
      <c r="K24" s="276"/>
    </row>
    <row r="25" spans="1:11">
      <c r="A25" s="277">
        <f t="shared" si="0"/>
        <v>15</v>
      </c>
      <c r="B25" s="295" t="s">
        <v>469</v>
      </c>
      <c r="C25" s="298"/>
      <c r="D25" s="279" t="s">
        <v>470</v>
      </c>
      <c r="E25" s="297">
        <f>+'Attachment H'!I161</f>
        <v>872908.87360086548</v>
      </c>
      <c r="F25" s="299"/>
      <c r="G25" s="299" t="s">
        <v>48</v>
      </c>
      <c r="H25" s="300"/>
      <c r="I25" s="299"/>
      <c r="J25" s="297">
        <f>+E25</f>
        <v>872908.87360086548</v>
      </c>
      <c r="K25" s="276"/>
    </row>
    <row r="26" spans="1:11">
      <c r="A26" s="277">
        <f t="shared" si="0"/>
        <v>16</v>
      </c>
      <c r="B26" s="284" t="s">
        <v>471</v>
      </c>
      <c r="C26" s="298"/>
      <c r="D26" s="298"/>
      <c r="E26" s="297">
        <f>+E$20*E22</f>
        <v>0</v>
      </c>
      <c r="F26" s="299"/>
      <c r="G26" s="301" t="s">
        <v>87</v>
      </c>
      <c r="H26" s="287">
        <f>+'Attachment H'!G84</f>
        <v>1</v>
      </c>
      <c r="I26" s="299"/>
      <c r="J26" s="297">
        <f>+E26*H26</f>
        <v>0</v>
      </c>
      <c r="K26" s="276"/>
    </row>
    <row r="27" spans="1:11">
      <c r="A27" s="277">
        <f t="shared" si="0"/>
        <v>17</v>
      </c>
      <c r="B27" s="284" t="s">
        <v>472</v>
      </c>
      <c r="C27" s="298"/>
      <c r="D27" s="298"/>
      <c r="E27" s="297">
        <f>+E$20*E23</f>
        <v>0</v>
      </c>
      <c r="F27" s="299"/>
      <c r="G27" s="301" t="s">
        <v>87</v>
      </c>
      <c r="H27" s="287">
        <f>H26</f>
        <v>1</v>
      </c>
      <c r="I27" s="299"/>
      <c r="J27" s="297">
        <f>+E27*H27</f>
        <v>0</v>
      </c>
      <c r="K27" s="276"/>
    </row>
    <row r="28" spans="1:11">
      <c r="A28" s="277">
        <f t="shared" si="0"/>
        <v>18</v>
      </c>
      <c r="B28" s="284" t="s">
        <v>473</v>
      </c>
      <c r="C28" s="298"/>
      <c r="D28" s="298"/>
      <c r="E28" s="302">
        <f>+E$20*E24</f>
        <v>0</v>
      </c>
      <c r="F28" s="299"/>
      <c r="G28" s="301" t="s">
        <v>87</v>
      </c>
      <c r="H28" s="287">
        <f>H27</f>
        <v>1</v>
      </c>
      <c r="I28" s="299"/>
      <c r="J28" s="302">
        <f>+E28*H28</f>
        <v>0</v>
      </c>
      <c r="K28" s="276"/>
    </row>
    <row r="29" spans="1:11">
      <c r="A29" s="277">
        <f t="shared" si="0"/>
        <v>19</v>
      </c>
      <c r="B29" s="303" t="s">
        <v>474</v>
      </c>
      <c r="C29" s="284"/>
      <c r="D29" s="284"/>
      <c r="E29" s="297">
        <f>SUM(E25:E28)</f>
        <v>872908.87360086548</v>
      </c>
      <c r="F29" s="299"/>
      <c r="G29" s="299" t="s">
        <v>9</v>
      </c>
      <c r="H29" s="300" t="s">
        <v>9</v>
      </c>
      <c r="I29" s="299"/>
      <c r="J29" s="297">
        <f>SUM(J25:J28)</f>
        <v>872908.87360086548</v>
      </c>
      <c r="K29" s="287">
        <f>+J29</f>
        <v>872908.87360086548</v>
      </c>
    </row>
    <row r="30" spans="1:11">
      <c r="A30" s="277"/>
      <c r="J30" s="264"/>
      <c r="K30" s="276"/>
    </row>
    <row r="31" spans="1:11">
      <c r="A31" s="277">
        <f>+A29+1</f>
        <v>20</v>
      </c>
      <c r="B31" s="284" t="s">
        <v>475</v>
      </c>
      <c r="J31" s="264"/>
      <c r="K31" s="287">
        <f>+K29+K16</f>
        <v>872908.87360086548</v>
      </c>
    </row>
    <row r="32" spans="1:11">
      <c r="A32" s="277"/>
      <c r="J32" s="264"/>
      <c r="K32" s="276"/>
    </row>
    <row r="33" spans="1:11">
      <c r="A33" s="277">
        <f>+A31+1</f>
        <v>21</v>
      </c>
      <c r="B33" s="264" t="s">
        <v>476</v>
      </c>
      <c r="J33" s="264"/>
      <c r="K33" s="287">
        <f>+'Attachment H'!I168</f>
        <v>5765974.4614241216</v>
      </c>
    </row>
    <row r="34" spans="1:11">
      <c r="A34" s="277">
        <f t="shared" si="0"/>
        <v>22</v>
      </c>
      <c r="B34" s="264" t="s">
        <v>477</v>
      </c>
      <c r="J34" s="264"/>
      <c r="K34" s="287">
        <f>+'Attachment H'!I165</f>
        <v>872908.87360086548</v>
      </c>
    </row>
    <row r="35" spans="1:11">
      <c r="A35" s="277">
        <f t="shared" si="0"/>
        <v>23</v>
      </c>
      <c r="B35" s="284" t="s">
        <v>478</v>
      </c>
      <c r="J35" s="264"/>
      <c r="K35" s="304">
        <f>SUM(K33:K34)</f>
        <v>6638883.3350249873</v>
      </c>
    </row>
    <row r="36" spans="1:11">
      <c r="A36" s="277">
        <f t="shared" si="0"/>
        <v>24</v>
      </c>
      <c r="B36" s="284" t="s">
        <v>479</v>
      </c>
      <c r="J36" s="264"/>
      <c r="K36" s="287">
        <f>+K31-K35</f>
        <v>-5765974.4614241216</v>
      </c>
    </row>
    <row r="37" spans="1:11">
      <c r="A37" s="277">
        <f t="shared" si="0"/>
        <v>25</v>
      </c>
      <c r="B37" s="264" t="s">
        <v>480</v>
      </c>
      <c r="J37" s="264"/>
      <c r="K37" s="305">
        <f>+K7</f>
        <v>74996779.584632456</v>
      </c>
    </row>
    <row r="38" spans="1:11">
      <c r="A38" s="277">
        <f t="shared" si="0"/>
        <v>26</v>
      </c>
      <c r="B38" s="264" t="s">
        <v>481</v>
      </c>
      <c r="J38" s="264"/>
      <c r="K38" s="306">
        <f>IF(K37=0,0,K36/K37)</f>
        <v>-7.6882960753232449E-2</v>
      </c>
    </row>
    <row r="39" spans="1:11">
      <c r="J39" s="264"/>
      <c r="K39" s="276"/>
    </row>
    <row r="40" spans="1:11">
      <c r="A40" s="263" t="s">
        <v>482</v>
      </c>
      <c r="J40" s="264"/>
      <c r="K40" s="276"/>
    </row>
    <row r="41" spans="1:11">
      <c r="A41" s="307" t="s">
        <v>431</v>
      </c>
      <c r="B41" s="275" t="s">
        <v>483</v>
      </c>
      <c r="J41" s="264"/>
      <c r="K41" s="276"/>
    </row>
    <row r="42" spans="1:11">
      <c r="A42" s="307"/>
      <c r="B42" s="264" t="s">
        <v>484</v>
      </c>
      <c r="J42" s="264"/>
      <c r="K42" s="276"/>
    </row>
    <row r="43" spans="1:11">
      <c r="A43" s="307"/>
      <c r="B43" s="264" t="s">
        <v>485</v>
      </c>
      <c r="J43" s="264"/>
      <c r="K43" s="276"/>
    </row>
    <row r="44" spans="1:11">
      <c r="A44" s="307"/>
      <c r="B44" s="264" t="s">
        <v>486</v>
      </c>
      <c r="J44" s="264"/>
      <c r="K44" s="276"/>
    </row>
    <row r="45" spans="1:11">
      <c r="A45" s="307" t="s">
        <v>433</v>
      </c>
      <c r="B45" s="264" t="s">
        <v>487</v>
      </c>
      <c r="J45" s="264"/>
      <c r="K45" s="276"/>
    </row>
    <row r="46" spans="1:11">
      <c r="B46" s="264" t="s">
        <v>488</v>
      </c>
      <c r="J46" s="264"/>
      <c r="K46" s="276"/>
    </row>
    <row r="66" ht="24" customHeight="1"/>
  </sheetData>
  <pageMargins left="0.7" right="0.7" top="0.75" bottom="0.75" header="0.3" footer="0.3"/>
  <pageSetup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87220-997D-4BA1-8F83-E9ECA0481BB7}">
  <sheetPr>
    <tabColor rgb="FF92D050"/>
    <pageSetUpPr fitToPage="1"/>
  </sheetPr>
  <dimension ref="A1:M69"/>
  <sheetViews>
    <sheetView view="pageBreakPreview" zoomScale="75" zoomScaleNormal="65" zoomScaleSheetLayoutView="75" workbookViewId="0"/>
  </sheetViews>
  <sheetFormatPr defaultColWidth="8.88671875" defaultRowHeight="12.75"/>
  <cols>
    <col min="1" max="1" width="6" style="159" customWidth="1"/>
    <col min="2" max="2" width="21.88671875" style="159" customWidth="1"/>
    <col min="3" max="3" width="24.5546875" style="159" customWidth="1"/>
    <col min="4" max="4" width="18.6640625" style="159" customWidth="1"/>
    <col min="5" max="5" width="22.21875" style="159" customWidth="1"/>
    <col min="6" max="6" width="15.21875" style="159" customWidth="1"/>
    <col min="7" max="7" width="18.33203125" style="159" customWidth="1"/>
    <col min="8" max="8" width="14.44140625" style="159" customWidth="1"/>
    <col min="9" max="9" width="18.5546875" style="159" customWidth="1"/>
    <col min="10" max="10" width="13.77734375" style="159" customWidth="1"/>
    <col min="11" max="11" width="14.44140625" style="159" customWidth="1"/>
    <col min="12" max="12" width="13.5546875" style="159" customWidth="1"/>
    <col min="13" max="16384" width="8.88671875" style="159"/>
  </cols>
  <sheetData>
    <row r="1" spans="1:13">
      <c r="J1" s="161" t="s">
        <v>451</v>
      </c>
    </row>
    <row r="5" spans="1:13">
      <c r="A5" s="308"/>
      <c r="D5" s="161"/>
      <c r="E5" s="162" t="s">
        <v>489</v>
      </c>
      <c r="F5" s="161"/>
      <c r="G5" s="161"/>
      <c r="I5" s="161"/>
      <c r="J5" s="161"/>
      <c r="K5" s="161"/>
      <c r="L5" s="161"/>
    </row>
    <row r="6" spans="1:13">
      <c r="A6" s="308"/>
      <c r="D6" s="161"/>
      <c r="E6" s="309" t="s">
        <v>490</v>
      </c>
      <c r="F6" s="165"/>
      <c r="G6" s="165"/>
      <c r="I6" s="165"/>
      <c r="J6" s="165"/>
      <c r="K6" s="165"/>
      <c r="L6" s="161"/>
    </row>
    <row r="7" spans="1:13">
      <c r="A7" s="308"/>
      <c r="C7" s="164"/>
      <c r="D7" s="164"/>
      <c r="E7" s="18" t="str">
        <f>+'2-Incentive ROE'!F5</f>
        <v>GridLiance High Plains LLC</v>
      </c>
      <c r="F7" s="164"/>
      <c r="G7" s="164"/>
      <c r="I7" s="164"/>
      <c r="J7" s="164"/>
      <c r="K7" s="164"/>
      <c r="L7" s="164"/>
    </row>
    <row r="8" spans="1:13" s="311" customFormat="1">
      <c r="A8" s="310"/>
      <c r="B8" s="159"/>
      <c r="C8" s="159"/>
      <c r="D8" s="159"/>
      <c r="E8" s="175"/>
      <c r="F8" s="175"/>
      <c r="G8" s="175"/>
      <c r="H8" s="159"/>
      <c r="I8" s="164"/>
      <c r="J8" s="164"/>
      <c r="K8" s="164"/>
      <c r="L8" s="164"/>
    </row>
    <row r="9" spans="1:13" s="311" customFormat="1">
      <c r="A9" s="308"/>
      <c r="B9" s="3"/>
      <c r="C9" s="3"/>
      <c r="D9" s="3"/>
      <c r="E9" s="3"/>
      <c r="F9" s="3"/>
      <c r="G9" s="3"/>
      <c r="H9" s="3"/>
      <c r="I9" s="3"/>
      <c r="J9" s="3"/>
      <c r="K9" s="15"/>
      <c r="L9" s="3"/>
    </row>
    <row r="10" spans="1:13" s="311" customFormat="1">
      <c r="A10" s="308"/>
      <c r="B10" s="3"/>
      <c r="C10" s="3"/>
      <c r="D10" s="312" t="s">
        <v>491</v>
      </c>
      <c r="E10" s="313"/>
      <c r="F10" s="314"/>
      <c r="G10" s="315" t="s">
        <v>492</v>
      </c>
      <c r="H10" s="314"/>
      <c r="I10" s="316"/>
      <c r="J10" s="316"/>
      <c r="K10" s="317"/>
    </row>
    <row r="11" spans="1:13" s="311" customFormat="1" ht="15.75">
      <c r="A11" s="308">
        <v>1</v>
      </c>
      <c r="B11" s="3" t="s">
        <v>493</v>
      </c>
      <c r="C11" s="3"/>
      <c r="D11" s="318" t="s">
        <v>494</v>
      </c>
      <c r="E11" s="319"/>
      <c r="F11" s="320" t="s">
        <v>495</v>
      </c>
      <c r="G11" s="321" t="s">
        <v>496</v>
      </c>
      <c r="H11" s="320" t="s">
        <v>497</v>
      </c>
      <c r="I11" s="322"/>
      <c r="J11" s="322"/>
      <c r="K11" s="323"/>
    </row>
    <row r="12" spans="1:13" s="311" customFormat="1">
      <c r="A12" s="308">
        <v>2</v>
      </c>
      <c r="B12" s="324">
        <v>2018</v>
      </c>
      <c r="C12" s="3"/>
      <c r="D12" s="325"/>
      <c r="E12" s="325"/>
      <c r="F12" s="326">
        <f>D39</f>
        <v>1790105.1118884841</v>
      </c>
      <c r="G12" s="327"/>
      <c r="H12" s="325"/>
      <c r="I12" s="325"/>
      <c r="J12" s="325"/>
      <c r="K12" s="314"/>
    </row>
    <row r="13" spans="1:13" s="311" customFormat="1">
      <c r="B13" s="328" t="s">
        <v>431</v>
      </c>
      <c r="C13" s="328" t="s">
        <v>433</v>
      </c>
      <c r="D13" s="321" t="s">
        <v>278</v>
      </c>
      <c r="E13" s="321" t="s">
        <v>280</v>
      </c>
      <c r="F13" s="315" t="s">
        <v>282</v>
      </c>
      <c r="G13" s="328" t="s">
        <v>284</v>
      </c>
      <c r="H13" s="329" t="s">
        <v>286</v>
      </c>
      <c r="I13" s="329" t="s">
        <v>296</v>
      </c>
      <c r="J13" s="329" t="s">
        <v>298</v>
      </c>
      <c r="K13" s="330" t="s">
        <v>300</v>
      </c>
      <c r="M13" s="15"/>
    </row>
    <row r="14" spans="1:13" s="311" customFormat="1">
      <c r="A14" s="308"/>
      <c r="B14" s="325"/>
      <c r="C14" s="315"/>
      <c r="D14" s="315"/>
      <c r="E14" s="331" t="s">
        <v>498</v>
      </c>
      <c r="F14" s="315"/>
      <c r="G14" s="315"/>
      <c r="H14" s="325"/>
      <c r="I14" s="315"/>
      <c r="J14" s="325"/>
      <c r="K14" s="325"/>
    </row>
    <row r="15" spans="1:13" s="311" customFormat="1">
      <c r="A15" s="308"/>
      <c r="B15" s="327"/>
      <c r="C15" s="329"/>
      <c r="D15" s="329" t="s">
        <v>499</v>
      </c>
      <c r="E15" s="330" t="s">
        <v>20</v>
      </c>
      <c r="F15" s="329" t="s">
        <v>500</v>
      </c>
      <c r="G15" s="329" t="s">
        <v>501</v>
      </c>
      <c r="H15" s="329" t="s">
        <v>502</v>
      </c>
      <c r="I15" s="329"/>
      <c r="J15" s="329" t="s">
        <v>503</v>
      </c>
      <c r="K15" s="329"/>
    </row>
    <row r="16" spans="1:13" s="311" customFormat="1">
      <c r="A16" s="308"/>
      <c r="B16" s="329" t="s">
        <v>504</v>
      </c>
      <c r="C16" s="329"/>
      <c r="D16" s="329" t="s">
        <v>505</v>
      </c>
      <c r="E16" s="330" t="s">
        <v>506</v>
      </c>
      <c r="F16" s="329" t="s">
        <v>507</v>
      </c>
      <c r="G16" s="329" t="s">
        <v>505</v>
      </c>
      <c r="H16" s="329" t="s">
        <v>508</v>
      </c>
      <c r="I16" s="315" t="s">
        <v>509</v>
      </c>
      <c r="J16" s="329" t="s">
        <v>510</v>
      </c>
      <c r="K16" s="329" t="s">
        <v>511</v>
      </c>
    </row>
    <row r="17" spans="1:11" s="311" customFormat="1" ht="15.75">
      <c r="A17" s="308"/>
      <c r="B17" s="321" t="s">
        <v>512</v>
      </c>
      <c r="C17" s="321" t="s">
        <v>513</v>
      </c>
      <c r="D17" s="321" t="s">
        <v>514</v>
      </c>
      <c r="E17" s="330" t="s">
        <v>496</v>
      </c>
      <c r="F17" s="332" t="s">
        <v>515</v>
      </c>
      <c r="G17" s="321" t="s">
        <v>516</v>
      </c>
      <c r="H17" s="321" t="s">
        <v>517</v>
      </c>
      <c r="I17" s="329" t="s">
        <v>518</v>
      </c>
      <c r="J17" s="321" t="s">
        <v>519</v>
      </c>
      <c r="K17" s="321" t="s">
        <v>520</v>
      </c>
    </row>
    <row r="18" spans="1:11" s="311" customFormat="1">
      <c r="A18" s="308">
        <v>3</v>
      </c>
      <c r="B18" s="327" t="s">
        <v>1</v>
      </c>
      <c r="C18" s="327"/>
      <c r="D18" s="333">
        <v>0</v>
      </c>
      <c r="E18" s="334">
        <f>IF(D$39=0,0,D18/D$39)</f>
        <v>0</v>
      </c>
      <c r="F18" s="335">
        <f>IF(F$12=0,0,E18*F$12)</f>
        <v>0</v>
      </c>
      <c r="G18" s="336">
        <v>0</v>
      </c>
      <c r="H18" s="337">
        <f t="shared" ref="H18:H37" si="0">+G18-F18</f>
        <v>0</v>
      </c>
      <c r="I18" s="338">
        <v>0</v>
      </c>
      <c r="J18" s="337">
        <f t="shared" ref="J18:J37" si="1">(H18+I18)*((J$41/12)*24)</f>
        <v>0</v>
      </c>
      <c r="K18" s="337">
        <f>+H18+J18+I18</f>
        <v>0</v>
      </c>
    </row>
    <row r="19" spans="1:11" s="311" customFormat="1">
      <c r="A19" s="308"/>
      <c r="B19" s="339"/>
      <c r="C19" s="339"/>
      <c r="D19" s="340">
        <v>0</v>
      </c>
      <c r="E19" s="226">
        <f t="shared" ref="E19:E37" si="2">IF(D$39=0,0,D19/D$39)</f>
        <v>0</v>
      </c>
      <c r="F19" s="335">
        <f t="shared" ref="F19:F37" si="3">IF(F$12=0,0,E19*F$12)</f>
        <v>0</v>
      </c>
      <c r="G19" s="341">
        <v>0</v>
      </c>
      <c r="H19" s="226">
        <f t="shared" si="0"/>
        <v>0</v>
      </c>
      <c r="I19" s="342">
        <v>0</v>
      </c>
      <c r="J19" s="337">
        <f t="shared" si="1"/>
        <v>0</v>
      </c>
      <c r="K19" s="337">
        <f t="shared" ref="K19:K37" si="4">+H19+J19+I19</f>
        <v>0</v>
      </c>
    </row>
    <row r="20" spans="1:11" s="311" customFormat="1">
      <c r="A20" s="308" t="s">
        <v>521</v>
      </c>
      <c r="B20" s="343" t="s">
        <v>417</v>
      </c>
      <c r="C20" s="339" t="s">
        <v>522</v>
      </c>
      <c r="D20" s="340">
        <v>1022125.6699447067</v>
      </c>
      <c r="E20" s="226">
        <f t="shared" si="2"/>
        <v>0.57098639803693318</v>
      </c>
      <c r="F20" s="335">
        <f t="shared" si="3"/>
        <v>1022125.6699447068</v>
      </c>
      <c r="G20" s="341">
        <v>2327259.112600524</v>
      </c>
      <c r="H20" s="226">
        <f t="shared" si="0"/>
        <v>1305133.4426558171</v>
      </c>
      <c r="I20" s="342">
        <v>0</v>
      </c>
      <c r="J20" s="337">
        <f t="shared" si="1"/>
        <v>106946.36324391095</v>
      </c>
      <c r="K20" s="337">
        <f t="shared" si="4"/>
        <v>1412079.8058997281</v>
      </c>
    </row>
    <row r="21" spans="1:11" s="311" customFormat="1">
      <c r="A21" s="308"/>
      <c r="B21" s="343"/>
      <c r="C21" s="339"/>
      <c r="D21" s="340">
        <v>0</v>
      </c>
      <c r="E21" s="226">
        <f t="shared" si="2"/>
        <v>0</v>
      </c>
      <c r="F21" s="335">
        <f t="shared" si="3"/>
        <v>0</v>
      </c>
      <c r="G21" s="341">
        <v>0</v>
      </c>
      <c r="H21" s="226">
        <f t="shared" si="0"/>
        <v>0</v>
      </c>
      <c r="I21" s="342">
        <v>0</v>
      </c>
      <c r="J21" s="337">
        <f t="shared" si="1"/>
        <v>0</v>
      </c>
      <c r="K21" s="337">
        <f t="shared" si="4"/>
        <v>0</v>
      </c>
    </row>
    <row r="22" spans="1:11" s="311" customFormat="1">
      <c r="A22" s="308" t="s">
        <v>523</v>
      </c>
      <c r="B22" s="343" t="s">
        <v>420</v>
      </c>
      <c r="C22" s="339" t="s">
        <v>422</v>
      </c>
      <c r="D22" s="340">
        <v>767979.44194377726</v>
      </c>
      <c r="E22" s="226">
        <f t="shared" si="2"/>
        <v>0.42901360196306682</v>
      </c>
      <c r="F22" s="335">
        <f t="shared" si="3"/>
        <v>767979.44194377726</v>
      </c>
      <c r="G22" s="341">
        <v>1351878.4499361399</v>
      </c>
      <c r="H22" s="226">
        <f t="shared" si="0"/>
        <v>583899.0079923626</v>
      </c>
      <c r="I22" s="342">
        <v>0</v>
      </c>
      <c r="J22" s="337">
        <f t="shared" si="1"/>
        <v>47846.352997774164</v>
      </c>
      <c r="K22" s="337">
        <f t="shared" si="4"/>
        <v>631745.36099013675</v>
      </c>
    </row>
    <row r="23" spans="1:11" s="311" customFormat="1">
      <c r="A23" s="308"/>
      <c r="B23" s="344"/>
      <c r="C23" s="339"/>
      <c r="D23" s="340">
        <v>0</v>
      </c>
      <c r="E23" s="226">
        <f t="shared" si="2"/>
        <v>0</v>
      </c>
      <c r="F23" s="335">
        <f t="shared" si="3"/>
        <v>0</v>
      </c>
      <c r="G23" s="341">
        <v>0</v>
      </c>
      <c r="H23" s="226">
        <f t="shared" si="0"/>
        <v>0</v>
      </c>
      <c r="I23" s="342">
        <v>0</v>
      </c>
      <c r="J23" s="337">
        <f t="shared" si="1"/>
        <v>0</v>
      </c>
      <c r="K23" s="337">
        <f t="shared" si="4"/>
        <v>0</v>
      </c>
    </row>
    <row r="24" spans="1:11" s="311" customFormat="1">
      <c r="A24" s="308" t="s">
        <v>524</v>
      </c>
      <c r="B24" s="344"/>
      <c r="C24" s="339"/>
      <c r="D24" s="340">
        <v>0</v>
      </c>
      <c r="E24" s="226">
        <f t="shared" si="2"/>
        <v>0</v>
      </c>
      <c r="F24" s="335">
        <f t="shared" si="3"/>
        <v>0</v>
      </c>
      <c r="G24" s="341">
        <v>0</v>
      </c>
      <c r="H24" s="226">
        <f t="shared" si="0"/>
        <v>0</v>
      </c>
      <c r="I24" s="342">
        <v>0</v>
      </c>
      <c r="J24" s="337">
        <f t="shared" si="1"/>
        <v>0</v>
      </c>
      <c r="K24" s="337">
        <f t="shared" si="4"/>
        <v>0</v>
      </c>
    </row>
    <row r="25" spans="1:11">
      <c r="A25" s="308"/>
      <c r="B25" s="344"/>
      <c r="C25" s="339"/>
      <c r="D25" s="340">
        <v>0</v>
      </c>
      <c r="E25" s="226">
        <f t="shared" si="2"/>
        <v>0</v>
      </c>
      <c r="F25" s="335">
        <f t="shared" si="3"/>
        <v>0</v>
      </c>
      <c r="G25" s="341">
        <v>0</v>
      </c>
      <c r="H25" s="226">
        <f t="shared" si="0"/>
        <v>0</v>
      </c>
      <c r="I25" s="342">
        <v>0</v>
      </c>
      <c r="J25" s="337">
        <f t="shared" si="1"/>
        <v>0</v>
      </c>
      <c r="K25" s="337">
        <f t="shared" si="4"/>
        <v>0</v>
      </c>
    </row>
    <row r="26" spans="1:11">
      <c r="A26" s="308" t="s">
        <v>525</v>
      </c>
      <c r="B26" s="344"/>
      <c r="C26" s="339"/>
      <c r="D26" s="340">
        <v>0</v>
      </c>
      <c r="E26" s="226">
        <f t="shared" si="2"/>
        <v>0</v>
      </c>
      <c r="F26" s="335">
        <f t="shared" si="3"/>
        <v>0</v>
      </c>
      <c r="G26" s="341">
        <v>0</v>
      </c>
      <c r="H26" s="226">
        <f t="shared" si="0"/>
        <v>0</v>
      </c>
      <c r="I26" s="342">
        <v>0</v>
      </c>
      <c r="J26" s="337">
        <f t="shared" si="1"/>
        <v>0</v>
      </c>
      <c r="K26" s="337">
        <f t="shared" si="4"/>
        <v>0</v>
      </c>
    </row>
    <row r="27" spans="1:11">
      <c r="A27" s="308"/>
      <c r="B27" s="344"/>
      <c r="C27" s="339"/>
      <c r="D27" s="340">
        <v>0</v>
      </c>
      <c r="E27" s="226">
        <f t="shared" si="2"/>
        <v>0</v>
      </c>
      <c r="F27" s="335">
        <f t="shared" si="3"/>
        <v>0</v>
      </c>
      <c r="G27" s="341">
        <v>0</v>
      </c>
      <c r="H27" s="226">
        <f t="shared" si="0"/>
        <v>0</v>
      </c>
      <c r="I27" s="342">
        <v>0</v>
      </c>
      <c r="J27" s="337">
        <f t="shared" si="1"/>
        <v>0</v>
      </c>
      <c r="K27" s="337">
        <f t="shared" si="4"/>
        <v>0</v>
      </c>
    </row>
    <row r="28" spans="1:11" ht="12.75" customHeight="1">
      <c r="A28" s="308" t="s">
        <v>526</v>
      </c>
      <c r="B28" s="344"/>
      <c r="C28" s="339"/>
      <c r="D28" s="340">
        <v>0</v>
      </c>
      <c r="E28" s="226">
        <f t="shared" si="2"/>
        <v>0</v>
      </c>
      <c r="F28" s="335">
        <f t="shared" si="3"/>
        <v>0</v>
      </c>
      <c r="G28" s="341">
        <v>0</v>
      </c>
      <c r="H28" s="226">
        <f t="shared" si="0"/>
        <v>0</v>
      </c>
      <c r="I28" s="342">
        <v>0</v>
      </c>
      <c r="J28" s="337">
        <f t="shared" si="1"/>
        <v>0</v>
      </c>
      <c r="K28" s="337">
        <f t="shared" si="4"/>
        <v>0</v>
      </c>
    </row>
    <row r="29" spans="1:11">
      <c r="A29" s="308"/>
      <c r="B29" s="343"/>
      <c r="C29" s="339"/>
      <c r="D29" s="340">
        <v>0</v>
      </c>
      <c r="E29" s="226">
        <f t="shared" si="2"/>
        <v>0</v>
      </c>
      <c r="F29" s="335">
        <f t="shared" si="3"/>
        <v>0</v>
      </c>
      <c r="G29" s="341">
        <v>0</v>
      </c>
      <c r="H29" s="226">
        <f t="shared" si="0"/>
        <v>0</v>
      </c>
      <c r="I29" s="342">
        <v>0</v>
      </c>
      <c r="J29" s="337">
        <f t="shared" si="1"/>
        <v>0</v>
      </c>
      <c r="K29" s="337">
        <f t="shared" si="4"/>
        <v>0</v>
      </c>
    </row>
    <row r="30" spans="1:11">
      <c r="A30" s="308"/>
      <c r="B30" s="343"/>
      <c r="C30" s="339"/>
      <c r="D30" s="340">
        <v>0</v>
      </c>
      <c r="E30" s="226">
        <f t="shared" si="2"/>
        <v>0</v>
      </c>
      <c r="F30" s="335">
        <f t="shared" si="3"/>
        <v>0</v>
      </c>
      <c r="G30" s="341">
        <v>0</v>
      </c>
      <c r="H30" s="226">
        <f t="shared" si="0"/>
        <v>0</v>
      </c>
      <c r="I30" s="342">
        <v>0</v>
      </c>
      <c r="J30" s="337">
        <f t="shared" si="1"/>
        <v>0</v>
      </c>
      <c r="K30" s="337">
        <f t="shared" si="4"/>
        <v>0</v>
      </c>
    </row>
    <row r="31" spans="1:11">
      <c r="A31" s="308"/>
      <c r="B31" s="343"/>
      <c r="C31" s="339"/>
      <c r="D31" s="340">
        <v>0</v>
      </c>
      <c r="E31" s="226">
        <f t="shared" si="2"/>
        <v>0</v>
      </c>
      <c r="F31" s="335">
        <f t="shared" si="3"/>
        <v>0</v>
      </c>
      <c r="G31" s="341">
        <v>0</v>
      </c>
      <c r="H31" s="226">
        <f t="shared" si="0"/>
        <v>0</v>
      </c>
      <c r="I31" s="342">
        <v>0</v>
      </c>
      <c r="J31" s="337">
        <f t="shared" si="1"/>
        <v>0</v>
      </c>
      <c r="K31" s="337">
        <f t="shared" si="4"/>
        <v>0</v>
      </c>
    </row>
    <row r="32" spans="1:11">
      <c r="A32" s="308"/>
      <c r="B32" s="343"/>
      <c r="C32" s="339"/>
      <c r="D32" s="340">
        <v>0</v>
      </c>
      <c r="E32" s="226">
        <f t="shared" si="2"/>
        <v>0</v>
      </c>
      <c r="F32" s="335">
        <f t="shared" si="3"/>
        <v>0</v>
      </c>
      <c r="G32" s="341">
        <v>0</v>
      </c>
      <c r="H32" s="226">
        <f t="shared" si="0"/>
        <v>0</v>
      </c>
      <c r="I32" s="342">
        <v>0</v>
      </c>
      <c r="J32" s="337">
        <f t="shared" si="1"/>
        <v>0</v>
      </c>
      <c r="K32" s="337">
        <f t="shared" si="4"/>
        <v>0</v>
      </c>
    </row>
    <row r="33" spans="1:12">
      <c r="A33" s="308"/>
      <c r="B33" s="343"/>
      <c r="C33" s="339"/>
      <c r="D33" s="340">
        <v>0</v>
      </c>
      <c r="E33" s="226">
        <f t="shared" si="2"/>
        <v>0</v>
      </c>
      <c r="F33" s="335">
        <f t="shared" si="3"/>
        <v>0</v>
      </c>
      <c r="G33" s="341">
        <v>0</v>
      </c>
      <c r="H33" s="226">
        <f t="shared" si="0"/>
        <v>0</v>
      </c>
      <c r="I33" s="342">
        <v>0</v>
      </c>
      <c r="J33" s="337">
        <f t="shared" si="1"/>
        <v>0</v>
      </c>
      <c r="K33" s="337">
        <f t="shared" si="4"/>
        <v>0</v>
      </c>
    </row>
    <row r="34" spans="1:12">
      <c r="A34" s="308"/>
      <c r="B34" s="339"/>
      <c r="C34" s="339"/>
      <c r="D34" s="340">
        <v>0</v>
      </c>
      <c r="E34" s="226">
        <f t="shared" si="2"/>
        <v>0</v>
      </c>
      <c r="F34" s="335">
        <f t="shared" si="3"/>
        <v>0</v>
      </c>
      <c r="G34" s="341">
        <v>0</v>
      </c>
      <c r="H34" s="226">
        <f t="shared" si="0"/>
        <v>0</v>
      </c>
      <c r="I34" s="342">
        <v>0</v>
      </c>
      <c r="J34" s="337">
        <f t="shared" si="1"/>
        <v>0</v>
      </c>
      <c r="K34" s="337">
        <f t="shared" si="4"/>
        <v>0</v>
      </c>
    </row>
    <row r="35" spans="1:12" ht="13.5" customHeight="1">
      <c r="A35" s="308"/>
      <c r="B35" s="339"/>
      <c r="C35" s="339"/>
      <c r="D35" s="340">
        <v>0</v>
      </c>
      <c r="E35" s="226">
        <f t="shared" si="2"/>
        <v>0</v>
      </c>
      <c r="F35" s="335">
        <f t="shared" si="3"/>
        <v>0</v>
      </c>
      <c r="G35" s="341">
        <v>0</v>
      </c>
      <c r="H35" s="226">
        <f t="shared" si="0"/>
        <v>0</v>
      </c>
      <c r="I35" s="342">
        <v>0</v>
      </c>
      <c r="J35" s="337">
        <f t="shared" si="1"/>
        <v>0</v>
      </c>
      <c r="K35" s="337">
        <f t="shared" si="4"/>
        <v>0</v>
      </c>
    </row>
    <row r="36" spans="1:12" ht="13.5" customHeight="1">
      <c r="A36" s="308"/>
      <c r="B36" s="339"/>
      <c r="C36" s="339"/>
      <c r="D36" s="340">
        <v>0</v>
      </c>
      <c r="E36" s="226">
        <f t="shared" si="2"/>
        <v>0</v>
      </c>
      <c r="F36" s="335">
        <f t="shared" si="3"/>
        <v>0</v>
      </c>
      <c r="G36" s="341">
        <v>0</v>
      </c>
      <c r="H36" s="226">
        <f t="shared" si="0"/>
        <v>0</v>
      </c>
      <c r="I36" s="342">
        <v>0</v>
      </c>
      <c r="J36" s="337">
        <f t="shared" si="1"/>
        <v>0</v>
      </c>
      <c r="K36" s="337">
        <f t="shared" si="4"/>
        <v>0</v>
      </c>
    </row>
    <row r="37" spans="1:12">
      <c r="A37" s="308"/>
      <c r="B37" s="339"/>
      <c r="C37" s="339"/>
      <c r="D37" s="340">
        <v>0</v>
      </c>
      <c r="E37" s="226">
        <f t="shared" si="2"/>
        <v>0</v>
      </c>
      <c r="F37" s="335">
        <f t="shared" si="3"/>
        <v>0</v>
      </c>
      <c r="G37" s="341">
        <v>0</v>
      </c>
      <c r="H37" s="226">
        <f t="shared" si="0"/>
        <v>0</v>
      </c>
      <c r="I37" s="342">
        <v>0</v>
      </c>
      <c r="J37" s="337">
        <f t="shared" si="1"/>
        <v>0</v>
      </c>
      <c r="K37" s="337">
        <f t="shared" si="4"/>
        <v>0</v>
      </c>
    </row>
    <row r="38" spans="1:12">
      <c r="A38" s="308"/>
      <c r="B38" s="345"/>
      <c r="C38" s="345"/>
      <c r="D38" s="346"/>
      <c r="E38" s="347"/>
      <c r="F38" s="322"/>
      <c r="G38" s="348"/>
      <c r="H38" s="345"/>
      <c r="I38" s="345"/>
      <c r="J38" s="345"/>
      <c r="K38" s="345"/>
    </row>
    <row r="39" spans="1:12">
      <c r="A39" s="308">
        <v>4</v>
      </c>
      <c r="B39" s="3" t="s">
        <v>527</v>
      </c>
      <c r="C39" s="3"/>
      <c r="D39" s="23">
        <f t="shared" ref="D39" si="5">SUM(D18:D38)</f>
        <v>1790105.1118884841</v>
      </c>
      <c r="E39" s="23">
        <f t="shared" ref="E39:F39" si="6">SUM(E18:E38)</f>
        <v>1</v>
      </c>
      <c r="F39" s="23">
        <f t="shared" si="6"/>
        <v>1790105.1118884841</v>
      </c>
      <c r="G39" s="23">
        <f>SUM(G18:G38)</f>
        <v>3679137.5625366638</v>
      </c>
      <c r="H39" s="36">
        <f>SUM(H18:H38)</f>
        <v>1889032.4506481797</v>
      </c>
      <c r="I39" s="23"/>
      <c r="J39" s="36">
        <f>SUM(J18:J38)</f>
        <v>154792.71624168512</v>
      </c>
      <c r="K39" s="23">
        <f>SUM(K18:K38)</f>
        <v>2043825.166889865</v>
      </c>
    </row>
    <row r="40" spans="1:12">
      <c r="A40" s="308"/>
      <c r="B40" s="3"/>
      <c r="C40" s="3"/>
      <c r="D40" s="23"/>
      <c r="E40" s="23"/>
      <c r="F40" s="23"/>
      <c r="G40" s="23"/>
      <c r="H40" s="23"/>
      <c r="I40" s="23"/>
      <c r="J40" s="23"/>
      <c r="K40" s="23"/>
    </row>
    <row r="41" spans="1:12">
      <c r="A41" s="308"/>
      <c r="B41" s="3"/>
      <c r="C41" s="3"/>
      <c r="D41" s="23"/>
      <c r="E41" s="23"/>
      <c r="F41" s="23"/>
      <c r="G41" s="23" t="s">
        <v>528</v>
      </c>
      <c r="H41" s="23"/>
      <c r="I41" s="23"/>
      <c r="J41" s="349">
        <v>4.0971428571428568E-2</v>
      </c>
      <c r="K41" s="23"/>
    </row>
    <row r="42" spans="1:12">
      <c r="A42" s="308"/>
      <c r="B42" s="3"/>
      <c r="C42" s="3"/>
      <c r="D42" s="23"/>
      <c r="E42" s="23"/>
      <c r="F42" s="23"/>
      <c r="G42" s="23" t="s">
        <v>529</v>
      </c>
      <c r="H42" s="23"/>
      <c r="I42" s="23"/>
      <c r="J42" s="23">
        <f>+J39</f>
        <v>154792.71624168512</v>
      </c>
      <c r="K42" s="23"/>
    </row>
    <row r="43" spans="1:12">
      <c r="A43" s="308"/>
      <c r="B43" s="3" t="s">
        <v>530</v>
      </c>
      <c r="C43" s="3"/>
      <c r="D43" s="3"/>
      <c r="E43" s="3"/>
      <c r="F43" s="3"/>
      <c r="G43" s="3"/>
      <c r="H43" s="3"/>
      <c r="I43" s="3"/>
      <c r="J43" s="3"/>
      <c r="K43" s="3"/>
      <c r="L43" s="3"/>
    </row>
    <row r="44" spans="1:12">
      <c r="A44" s="308"/>
      <c r="B44" s="3" t="s">
        <v>531</v>
      </c>
      <c r="C44" s="3"/>
      <c r="D44" s="3"/>
      <c r="E44" s="3"/>
      <c r="F44" s="3"/>
      <c r="G44" s="3"/>
      <c r="H44" s="3"/>
      <c r="I44" s="3"/>
      <c r="J44" s="3"/>
      <c r="K44" s="3"/>
      <c r="L44" s="3"/>
    </row>
    <row r="45" spans="1:12">
      <c r="A45" s="308"/>
      <c r="B45" s="3" t="s">
        <v>532</v>
      </c>
      <c r="C45" s="3"/>
      <c r="D45" s="3"/>
      <c r="E45" s="3"/>
      <c r="F45" s="3"/>
      <c r="G45" s="3"/>
      <c r="H45" s="3"/>
      <c r="I45" s="3"/>
      <c r="J45" s="3"/>
      <c r="K45" s="3"/>
      <c r="L45" s="3"/>
    </row>
    <row r="46" spans="1:12">
      <c r="A46" s="308"/>
      <c r="B46" s="3" t="s">
        <v>533</v>
      </c>
      <c r="C46" s="3"/>
      <c r="D46" s="3"/>
      <c r="E46" s="3"/>
      <c r="F46" s="3"/>
      <c r="G46" s="3"/>
      <c r="H46" s="3"/>
      <c r="I46" s="3"/>
      <c r="J46" s="3"/>
      <c r="K46" s="3"/>
      <c r="L46" s="3"/>
    </row>
    <row r="47" spans="1:12">
      <c r="A47" s="308"/>
      <c r="B47" s="159" t="s">
        <v>534</v>
      </c>
      <c r="C47" s="3"/>
      <c r="D47" s="3"/>
      <c r="E47" s="3"/>
      <c r="F47" s="3"/>
      <c r="G47" s="3"/>
      <c r="H47" s="3"/>
      <c r="I47" s="3"/>
      <c r="J47" s="3"/>
      <c r="K47" s="3"/>
      <c r="L47" s="3"/>
    </row>
    <row r="48" spans="1:12">
      <c r="A48" s="308"/>
      <c r="B48" s="3" t="s">
        <v>535</v>
      </c>
      <c r="C48" s="3"/>
      <c r="D48" s="3"/>
      <c r="E48" s="3"/>
      <c r="F48" s="3"/>
      <c r="G48" s="3"/>
      <c r="H48" s="3"/>
      <c r="I48" s="3"/>
      <c r="J48" s="3"/>
      <c r="K48" s="3"/>
      <c r="L48" s="3"/>
    </row>
    <row r="49" spans="1:12">
      <c r="A49" s="308"/>
      <c r="B49" s="3" t="s">
        <v>536</v>
      </c>
      <c r="C49" s="3"/>
      <c r="D49" s="3"/>
      <c r="E49" s="3"/>
      <c r="F49" s="3"/>
      <c r="G49" s="3"/>
      <c r="H49" s="3"/>
      <c r="I49" s="3"/>
      <c r="J49" s="3"/>
      <c r="K49" s="3"/>
      <c r="L49" s="3"/>
    </row>
    <row r="50" spans="1:12">
      <c r="A50" s="308"/>
      <c r="B50" s="3"/>
      <c r="C50" s="3"/>
      <c r="D50" s="3"/>
      <c r="E50" s="3"/>
      <c r="F50" s="3"/>
      <c r="G50" s="3"/>
      <c r="H50" s="3"/>
      <c r="I50" s="3"/>
      <c r="J50" s="3"/>
      <c r="K50" s="3"/>
      <c r="L50" s="3"/>
    </row>
    <row r="51" spans="1:12">
      <c r="A51" s="308"/>
      <c r="J51" s="3"/>
      <c r="K51" s="3"/>
      <c r="L51" s="3"/>
    </row>
    <row r="52" spans="1:12">
      <c r="A52" s="308"/>
      <c r="C52" s="3"/>
      <c r="D52" s="3"/>
      <c r="E52" s="3"/>
      <c r="F52" s="3"/>
      <c r="G52" s="3"/>
      <c r="H52" s="3"/>
      <c r="I52" s="3"/>
      <c r="J52" s="3"/>
      <c r="K52" s="3"/>
      <c r="L52" s="3"/>
    </row>
    <row r="53" spans="1:12">
      <c r="A53" s="308"/>
      <c r="C53" s="3"/>
      <c r="D53" s="3"/>
      <c r="E53" s="3"/>
      <c r="F53" s="3"/>
      <c r="G53" s="3"/>
      <c r="H53" s="3"/>
      <c r="I53" s="3"/>
      <c r="J53" s="3"/>
      <c r="K53" s="3"/>
      <c r="L53" s="3"/>
    </row>
    <row r="54" spans="1:12">
      <c r="A54" s="308"/>
      <c r="D54" s="23"/>
      <c r="E54" s="23"/>
      <c r="F54" s="23"/>
      <c r="G54" s="23"/>
      <c r="H54" s="23"/>
    </row>
    <row r="55" spans="1:12">
      <c r="A55" s="350" t="s">
        <v>537</v>
      </c>
      <c r="D55" s="23"/>
      <c r="E55" s="23"/>
      <c r="F55" s="23"/>
      <c r="G55" s="23"/>
      <c r="H55" s="23"/>
    </row>
    <row r="56" spans="1:12">
      <c r="A56" s="308"/>
      <c r="B56" s="186" t="s">
        <v>538</v>
      </c>
      <c r="C56" s="351" t="s">
        <v>539</v>
      </c>
      <c r="D56" s="186" t="s">
        <v>540</v>
      </c>
      <c r="E56" s="186" t="s">
        <v>541</v>
      </c>
      <c r="F56" s="186"/>
    </row>
    <row r="57" spans="1:12">
      <c r="A57" s="308"/>
      <c r="B57" s="352" t="str">
        <f>+A55</f>
        <v>Prior Period Adjustment</v>
      </c>
      <c r="C57" s="353" t="s">
        <v>15</v>
      </c>
      <c r="D57" s="353" t="s">
        <v>503</v>
      </c>
      <c r="E57" s="353" t="s">
        <v>20</v>
      </c>
    </row>
    <row r="58" spans="1:12">
      <c r="A58" s="308"/>
      <c r="B58" s="354" t="s">
        <v>542</v>
      </c>
      <c r="C58" s="355" t="s">
        <v>543</v>
      </c>
      <c r="D58" s="355" t="s">
        <v>544</v>
      </c>
      <c r="E58" s="355" t="s">
        <v>545</v>
      </c>
    </row>
    <row r="59" spans="1:12">
      <c r="A59" s="308" t="s">
        <v>344</v>
      </c>
      <c r="B59" s="356">
        <v>0</v>
      </c>
      <c r="C59" s="342">
        <v>0</v>
      </c>
      <c r="D59" s="342">
        <v>0</v>
      </c>
      <c r="E59" s="229">
        <f>+C59+D59</f>
        <v>0</v>
      </c>
    </row>
    <row r="60" spans="1:12">
      <c r="A60" s="308"/>
      <c r="B60" s="357" t="s">
        <v>546</v>
      </c>
      <c r="C60" s="250"/>
      <c r="D60" s="250"/>
      <c r="E60" s="358"/>
    </row>
    <row r="61" spans="1:12">
      <c r="A61" s="308"/>
      <c r="H61" s="26"/>
    </row>
    <row r="62" spans="1:12" ht="66" customHeight="1">
      <c r="A62" s="308"/>
      <c r="C62" s="3"/>
      <c r="D62" s="359"/>
      <c r="E62" s="359"/>
      <c r="F62" s="359"/>
      <c r="G62" s="359"/>
      <c r="H62" s="359"/>
      <c r="I62" s="359"/>
    </row>
    <row r="63" spans="1:12" ht="56.25" customHeight="1">
      <c r="A63" s="360" t="s">
        <v>530</v>
      </c>
      <c r="B63" s="258" t="s">
        <v>431</v>
      </c>
      <c r="C63" s="361" t="s">
        <v>547</v>
      </c>
      <c r="D63" s="361"/>
      <c r="E63" s="361"/>
      <c r="F63" s="361"/>
      <c r="G63" s="361"/>
      <c r="H63" s="361"/>
      <c r="I63" s="361"/>
      <c r="J63" s="361"/>
    </row>
    <row r="64" spans="1:12" ht="56.25" customHeight="1">
      <c r="A64" s="360"/>
      <c r="B64" s="362" t="s">
        <v>433</v>
      </c>
      <c r="C64" s="259" t="s">
        <v>548</v>
      </c>
      <c r="D64" s="259"/>
      <c r="E64" s="259"/>
      <c r="F64" s="259"/>
      <c r="G64" s="259"/>
      <c r="H64" s="259"/>
      <c r="I64" s="259"/>
      <c r="J64" s="363"/>
    </row>
    <row r="65" spans="1:9" ht="27" customHeight="1">
      <c r="A65" s="308"/>
      <c r="B65" s="362" t="s">
        <v>278</v>
      </c>
      <c r="C65" s="259" t="s">
        <v>549</v>
      </c>
      <c r="D65" s="259"/>
      <c r="E65" s="259"/>
      <c r="F65" s="259"/>
      <c r="G65" s="259"/>
      <c r="H65" s="259"/>
      <c r="I65" s="259"/>
    </row>
    <row r="69" spans="1:9" ht="24" customHeight="1"/>
  </sheetData>
  <mergeCells count="5">
    <mergeCell ref="D10:E10"/>
    <mergeCell ref="D11:E11"/>
    <mergeCell ref="C63:J63"/>
    <mergeCell ref="C64:I64"/>
    <mergeCell ref="C65:I65"/>
  </mergeCells>
  <pageMargins left="0.25" right="0.25" top="0.75" bottom="0.75" header="0.3" footer="0.3"/>
  <pageSetup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6FF5B-6CD0-4B08-B501-D6143089584E}">
  <sheetPr>
    <tabColor rgb="FF92D050"/>
    <pageSetUpPr fitToPage="1"/>
  </sheetPr>
  <dimension ref="A1:P76"/>
  <sheetViews>
    <sheetView view="pageBreakPreview" zoomScale="70" zoomScaleNormal="85" zoomScaleSheetLayoutView="70" workbookViewId="0">
      <selection activeCell="M17" sqref="M17"/>
    </sheetView>
  </sheetViews>
  <sheetFormatPr defaultColWidth="8.88671875" defaultRowHeight="12.75"/>
  <cols>
    <col min="1" max="1" width="4.88671875" style="364" customWidth="1"/>
    <col min="2" max="2" width="29" style="3" bestFit="1" customWidth="1"/>
    <col min="3" max="3" width="20" style="3" customWidth="1"/>
    <col min="4" max="4" width="19.21875" style="3" customWidth="1"/>
    <col min="5" max="5" width="16" style="3" customWidth="1"/>
    <col min="6" max="6" width="17.33203125" style="3" customWidth="1"/>
    <col min="7" max="7" width="21.33203125" style="3" customWidth="1"/>
    <col min="8" max="8" width="18" style="3" customWidth="1"/>
    <col min="9" max="9" width="20.77734375" style="3" customWidth="1"/>
    <col min="10" max="10" width="25.21875" style="3" customWidth="1"/>
    <col min="11" max="14" width="11.77734375" style="3" customWidth="1"/>
    <col min="15" max="16384" width="8.88671875" style="3"/>
  </cols>
  <sheetData>
    <row r="1" spans="1:12">
      <c r="C1" s="365"/>
      <c r="D1" s="365"/>
      <c r="E1" s="365"/>
      <c r="G1" s="162" t="s">
        <v>550</v>
      </c>
      <c r="H1" s="365"/>
      <c r="I1" s="365"/>
      <c r="J1" s="366" t="s">
        <v>330</v>
      </c>
    </row>
    <row r="2" spans="1:12">
      <c r="A2" s="367"/>
      <c r="C2" s="365"/>
      <c r="D2" s="365"/>
      <c r="E2" s="365"/>
      <c r="F2" s="365"/>
      <c r="G2" s="368" t="s">
        <v>551</v>
      </c>
      <c r="H2" s="365"/>
      <c r="I2" s="365"/>
      <c r="J2" s="365"/>
      <c r="L2" s="369"/>
    </row>
    <row r="3" spans="1:12">
      <c r="A3" s="367"/>
      <c r="C3" s="365"/>
      <c r="D3" s="365"/>
      <c r="E3" s="365"/>
      <c r="F3" s="365"/>
      <c r="G3" s="18" t="s">
        <v>5</v>
      </c>
      <c r="H3" s="365"/>
      <c r="I3" s="365"/>
      <c r="J3" s="365"/>
    </row>
    <row r="4" spans="1:12">
      <c r="A4" s="367"/>
      <c r="C4" s="365"/>
      <c r="D4" s="365"/>
      <c r="E4" s="365"/>
      <c r="F4" s="365"/>
      <c r="G4" s="365"/>
      <c r="H4" s="365"/>
      <c r="I4" s="365"/>
      <c r="J4" s="365"/>
    </row>
    <row r="5" spans="1:12">
      <c r="A5" s="367"/>
      <c r="B5" s="370"/>
      <c r="C5" s="370"/>
      <c r="D5" s="370"/>
      <c r="E5" s="370"/>
      <c r="F5" s="370"/>
      <c r="G5" s="370"/>
      <c r="H5" s="370"/>
      <c r="I5" s="370"/>
      <c r="J5" s="370"/>
    </row>
    <row r="6" spans="1:12">
      <c r="A6" s="367"/>
      <c r="B6" s="370"/>
      <c r="C6" s="371" t="s">
        <v>552</v>
      </c>
      <c r="D6" s="371"/>
      <c r="E6" s="372" t="s">
        <v>553</v>
      </c>
      <c r="F6" s="372" t="s">
        <v>554</v>
      </c>
      <c r="G6" s="371" t="s">
        <v>555</v>
      </c>
      <c r="H6" s="371"/>
      <c r="I6" s="373" t="s">
        <v>556</v>
      </c>
      <c r="J6" s="373"/>
    </row>
    <row r="7" spans="1:12" s="376" customFormat="1" ht="25.5">
      <c r="A7" s="374" t="s">
        <v>557</v>
      </c>
      <c r="B7" s="375" t="s">
        <v>558</v>
      </c>
      <c r="C7" s="375" t="s">
        <v>39</v>
      </c>
      <c r="D7" s="375" t="s">
        <v>559</v>
      </c>
      <c r="E7" s="375" t="s">
        <v>560</v>
      </c>
      <c r="F7" s="375" t="s">
        <v>561</v>
      </c>
      <c r="G7" s="375" t="s">
        <v>105</v>
      </c>
      <c r="H7" s="375" t="s">
        <v>562</v>
      </c>
      <c r="I7" s="375" t="s">
        <v>39</v>
      </c>
      <c r="J7" s="375" t="s">
        <v>559</v>
      </c>
    </row>
    <row r="8" spans="1:12" s="73" customFormat="1">
      <c r="A8" s="367"/>
      <c r="B8" s="372" t="s">
        <v>538</v>
      </c>
      <c r="C8" s="372" t="s">
        <v>539</v>
      </c>
      <c r="D8" s="372" t="s">
        <v>540</v>
      </c>
      <c r="E8" s="375" t="s">
        <v>541</v>
      </c>
      <c r="F8" s="375" t="s">
        <v>563</v>
      </c>
      <c r="G8" s="375" t="s">
        <v>564</v>
      </c>
      <c r="H8" s="375" t="s">
        <v>565</v>
      </c>
      <c r="I8" s="377" t="s">
        <v>566</v>
      </c>
      <c r="J8" s="377" t="s">
        <v>567</v>
      </c>
    </row>
    <row r="9" spans="1:12" s="73" customFormat="1">
      <c r="A9" s="367"/>
      <c r="B9" s="378" t="s">
        <v>568</v>
      </c>
      <c r="C9" s="368">
        <v>2</v>
      </c>
      <c r="D9" s="368">
        <v>4</v>
      </c>
      <c r="E9" s="379">
        <v>27</v>
      </c>
      <c r="F9" s="379">
        <v>31</v>
      </c>
      <c r="G9" s="379">
        <v>34</v>
      </c>
      <c r="H9" s="379">
        <v>35</v>
      </c>
      <c r="I9" s="380">
        <v>9</v>
      </c>
      <c r="J9" s="380">
        <v>11</v>
      </c>
    </row>
    <row r="10" spans="1:12" s="73" customFormat="1" ht="25.5">
      <c r="A10" s="367"/>
      <c r="B10" s="372"/>
      <c r="C10" s="381" t="s">
        <v>569</v>
      </c>
      <c r="D10" s="381" t="s">
        <v>570</v>
      </c>
      <c r="E10" s="382" t="s">
        <v>403</v>
      </c>
      <c r="F10" s="381" t="s">
        <v>571</v>
      </c>
      <c r="G10" s="381" t="s">
        <v>572</v>
      </c>
      <c r="H10" s="381" t="s">
        <v>573</v>
      </c>
      <c r="I10" s="381" t="s">
        <v>574</v>
      </c>
      <c r="J10" s="381" t="s">
        <v>575</v>
      </c>
    </row>
    <row r="11" spans="1:12">
      <c r="A11" s="367">
        <v>1</v>
      </c>
      <c r="B11" s="383" t="s">
        <v>576</v>
      </c>
      <c r="C11" s="384">
        <v>92031202.583176479</v>
      </c>
      <c r="D11" s="384">
        <v>0</v>
      </c>
      <c r="E11" s="384">
        <v>0</v>
      </c>
      <c r="F11" s="384">
        <v>0</v>
      </c>
      <c r="G11" s="384">
        <v>159643.89847028829</v>
      </c>
      <c r="H11" s="57">
        <v>188893.05150894413</v>
      </c>
      <c r="I11" s="384">
        <v>14733767.912493188</v>
      </c>
      <c r="J11" s="384">
        <v>0</v>
      </c>
      <c r="K11" s="26"/>
    </row>
    <row r="12" spans="1:12">
      <c r="A12" s="367">
        <v>2</v>
      </c>
      <c r="B12" s="383" t="s">
        <v>577</v>
      </c>
      <c r="C12" s="384">
        <v>92031202.583176479</v>
      </c>
      <c r="D12" s="384">
        <v>0</v>
      </c>
      <c r="E12" s="384">
        <v>0</v>
      </c>
      <c r="F12" s="384">
        <v>0</v>
      </c>
      <c r="G12" s="384">
        <v>159643.89847028829</v>
      </c>
      <c r="H12" s="385">
        <v>174327.92801699438</v>
      </c>
      <c r="I12" s="57">
        <v>14886610.336430009</v>
      </c>
      <c r="J12" s="384">
        <v>0</v>
      </c>
      <c r="K12" s="26"/>
    </row>
    <row r="13" spans="1:12">
      <c r="A13" s="367">
        <v>3</v>
      </c>
      <c r="B13" s="365" t="s">
        <v>578</v>
      </c>
      <c r="C13" s="384">
        <v>92031202.583176479</v>
      </c>
      <c r="D13" s="384">
        <v>0</v>
      </c>
      <c r="E13" s="384">
        <v>0</v>
      </c>
      <c r="F13" s="384">
        <v>0</v>
      </c>
      <c r="G13" s="384">
        <v>159643.89847028829</v>
      </c>
      <c r="H13" s="384">
        <v>149209.09280162508</v>
      </c>
      <c r="I13" s="57">
        <v>15039452.76036684</v>
      </c>
      <c r="J13" s="384">
        <v>0</v>
      </c>
      <c r="K13" s="26"/>
    </row>
    <row r="14" spans="1:12">
      <c r="A14" s="367">
        <v>4</v>
      </c>
      <c r="B14" s="365" t="s">
        <v>579</v>
      </c>
      <c r="C14" s="384">
        <v>92031202.583176479</v>
      </c>
      <c r="D14" s="384">
        <v>0</v>
      </c>
      <c r="E14" s="384">
        <v>0</v>
      </c>
      <c r="F14" s="384">
        <v>0</v>
      </c>
      <c r="G14" s="384">
        <v>159643.89847028829</v>
      </c>
      <c r="H14" s="384">
        <v>124090.25758625579</v>
      </c>
      <c r="I14" s="57">
        <v>15192295.184303662</v>
      </c>
      <c r="J14" s="384">
        <v>0</v>
      </c>
      <c r="K14" s="26"/>
    </row>
    <row r="15" spans="1:12">
      <c r="A15" s="367">
        <v>5</v>
      </c>
      <c r="B15" s="365" t="s">
        <v>580</v>
      </c>
      <c r="C15" s="384">
        <v>92031202.583176479</v>
      </c>
      <c r="D15" s="384">
        <v>0</v>
      </c>
      <c r="E15" s="384">
        <v>0</v>
      </c>
      <c r="F15" s="384">
        <v>0</v>
      </c>
      <c r="G15" s="384">
        <v>159643.89847028829</v>
      </c>
      <c r="H15" s="384">
        <v>98971.422370886459</v>
      </c>
      <c r="I15" s="57">
        <v>15345137.608240485</v>
      </c>
      <c r="J15" s="384">
        <v>0</v>
      </c>
      <c r="K15" s="26"/>
    </row>
    <row r="16" spans="1:12">
      <c r="A16" s="367">
        <v>6</v>
      </c>
      <c r="B16" s="365" t="s">
        <v>581</v>
      </c>
      <c r="C16" s="384">
        <v>92031202.583176479</v>
      </c>
      <c r="D16" s="384">
        <v>0</v>
      </c>
      <c r="E16" s="384">
        <v>0</v>
      </c>
      <c r="F16" s="384">
        <v>0</v>
      </c>
      <c r="G16" s="384">
        <v>159643.89847028829</v>
      </c>
      <c r="H16" s="384">
        <v>82428.340168187526</v>
      </c>
      <c r="I16" s="57">
        <v>15497980.032177307</v>
      </c>
      <c r="J16" s="384">
        <v>0</v>
      </c>
      <c r="K16" s="26"/>
    </row>
    <row r="17" spans="1:11">
      <c r="A17" s="367">
        <v>7</v>
      </c>
      <c r="B17" s="365" t="s">
        <v>582</v>
      </c>
      <c r="C17" s="384">
        <v>92031202.583176479</v>
      </c>
      <c r="D17" s="384">
        <v>0</v>
      </c>
      <c r="E17" s="384">
        <v>0</v>
      </c>
      <c r="F17" s="384">
        <v>0</v>
      </c>
      <c r="G17" s="384">
        <v>159643.89847028829</v>
      </c>
      <c r="H17" s="384">
        <v>57309.504952818213</v>
      </c>
      <c r="I17" s="57">
        <v>15650822.456114132</v>
      </c>
      <c r="J17" s="384">
        <v>0</v>
      </c>
      <c r="K17" s="26"/>
    </row>
    <row r="18" spans="1:11">
      <c r="A18" s="367">
        <v>8</v>
      </c>
      <c r="B18" s="365" t="s">
        <v>583</v>
      </c>
      <c r="C18" s="384">
        <v>92031202.583176479</v>
      </c>
      <c r="D18" s="384">
        <v>0</v>
      </c>
      <c r="E18" s="384">
        <v>0</v>
      </c>
      <c r="F18" s="384">
        <v>0</v>
      </c>
      <c r="G18" s="384">
        <v>159643.89847028829</v>
      </c>
      <c r="H18" s="384">
        <v>32190.669737448894</v>
      </c>
      <c r="I18" s="57">
        <v>15803664.880050957</v>
      </c>
      <c r="J18" s="384">
        <v>0</v>
      </c>
      <c r="K18" s="26"/>
    </row>
    <row r="19" spans="1:11">
      <c r="A19" s="367">
        <v>9</v>
      </c>
      <c r="B19" s="365" t="s">
        <v>584</v>
      </c>
      <c r="C19" s="384">
        <v>92031202.583176479</v>
      </c>
      <c r="D19" s="384">
        <v>0</v>
      </c>
      <c r="E19" s="384">
        <v>0</v>
      </c>
      <c r="F19" s="384">
        <v>0</v>
      </c>
      <c r="G19" s="384">
        <v>159643.89847028829</v>
      </c>
      <c r="H19" s="384">
        <v>6119.3303002343637</v>
      </c>
      <c r="I19" s="57">
        <v>15956507.303987786</v>
      </c>
      <c r="J19" s="384">
        <v>0</v>
      </c>
      <c r="K19" s="26"/>
    </row>
    <row r="20" spans="1:11">
      <c r="A20" s="367">
        <v>10</v>
      </c>
      <c r="B20" s="365" t="s">
        <v>585</v>
      </c>
      <c r="C20" s="384">
        <v>92031202.583176479</v>
      </c>
      <c r="D20" s="384">
        <v>0</v>
      </c>
      <c r="E20" s="384">
        <v>0</v>
      </c>
      <c r="F20" s="384">
        <v>0</v>
      </c>
      <c r="G20" s="384">
        <v>159643.89847028829</v>
      </c>
      <c r="H20" s="384">
        <v>375572.36245569465</v>
      </c>
      <c r="I20" s="57">
        <v>16109349.727924608</v>
      </c>
      <c r="J20" s="384">
        <v>0</v>
      </c>
      <c r="K20" s="26"/>
    </row>
    <row r="21" spans="1:11">
      <c r="A21" s="367">
        <v>11</v>
      </c>
      <c r="B21" s="365" t="s">
        <v>586</v>
      </c>
      <c r="C21" s="384">
        <v>93172600.68734315</v>
      </c>
      <c r="D21" s="384">
        <v>0</v>
      </c>
      <c r="E21" s="384">
        <v>0</v>
      </c>
      <c r="F21" s="384">
        <v>0</v>
      </c>
      <c r="G21" s="384">
        <v>159643.89847028829</v>
      </c>
      <c r="H21" s="384">
        <v>344357.84214070282</v>
      </c>
      <c r="I21" s="57">
        <v>16264087.985194765</v>
      </c>
      <c r="J21" s="384">
        <v>0</v>
      </c>
      <c r="K21" s="26"/>
    </row>
    <row r="22" spans="1:11">
      <c r="A22" s="367">
        <v>12</v>
      </c>
      <c r="B22" s="365" t="s">
        <v>587</v>
      </c>
      <c r="C22" s="384">
        <v>93172600.68734315</v>
      </c>
      <c r="D22" s="384">
        <v>0</v>
      </c>
      <c r="E22" s="384">
        <v>0</v>
      </c>
      <c r="F22" s="384">
        <v>0</v>
      </c>
      <c r="G22" s="384">
        <v>159643.89847028829</v>
      </c>
      <c r="H22" s="384">
        <v>313143.32182571106</v>
      </c>
      <c r="I22" s="57">
        <v>16418826.242464921</v>
      </c>
      <c r="J22" s="384">
        <v>0</v>
      </c>
      <c r="K22" s="26"/>
    </row>
    <row r="23" spans="1:11">
      <c r="A23" s="367">
        <v>13</v>
      </c>
      <c r="B23" s="365" t="s">
        <v>588</v>
      </c>
      <c r="C23" s="384">
        <v>93172600.68734315</v>
      </c>
      <c r="D23" s="384">
        <v>0</v>
      </c>
      <c r="E23" s="384">
        <v>0</v>
      </c>
      <c r="F23" s="384">
        <v>0</v>
      </c>
      <c r="G23" s="384">
        <v>159643.89847028829</v>
      </c>
      <c r="H23" s="384">
        <v>281928.80151071935</v>
      </c>
      <c r="I23" s="57">
        <v>16573564.499735076</v>
      </c>
      <c r="J23" s="384">
        <v>0</v>
      </c>
      <c r="K23" s="26"/>
    </row>
    <row r="24" spans="1:11" ht="13.5" thickBot="1">
      <c r="A24" s="367">
        <v>14</v>
      </c>
      <c r="B24" s="366" t="s">
        <v>589</v>
      </c>
      <c r="C24" s="386">
        <f t="shared" ref="C24:H24" si="0">SUM(C11:C23)/13</f>
        <v>92294602.145676479</v>
      </c>
      <c r="D24" s="88">
        <f>SUM(D11:D23)/13</f>
        <v>0</v>
      </c>
      <c r="E24" s="88">
        <f t="shared" si="0"/>
        <v>0</v>
      </c>
      <c r="F24" s="88">
        <f t="shared" si="0"/>
        <v>0</v>
      </c>
      <c r="G24" s="88">
        <f t="shared" si="0"/>
        <v>159643.89847028832</v>
      </c>
      <c r="H24" s="88">
        <f t="shared" si="0"/>
        <v>171426.30195201712</v>
      </c>
      <c r="I24" s="88">
        <f>SUM(I11:I23)/13</f>
        <v>15651697.456114136</v>
      </c>
      <c r="J24" s="386">
        <f>SUM(J11:J23)/13</f>
        <v>0</v>
      </c>
      <c r="K24" s="26"/>
    </row>
    <row r="25" spans="1:11" ht="13.5" thickTop="1">
      <c r="A25" s="367"/>
      <c r="B25" s="365"/>
      <c r="C25" s="387"/>
      <c r="D25" s="388"/>
      <c r="E25" s="388"/>
      <c r="F25" s="388"/>
      <c r="G25" s="387"/>
      <c r="H25" s="387"/>
      <c r="I25" s="387"/>
    </row>
    <row r="26" spans="1:11">
      <c r="A26" s="367"/>
      <c r="B26" s="389"/>
      <c r="C26" s="373" t="s">
        <v>590</v>
      </c>
      <c r="D26" s="373"/>
      <c r="E26" s="373"/>
      <c r="F26" s="373"/>
      <c r="G26" s="373"/>
      <c r="H26" s="373"/>
      <c r="I26" s="373"/>
    </row>
    <row r="27" spans="1:11" ht="72" customHeight="1">
      <c r="A27" s="367" t="s">
        <v>557</v>
      </c>
      <c r="B27" s="372" t="s">
        <v>558</v>
      </c>
      <c r="C27" s="377" t="s">
        <v>591</v>
      </c>
      <c r="D27" s="377" t="s">
        <v>592</v>
      </c>
      <c r="E27" s="377" t="s">
        <v>593</v>
      </c>
      <c r="F27" s="377" t="s">
        <v>594</v>
      </c>
      <c r="G27" s="377" t="s">
        <v>595</v>
      </c>
      <c r="H27" s="377" t="s">
        <v>596</v>
      </c>
      <c r="I27" s="377" t="s">
        <v>597</v>
      </c>
    </row>
    <row r="28" spans="1:11" s="73" customFormat="1">
      <c r="A28" s="367"/>
      <c r="B28" s="372" t="s">
        <v>538</v>
      </c>
      <c r="C28" s="377" t="s">
        <v>539</v>
      </c>
      <c r="D28" s="377" t="s">
        <v>540</v>
      </c>
      <c r="E28" s="377" t="s">
        <v>541</v>
      </c>
      <c r="F28" s="377" t="s">
        <v>563</v>
      </c>
      <c r="G28" s="377" t="s">
        <v>564</v>
      </c>
      <c r="H28" s="377" t="s">
        <v>565</v>
      </c>
      <c r="I28" s="377" t="s">
        <v>566</v>
      </c>
    </row>
    <row r="29" spans="1:11" s="73" customFormat="1">
      <c r="A29" s="367"/>
      <c r="B29" s="378" t="s">
        <v>568</v>
      </c>
      <c r="C29" s="380">
        <v>28</v>
      </c>
      <c r="D29" s="380">
        <v>29</v>
      </c>
      <c r="E29" s="380">
        <v>22</v>
      </c>
      <c r="F29" s="380">
        <v>23</v>
      </c>
      <c r="G29" s="380">
        <v>24</v>
      </c>
      <c r="H29" s="380">
        <v>25</v>
      </c>
      <c r="I29" s="380">
        <v>26</v>
      </c>
    </row>
    <row r="30" spans="1:11" s="73" customFormat="1" ht="25.5">
      <c r="A30" s="367"/>
      <c r="B30" s="372"/>
      <c r="C30" s="375" t="s">
        <v>598</v>
      </c>
      <c r="D30" s="377" t="s">
        <v>599</v>
      </c>
      <c r="E30" s="377" t="s">
        <v>600</v>
      </c>
      <c r="F30" s="377" t="s">
        <v>601</v>
      </c>
      <c r="G30" s="377" t="s">
        <v>601</v>
      </c>
      <c r="H30" s="377" t="s">
        <v>601</v>
      </c>
      <c r="I30" s="377" t="s">
        <v>602</v>
      </c>
    </row>
    <row r="31" spans="1:11">
      <c r="A31" s="367">
        <v>15</v>
      </c>
      <c r="B31" s="383" t="s">
        <v>576</v>
      </c>
      <c r="C31" s="384">
        <v>0</v>
      </c>
      <c r="D31" s="384">
        <v>0</v>
      </c>
      <c r="E31" s="384">
        <v>0</v>
      </c>
      <c r="F31" s="390">
        <v>0</v>
      </c>
      <c r="G31" s="390">
        <v>0</v>
      </c>
      <c r="H31" s="390">
        <v>0</v>
      </c>
      <c r="I31" s="384">
        <v>0</v>
      </c>
    </row>
    <row r="32" spans="1:11">
      <c r="A32" s="367">
        <v>16</v>
      </c>
      <c r="B32" s="383" t="s">
        <v>577</v>
      </c>
      <c r="C32" s="384">
        <v>0</v>
      </c>
      <c r="D32" s="384">
        <v>0</v>
      </c>
      <c r="E32" s="390"/>
      <c r="F32" s="390"/>
      <c r="G32" s="390"/>
      <c r="H32" s="390"/>
      <c r="I32" s="384">
        <v>0</v>
      </c>
    </row>
    <row r="33" spans="1:15">
      <c r="A33" s="367">
        <v>17</v>
      </c>
      <c r="B33" s="365" t="s">
        <v>578</v>
      </c>
      <c r="C33" s="384">
        <v>0</v>
      </c>
      <c r="D33" s="384">
        <v>0</v>
      </c>
      <c r="E33" s="390"/>
      <c r="F33" s="390"/>
      <c r="G33" s="390"/>
      <c r="H33" s="390"/>
      <c r="I33" s="384">
        <v>0</v>
      </c>
    </row>
    <row r="34" spans="1:15">
      <c r="A34" s="367">
        <v>18</v>
      </c>
      <c r="B34" s="365" t="s">
        <v>579</v>
      </c>
      <c r="C34" s="384">
        <v>0</v>
      </c>
      <c r="D34" s="384">
        <v>0</v>
      </c>
      <c r="E34" s="390"/>
      <c r="F34" s="390"/>
      <c r="G34" s="390"/>
      <c r="H34" s="390"/>
      <c r="I34" s="384">
        <v>0</v>
      </c>
    </row>
    <row r="35" spans="1:15">
      <c r="A35" s="367">
        <v>19</v>
      </c>
      <c r="B35" s="365" t="s">
        <v>580</v>
      </c>
      <c r="C35" s="384">
        <v>0</v>
      </c>
      <c r="D35" s="384">
        <v>0</v>
      </c>
      <c r="E35" s="390"/>
      <c r="F35" s="390"/>
      <c r="G35" s="390"/>
      <c r="H35" s="390"/>
      <c r="I35" s="384">
        <v>0</v>
      </c>
    </row>
    <row r="36" spans="1:15">
      <c r="A36" s="367">
        <v>20</v>
      </c>
      <c r="B36" s="365" t="s">
        <v>581</v>
      </c>
      <c r="C36" s="384">
        <v>0</v>
      </c>
      <c r="D36" s="384">
        <v>0</v>
      </c>
      <c r="E36" s="390"/>
      <c r="F36" s="390"/>
      <c r="G36" s="390"/>
      <c r="H36" s="390"/>
      <c r="I36" s="384">
        <v>0</v>
      </c>
    </row>
    <row r="37" spans="1:15">
      <c r="A37" s="367">
        <v>21</v>
      </c>
      <c r="B37" s="365" t="s">
        <v>582</v>
      </c>
      <c r="C37" s="384">
        <v>0</v>
      </c>
      <c r="D37" s="384">
        <v>0</v>
      </c>
      <c r="E37" s="390"/>
      <c r="F37" s="390"/>
      <c r="G37" s="390"/>
      <c r="H37" s="390"/>
      <c r="I37" s="384">
        <v>0</v>
      </c>
    </row>
    <row r="38" spans="1:15">
      <c r="A38" s="367">
        <v>22</v>
      </c>
      <c r="B38" s="365" t="s">
        <v>583</v>
      </c>
      <c r="C38" s="384">
        <v>0</v>
      </c>
      <c r="D38" s="384">
        <v>0</v>
      </c>
      <c r="E38" s="390"/>
      <c r="F38" s="390"/>
      <c r="G38" s="390"/>
      <c r="H38" s="390"/>
      <c r="I38" s="384">
        <v>0</v>
      </c>
    </row>
    <row r="39" spans="1:15">
      <c r="A39" s="367">
        <v>23</v>
      </c>
      <c r="B39" s="365" t="s">
        <v>584</v>
      </c>
      <c r="C39" s="384">
        <v>0</v>
      </c>
      <c r="D39" s="384">
        <v>0</v>
      </c>
      <c r="E39" s="390"/>
      <c r="F39" s="390"/>
      <c r="G39" s="390"/>
      <c r="H39" s="390"/>
      <c r="I39" s="384">
        <v>0</v>
      </c>
    </row>
    <row r="40" spans="1:15">
      <c r="A40" s="367">
        <v>24</v>
      </c>
      <c r="B40" s="365" t="s">
        <v>585</v>
      </c>
      <c r="C40" s="384">
        <v>0</v>
      </c>
      <c r="D40" s="384">
        <v>0</v>
      </c>
      <c r="E40" s="390"/>
      <c r="F40" s="390"/>
      <c r="G40" s="390"/>
      <c r="H40" s="390"/>
      <c r="I40" s="384">
        <v>0</v>
      </c>
    </row>
    <row r="41" spans="1:15">
      <c r="A41" s="367">
        <v>25</v>
      </c>
      <c r="B41" s="365" t="s">
        <v>586</v>
      </c>
      <c r="C41" s="384">
        <v>0</v>
      </c>
      <c r="D41" s="384">
        <v>0</v>
      </c>
      <c r="E41" s="390"/>
      <c r="F41" s="390"/>
      <c r="G41" s="390"/>
      <c r="H41" s="390"/>
      <c r="I41" s="384">
        <v>0</v>
      </c>
    </row>
    <row r="42" spans="1:15">
      <c r="A42" s="367">
        <v>26</v>
      </c>
      <c r="B42" s="365" t="s">
        <v>587</v>
      </c>
      <c r="C42" s="384">
        <v>0</v>
      </c>
      <c r="D42" s="384">
        <v>0</v>
      </c>
      <c r="E42" s="390"/>
      <c r="F42" s="390"/>
      <c r="G42" s="390"/>
      <c r="H42" s="390"/>
      <c r="I42" s="384">
        <v>0</v>
      </c>
    </row>
    <row r="43" spans="1:15">
      <c r="A43" s="367">
        <v>27</v>
      </c>
      <c r="B43" s="365" t="s">
        <v>588</v>
      </c>
      <c r="C43" s="384">
        <f>+C42</f>
        <v>0</v>
      </c>
      <c r="D43" s="384">
        <v>0</v>
      </c>
      <c r="E43" s="384">
        <v>0</v>
      </c>
      <c r="F43" s="384">
        <v>0</v>
      </c>
      <c r="G43" s="384">
        <v>0</v>
      </c>
      <c r="H43" s="384">
        <v>0</v>
      </c>
      <c r="I43" s="384">
        <v>0</v>
      </c>
    </row>
    <row r="44" spans="1:15" ht="13.5" thickBot="1">
      <c r="A44" s="367">
        <v>28</v>
      </c>
      <c r="B44" s="366" t="s">
        <v>603</v>
      </c>
      <c r="C44" s="88">
        <f t="shared" ref="C44:I44" si="1">SUM(C31:C43)/13</f>
        <v>0</v>
      </c>
      <c r="D44" s="391">
        <f t="shared" si="1"/>
        <v>0</v>
      </c>
      <c r="E44" s="391">
        <v>0</v>
      </c>
      <c r="F44" s="392">
        <f>+'4a - ADIT Projection'!I15*1</f>
        <v>-2694854.1631239178</v>
      </c>
      <c r="G44" s="391">
        <f>+'4a - ADIT Projection'!I25*-1</f>
        <v>0</v>
      </c>
      <c r="H44" s="391">
        <f>+'4a - ADIT Projection'!I35</f>
        <v>0</v>
      </c>
      <c r="I44" s="391">
        <f t="shared" si="1"/>
        <v>0</v>
      </c>
    </row>
    <row r="45" spans="1:15" ht="13.5" thickTop="1">
      <c r="A45" s="367"/>
      <c r="B45" s="365"/>
      <c r="E45" s="3" t="s">
        <v>604</v>
      </c>
      <c r="F45" s="3" t="s">
        <v>605</v>
      </c>
      <c r="G45" s="3" t="s">
        <v>606</v>
      </c>
      <c r="H45" s="3" t="s">
        <v>607</v>
      </c>
      <c r="I45" s="388"/>
    </row>
    <row r="46" spans="1:15">
      <c r="A46" s="367"/>
    </row>
    <row r="47" spans="1:15">
      <c r="F47" s="162" t="s">
        <v>550</v>
      </c>
    </row>
    <row r="48" spans="1:15">
      <c r="A48" s="367"/>
      <c r="B48" s="15"/>
      <c r="C48" s="393"/>
      <c r="D48" s="393"/>
      <c r="E48" s="393"/>
      <c r="F48" s="368" t="s">
        <v>551</v>
      </c>
      <c r="G48" s="393"/>
      <c r="L48" s="73"/>
      <c r="M48" s="73"/>
      <c r="N48" s="73"/>
      <c r="O48" s="73"/>
    </row>
    <row r="49" spans="1:16">
      <c r="A49" s="367"/>
      <c r="C49" s="393"/>
      <c r="D49" s="393"/>
      <c r="E49" s="393"/>
      <c r="F49" s="18" t="s">
        <v>5</v>
      </c>
      <c r="G49" s="393"/>
      <c r="K49" s="73"/>
      <c r="L49" s="73"/>
      <c r="M49" s="73"/>
      <c r="N49" s="73"/>
      <c r="O49" s="73"/>
    </row>
    <row r="50" spans="1:16">
      <c r="A50" s="367"/>
      <c r="B50" s="15" t="s">
        <v>608</v>
      </c>
      <c r="C50" s="393"/>
      <c r="D50" s="393"/>
      <c r="E50" s="393"/>
      <c r="F50" s="18"/>
      <c r="G50" s="393"/>
      <c r="K50" s="73"/>
      <c r="L50" s="73"/>
      <c r="M50" s="73"/>
      <c r="N50" s="73"/>
      <c r="O50" s="73"/>
    </row>
    <row r="51" spans="1:16">
      <c r="A51" s="367"/>
      <c r="B51" s="15" t="s">
        <v>538</v>
      </c>
      <c r="C51" s="15" t="s">
        <v>539</v>
      </c>
      <c r="D51" s="15" t="s">
        <v>540</v>
      </c>
      <c r="E51" s="15" t="s">
        <v>541</v>
      </c>
      <c r="F51" s="15" t="s">
        <v>563</v>
      </c>
      <c r="G51" s="15" t="s">
        <v>564</v>
      </c>
      <c r="H51" s="15" t="s">
        <v>565</v>
      </c>
      <c r="I51" s="15" t="s">
        <v>566</v>
      </c>
      <c r="J51" s="369" t="s">
        <v>382</v>
      </c>
      <c r="L51" s="73"/>
      <c r="M51" s="73"/>
      <c r="N51" s="73"/>
      <c r="O51" s="73"/>
      <c r="P51" s="73"/>
    </row>
    <row r="52" spans="1:16" ht="76.5">
      <c r="A52" s="367">
        <v>29</v>
      </c>
      <c r="B52" s="394" t="s">
        <v>609</v>
      </c>
      <c r="C52" s="395"/>
      <c r="D52" s="396" t="s">
        <v>15</v>
      </c>
      <c r="E52" s="396" t="s">
        <v>610</v>
      </c>
      <c r="F52" s="396" t="s">
        <v>611</v>
      </c>
      <c r="G52" s="396" t="s">
        <v>612</v>
      </c>
      <c r="H52" s="397" t="s">
        <v>613</v>
      </c>
      <c r="I52" s="397" t="s">
        <v>614</v>
      </c>
      <c r="J52" s="394"/>
      <c r="K52" s="394"/>
      <c r="L52" s="394"/>
      <c r="M52" s="73"/>
      <c r="N52" s="73"/>
      <c r="O52" s="73"/>
      <c r="P52" s="73"/>
    </row>
    <row r="53" spans="1:16">
      <c r="A53" s="367" t="s">
        <v>615</v>
      </c>
      <c r="C53" s="398" t="s">
        <v>616</v>
      </c>
      <c r="D53" s="103">
        <v>0</v>
      </c>
      <c r="E53" s="103">
        <v>0</v>
      </c>
      <c r="F53" s="399"/>
      <c r="G53" s="399"/>
      <c r="H53" s="103"/>
      <c r="I53" s="400">
        <f>+H53*E53*D53</f>
        <v>0</v>
      </c>
      <c r="M53" s="73"/>
      <c r="N53" s="73"/>
      <c r="O53" s="73"/>
      <c r="P53" s="73"/>
    </row>
    <row r="54" spans="1:16">
      <c r="A54" s="367" t="s">
        <v>617</v>
      </c>
      <c r="C54" s="398" t="s">
        <v>618</v>
      </c>
      <c r="D54" s="75">
        <v>0</v>
      </c>
      <c r="E54" s="103">
        <v>0</v>
      </c>
      <c r="F54" s="399"/>
      <c r="G54" s="399"/>
      <c r="H54" s="103"/>
      <c r="I54" s="400">
        <f>+H54*E54*D54</f>
        <v>0</v>
      </c>
      <c r="M54" s="73"/>
      <c r="N54" s="73"/>
      <c r="O54" s="73"/>
      <c r="P54" s="73"/>
    </row>
    <row r="55" spans="1:16">
      <c r="A55" s="367" t="s">
        <v>619</v>
      </c>
      <c r="C55" s="398" t="s">
        <v>620</v>
      </c>
      <c r="D55" s="75"/>
      <c r="E55" s="103"/>
      <c r="F55" s="399"/>
      <c r="G55" s="399"/>
      <c r="H55" s="103"/>
      <c r="I55" s="400"/>
      <c r="M55" s="73"/>
      <c r="N55" s="73"/>
      <c r="O55" s="73"/>
      <c r="P55" s="73"/>
    </row>
    <row r="56" spans="1:16">
      <c r="A56" s="367" t="s">
        <v>621</v>
      </c>
      <c r="C56" s="398" t="s">
        <v>622</v>
      </c>
      <c r="D56" s="75"/>
      <c r="E56" s="103"/>
      <c r="F56" s="399"/>
      <c r="G56" s="399"/>
      <c r="H56" s="103"/>
      <c r="I56" s="400"/>
      <c r="M56" s="73"/>
      <c r="N56" s="73"/>
      <c r="O56" s="73"/>
      <c r="P56" s="73"/>
    </row>
    <row r="57" spans="1:16">
      <c r="A57" s="367" t="s">
        <v>623</v>
      </c>
      <c r="C57" s="398" t="s">
        <v>624</v>
      </c>
      <c r="D57" s="75"/>
      <c r="E57" s="103"/>
      <c r="F57" s="399"/>
      <c r="G57" s="399"/>
      <c r="H57" s="103"/>
      <c r="I57" s="400"/>
      <c r="M57" s="73"/>
      <c r="N57" s="73"/>
      <c r="O57" s="73"/>
      <c r="P57" s="73"/>
    </row>
    <row r="58" spans="1:16">
      <c r="A58" s="367" t="s">
        <v>625</v>
      </c>
      <c r="C58" s="401" t="s">
        <v>624</v>
      </c>
      <c r="D58" s="402">
        <v>0</v>
      </c>
      <c r="E58" s="403">
        <v>0</v>
      </c>
      <c r="F58" s="404"/>
      <c r="G58" s="404"/>
      <c r="H58" s="403"/>
      <c r="I58" s="405">
        <f>+H58*E58*D58</f>
        <v>0</v>
      </c>
      <c r="M58" s="73"/>
      <c r="N58" s="73"/>
      <c r="O58" s="73"/>
      <c r="P58" s="73"/>
    </row>
    <row r="59" spans="1:16">
      <c r="A59" s="367">
        <v>31</v>
      </c>
      <c r="C59" s="394" t="s">
        <v>20</v>
      </c>
      <c r="D59" s="26">
        <f>SUM(D53:D58)</f>
        <v>0</v>
      </c>
      <c r="E59" s="113"/>
      <c r="F59" s="73"/>
      <c r="G59" s="73"/>
      <c r="H59" s="113"/>
      <c r="I59" s="400">
        <f>SUM(I53:I58)</f>
        <v>0</v>
      </c>
      <c r="M59" s="73"/>
      <c r="N59" s="73"/>
      <c r="O59" s="73"/>
      <c r="P59" s="73"/>
    </row>
    <row r="60" spans="1:16">
      <c r="A60" s="406"/>
      <c r="B60" s="407"/>
      <c r="C60" s="408"/>
      <c r="D60" s="408"/>
      <c r="E60" s="408"/>
      <c r="F60" s="408"/>
      <c r="G60" s="408"/>
    </row>
    <row r="61" spans="1:16">
      <c r="A61" s="406"/>
      <c r="B61" s="407"/>
      <c r="C61" s="408"/>
      <c r="D61" s="408"/>
      <c r="E61" s="408"/>
      <c r="F61" s="408"/>
      <c r="G61" s="408"/>
      <c r="L61" s="73"/>
      <c r="M61" s="73"/>
      <c r="N61" s="73"/>
      <c r="O61" s="73"/>
      <c r="P61" s="73"/>
    </row>
    <row r="62" spans="1:16">
      <c r="A62" s="406"/>
      <c r="B62" s="407"/>
      <c r="C62" s="408"/>
      <c r="D62" s="408"/>
      <c r="E62" s="408"/>
      <c r="F62" s="408"/>
      <c r="G62" s="408"/>
      <c r="L62" s="73"/>
      <c r="M62" s="73"/>
      <c r="N62" s="73"/>
      <c r="O62" s="73"/>
      <c r="P62" s="73"/>
    </row>
    <row r="63" spans="1:16">
      <c r="A63" s="367" t="s">
        <v>530</v>
      </c>
    </row>
    <row r="64" spans="1:16" ht="12.75" customHeight="1">
      <c r="A64" s="367" t="s">
        <v>431</v>
      </c>
      <c r="B64" s="409" t="s">
        <v>626</v>
      </c>
      <c r="C64" s="409"/>
      <c r="D64" s="409"/>
      <c r="E64" s="409"/>
      <c r="F64" s="409"/>
      <c r="G64" s="409"/>
      <c r="H64" s="409"/>
      <c r="I64" s="409"/>
      <c r="J64" s="409"/>
      <c r="K64" s="409"/>
    </row>
    <row r="65" spans="1:12" ht="12.75" customHeight="1">
      <c r="A65" s="367" t="s">
        <v>433</v>
      </c>
      <c r="B65" s="409" t="s">
        <v>627</v>
      </c>
      <c r="C65" s="409"/>
      <c r="D65" s="409"/>
      <c r="E65" s="409"/>
      <c r="F65" s="409"/>
      <c r="G65" s="409"/>
      <c r="H65" s="409"/>
      <c r="I65" s="409"/>
      <c r="J65" s="409"/>
      <c r="K65" s="409"/>
      <c r="L65" s="369"/>
    </row>
    <row r="66" spans="1:12" ht="12.75" customHeight="1">
      <c r="A66" s="367" t="s">
        <v>278</v>
      </c>
      <c r="B66" s="3" t="s">
        <v>628</v>
      </c>
      <c r="C66" s="410"/>
      <c r="D66" s="410"/>
      <c r="E66" s="410"/>
      <c r="F66" s="410"/>
      <c r="G66" s="410"/>
      <c r="H66" s="410"/>
      <c r="I66" s="410"/>
      <c r="J66" s="410"/>
      <c r="K66" s="410"/>
    </row>
    <row r="67" spans="1:12">
      <c r="A67" s="367"/>
      <c r="B67" s="411" t="s">
        <v>629</v>
      </c>
      <c r="C67" s="412"/>
      <c r="D67" s="412"/>
      <c r="E67" s="412"/>
      <c r="F67" s="412"/>
      <c r="G67" s="412"/>
      <c r="H67" s="412"/>
      <c r="I67" s="412"/>
      <c r="J67" s="412"/>
      <c r="K67" s="412"/>
    </row>
    <row r="68" spans="1:12" ht="33" customHeight="1">
      <c r="A68" s="367" t="s">
        <v>280</v>
      </c>
      <c r="B68" s="361" t="s">
        <v>630</v>
      </c>
      <c r="C68" s="361"/>
      <c r="D68" s="361"/>
      <c r="E68" s="361"/>
      <c r="F68" s="361"/>
      <c r="G68" s="361"/>
      <c r="H68" s="361"/>
      <c r="I68" s="361"/>
      <c r="J68" s="361"/>
    </row>
    <row r="69" spans="1:12" ht="24" customHeight="1">
      <c r="A69" s="362" t="s">
        <v>282</v>
      </c>
      <c r="B69" s="413" t="s">
        <v>631</v>
      </c>
      <c r="C69" s="413"/>
      <c r="D69" s="413"/>
      <c r="E69" s="413"/>
      <c r="F69" s="413"/>
      <c r="G69" s="413"/>
      <c r="H69" s="413"/>
      <c r="I69" s="413"/>
      <c r="J69" s="413"/>
      <c r="K69" s="149"/>
    </row>
    <row r="70" spans="1:12" ht="12.75" customHeight="1">
      <c r="A70" s="367" t="s">
        <v>284</v>
      </c>
      <c r="B70" s="414" t="s">
        <v>632</v>
      </c>
      <c r="C70" s="413"/>
      <c r="D70" s="413"/>
      <c r="E70" s="413"/>
      <c r="F70" s="413"/>
      <c r="G70" s="413"/>
      <c r="H70" s="413"/>
      <c r="I70" s="413"/>
      <c r="J70" s="413"/>
      <c r="K70" s="413"/>
    </row>
    <row r="71" spans="1:12" ht="43.5" customHeight="1">
      <c r="A71" s="362" t="s">
        <v>286</v>
      </c>
      <c r="B71" s="413" t="s">
        <v>633</v>
      </c>
      <c r="C71" s="413"/>
      <c r="D71" s="413"/>
      <c r="E71" s="413"/>
      <c r="F71" s="413"/>
      <c r="G71" s="413"/>
      <c r="H71" s="413"/>
      <c r="I71" s="413"/>
      <c r="J71" s="413"/>
      <c r="K71" s="149"/>
    </row>
    <row r="72" spans="1:12">
      <c r="A72" s="367" t="s">
        <v>296</v>
      </c>
      <c r="B72" s="415" t="s">
        <v>634</v>
      </c>
    </row>
    <row r="75" spans="1:12">
      <c r="B75" s="5"/>
    </row>
    <row r="76" spans="1:12">
      <c r="B76" s="416"/>
    </row>
  </sheetData>
  <mergeCells count="10">
    <mergeCell ref="B68:J68"/>
    <mergeCell ref="B69:J69"/>
    <mergeCell ref="B70:K70"/>
    <mergeCell ref="B71:J71"/>
    <mergeCell ref="C6:D6"/>
    <mergeCell ref="G6:H6"/>
    <mergeCell ref="I6:J6"/>
    <mergeCell ref="C26:I26"/>
    <mergeCell ref="B64:K64"/>
    <mergeCell ref="B65:K65"/>
  </mergeCells>
  <pageMargins left="0.25" right="0.25" top="0.75" bottom="0.75" header="0.3" footer="0.3"/>
  <pageSetup scale="59" fitToHeight="0" orientation="landscape" r:id="rId1"/>
  <rowBreaks count="1" manualBreakCount="1">
    <brk id="46"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C99FB-F46E-4944-8BF7-71B8FEE508F2}">
  <sheetPr>
    <tabColor rgb="FF92D050"/>
  </sheetPr>
  <dimension ref="A1:O96"/>
  <sheetViews>
    <sheetView view="pageBreakPreview" zoomScale="70" zoomScaleNormal="100" zoomScaleSheetLayoutView="70" workbookViewId="0">
      <selection activeCell="H76" sqref="H76"/>
    </sheetView>
  </sheetViews>
  <sheetFormatPr defaultColWidth="14" defaultRowHeight="12.75"/>
  <cols>
    <col min="1" max="1" width="5.77734375" style="417" bestFit="1" customWidth="1"/>
    <col min="2" max="2" width="20.88671875" style="3" customWidth="1"/>
    <col min="3" max="3" width="14.33203125" style="3" customWidth="1"/>
    <col min="4" max="4" width="16.33203125" style="3" customWidth="1"/>
    <col min="5" max="5" width="10.33203125" style="3" customWidth="1"/>
    <col min="6" max="6" width="10.88671875" style="3" customWidth="1"/>
    <col min="7" max="7" width="10" style="3" customWidth="1"/>
    <col min="8" max="8" width="12.44140625" style="3" bestFit="1" customWidth="1"/>
    <col min="9" max="9" width="12.44140625" style="3" customWidth="1"/>
    <col min="10" max="10" width="13.6640625" style="3" bestFit="1" customWidth="1"/>
    <col min="11" max="11" width="12.5546875" style="3" bestFit="1" customWidth="1"/>
    <col min="12" max="12" width="13.21875" style="3" customWidth="1"/>
    <col min="13" max="13" width="12.77734375" style="3" customWidth="1"/>
    <col min="14" max="14" width="14" style="3"/>
    <col min="15" max="15" width="10" style="3" bestFit="1" customWidth="1"/>
    <col min="16" max="16384" width="14" style="3"/>
  </cols>
  <sheetData>
    <row r="1" spans="1:15">
      <c r="G1" s="162" t="s">
        <v>635</v>
      </c>
      <c r="M1" s="369" t="s">
        <v>330</v>
      </c>
    </row>
    <row r="2" spans="1:15" ht="15" customHeight="1">
      <c r="G2" s="15" t="s">
        <v>636</v>
      </c>
    </row>
    <row r="3" spans="1:15">
      <c r="D3" s="13"/>
      <c r="E3" s="13"/>
      <c r="F3" s="13"/>
      <c r="G3" s="18" t="str">
        <f>+'Attachment H'!D5</f>
        <v>GridLiance High Plains LLC</v>
      </c>
      <c r="H3" s="13"/>
      <c r="J3" s="13"/>
      <c r="K3" s="13"/>
      <c r="L3" s="13"/>
      <c r="M3" s="13"/>
      <c r="N3" s="13"/>
    </row>
    <row r="4" spans="1:15">
      <c r="B4" s="11"/>
    </row>
    <row r="6" spans="1:15" s="420" customFormat="1" ht="69.75" customHeight="1">
      <c r="A6" s="418" t="s">
        <v>387</v>
      </c>
      <c r="B6" s="419" t="s">
        <v>558</v>
      </c>
      <c r="C6" s="419" t="s">
        <v>637</v>
      </c>
      <c r="D6" s="419" t="s">
        <v>638</v>
      </c>
      <c r="E6" s="419" t="s">
        <v>639</v>
      </c>
      <c r="F6" s="419" t="s">
        <v>640</v>
      </c>
      <c r="G6" s="419" t="s">
        <v>641</v>
      </c>
      <c r="H6" s="419" t="s">
        <v>642</v>
      </c>
      <c r="I6" s="419" t="s">
        <v>643</v>
      </c>
      <c r="J6" s="419" t="s">
        <v>644</v>
      </c>
      <c r="K6" s="419" t="s">
        <v>645</v>
      </c>
      <c r="L6" s="380" t="s">
        <v>142</v>
      </c>
      <c r="M6" s="419" t="s">
        <v>646</v>
      </c>
      <c r="O6" s="421"/>
    </row>
    <row r="7" spans="1:15" s="420" customFormat="1">
      <c r="A7" s="418"/>
      <c r="B7" s="419"/>
      <c r="C7" s="422" t="s">
        <v>538</v>
      </c>
      <c r="D7" s="368" t="s">
        <v>539</v>
      </c>
      <c r="E7" s="368" t="s">
        <v>540</v>
      </c>
      <c r="F7" s="379" t="s">
        <v>541</v>
      </c>
      <c r="G7" s="379" t="s">
        <v>563</v>
      </c>
      <c r="H7" s="379" t="s">
        <v>564</v>
      </c>
      <c r="I7" s="380" t="s">
        <v>565</v>
      </c>
      <c r="J7" s="380" t="s">
        <v>566</v>
      </c>
      <c r="K7" s="380" t="s">
        <v>567</v>
      </c>
      <c r="L7" s="15" t="s">
        <v>647</v>
      </c>
      <c r="M7" s="15" t="s">
        <v>648</v>
      </c>
      <c r="O7" s="421"/>
    </row>
    <row r="8" spans="1:15" ht="25.5" customHeight="1">
      <c r="A8" s="423"/>
      <c r="B8" s="378" t="s">
        <v>649</v>
      </c>
      <c r="C8" s="422">
        <v>1</v>
      </c>
      <c r="D8" s="422">
        <v>2</v>
      </c>
      <c r="E8" s="422">
        <v>3</v>
      </c>
      <c r="F8" s="422">
        <v>4</v>
      </c>
      <c r="G8" s="422">
        <v>5</v>
      </c>
      <c r="H8" s="422">
        <v>6</v>
      </c>
      <c r="I8" s="422">
        <v>7</v>
      </c>
      <c r="J8" s="422">
        <v>9</v>
      </c>
      <c r="K8" s="422">
        <v>11</v>
      </c>
      <c r="L8" s="422">
        <v>12</v>
      </c>
      <c r="M8" s="422">
        <v>16</v>
      </c>
      <c r="O8" s="424"/>
    </row>
    <row r="9" spans="1:15" s="427" customFormat="1" ht="24.75" customHeight="1">
      <c r="A9" s="423"/>
      <c r="B9" s="425" t="s">
        <v>650</v>
      </c>
      <c r="C9" s="15" t="s">
        <v>651</v>
      </c>
      <c r="D9" s="15" t="s">
        <v>652</v>
      </c>
      <c r="E9" s="15" t="s">
        <v>653</v>
      </c>
      <c r="F9" s="15" t="s">
        <v>654</v>
      </c>
      <c r="G9" s="426" t="s">
        <v>655</v>
      </c>
      <c r="H9" s="426" t="str">
        <f>+G9</f>
        <v>(Note E)</v>
      </c>
      <c r="I9" s="426" t="str">
        <f>+H9</f>
        <v>(Note E)</v>
      </c>
      <c r="J9" s="426" t="s">
        <v>656</v>
      </c>
      <c r="K9" s="426" t="s">
        <v>657</v>
      </c>
      <c r="L9" s="426" t="s">
        <v>658</v>
      </c>
      <c r="M9" s="15" t="s">
        <v>659</v>
      </c>
    </row>
    <row r="10" spans="1:15" s="427" customFormat="1">
      <c r="A10" s="423"/>
      <c r="B10" s="425"/>
    </row>
    <row r="11" spans="1:15">
      <c r="A11" s="423"/>
      <c r="B11" s="428"/>
      <c r="C11" s="422"/>
      <c r="D11" s="422"/>
      <c r="E11" s="422"/>
      <c r="F11" s="422"/>
      <c r="G11" s="422"/>
      <c r="H11" s="422"/>
      <c r="I11" s="422"/>
      <c r="J11" s="422"/>
      <c r="K11" s="422"/>
      <c r="L11" s="422"/>
      <c r="M11" s="422"/>
      <c r="O11" s="424"/>
    </row>
    <row r="12" spans="1:15">
      <c r="A12" s="423" t="s">
        <v>660</v>
      </c>
      <c r="B12" s="429" t="s">
        <v>577</v>
      </c>
      <c r="C12" s="430">
        <v>185352.99610599564</v>
      </c>
      <c r="D12" s="109">
        <v>0</v>
      </c>
      <c r="E12" s="109">
        <v>0</v>
      </c>
      <c r="F12" s="75">
        <v>293086.24240848032</v>
      </c>
      <c r="G12" s="109">
        <v>0</v>
      </c>
      <c r="H12" s="109">
        <v>0</v>
      </c>
      <c r="I12" s="109">
        <v>0</v>
      </c>
      <c r="J12" s="109">
        <v>0</v>
      </c>
      <c r="K12" s="109">
        <v>0</v>
      </c>
      <c r="L12" s="109">
        <v>0</v>
      </c>
      <c r="M12" s="57">
        <v>152842.42393682292</v>
      </c>
      <c r="O12" s="432"/>
    </row>
    <row r="13" spans="1:15">
      <c r="A13" s="423" t="s">
        <v>661</v>
      </c>
      <c r="B13" s="429" t="s">
        <v>578</v>
      </c>
      <c r="C13" s="430">
        <v>185352.99610599564</v>
      </c>
      <c r="D13" s="109">
        <v>0</v>
      </c>
      <c r="E13" s="109">
        <v>0</v>
      </c>
      <c r="F13" s="57">
        <v>293086.24240848032</v>
      </c>
      <c r="G13" s="109">
        <v>0</v>
      </c>
      <c r="H13" s="109">
        <v>0</v>
      </c>
      <c r="I13" s="109">
        <v>0</v>
      </c>
      <c r="J13" s="109">
        <v>0</v>
      </c>
      <c r="K13" s="109">
        <v>0</v>
      </c>
      <c r="L13" s="109">
        <v>0</v>
      </c>
      <c r="M13" s="57">
        <v>152842.42393683037</v>
      </c>
      <c r="O13" s="432"/>
    </row>
    <row r="14" spans="1:15">
      <c r="A14" s="423" t="s">
        <v>662</v>
      </c>
      <c r="B14" s="429" t="s">
        <v>663</v>
      </c>
      <c r="C14" s="430">
        <v>185352.99610599564</v>
      </c>
      <c r="D14" s="109">
        <v>0</v>
      </c>
      <c r="E14" s="109">
        <v>0</v>
      </c>
      <c r="F14" s="57">
        <v>293086.24240848032</v>
      </c>
      <c r="G14" s="109">
        <v>0</v>
      </c>
      <c r="H14" s="109">
        <v>0</v>
      </c>
      <c r="I14" s="109">
        <v>0</v>
      </c>
      <c r="J14" s="109">
        <v>0</v>
      </c>
      <c r="K14" s="109">
        <v>0</v>
      </c>
      <c r="L14" s="109">
        <v>0</v>
      </c>
      <c r="M14" s="57">
        <v>152842.42393682105</v>
      </c>
      <c r="O14" s="432"/>
    </row>
    <row r="15" spans="1:15">
      <c r="A15" s="423" t="s">
        <v>664</v>
      </c>
      <c r="B15" s="429" t="s">
        <v>580</v>
      </c>
      <c r="C15" s="430">
        <v>185352.99610599564</v>
      </c>
      <c r="D15" s="109">
        <v>0</v>
      </c>
      <c r="E15" s="109">
        <v>0</v>
      </c>
      <c r="F15" s="57">
        <v>293086.24240848032</v>
      </c>
      <c r="G15" s="109">
        <v>0</v>
      </c>
      <c r="H15" s="109">
        <v>0</v>
      </c>
      <c r="I15" s="109">
        <v>0</v>
      </c>
      <c r="J15" s="109">
        <v>0</v>
      </c>
      <c r="K15" s="109">
        <v>0</v>
      </c>
      <c r="L15" s="109">
        <v>0</v>
      </c>
      <c r="M15" s="57">
        <v>152842.42393682478</v>
      </c>
      <c r="O15" s="432"/>
    </row>
    <row r="16" spans="1:15">
      <c r="A16" s="423" t="s">
        <v>344</v>
      </c>
      <c r="B16" s="429" t="s">
        <v>581</v>
      </c>
      <c r="C16" s="430">
        <v>185352.99610599564</v>
      </c>
      <c r="D16" s="109">
        <v>0</v>
      </c>
      <c r="E16" s="109">
        <v>0</v>
      </c>
      <c r="F16" s="57">
        <v>293086.24240848032</v>
      </c>
      <c r="G16" s="109">
        <v>0</v>
      </c>
      <c r="H16" s="109">
        <v>0</v>
      </c>
      <c r="I16" s="109">
        <v>0</v>
      </c>
      <c r="J16" s="109">
        <v>0</v>
      </c>
      <c r="K16" s="109">
        <v>0</v>
      </c>
      <c r="L16" s="109">
        <v>0</v>
      </c>
      <c r="M16" s="57">
        <v>152842.42393682268</v>
      </c>
      <c r="O16" s="432"/>
    </row>
    <row r="17" spans="1:15">
      <c r="A17" s="423" t="s">
        <v>347</v>
      </c>
      <c r="B17" s="429" t="s">
        <v>582</v>
      </c>
      <c r="C17" s="430">
        <v>185352.99610599564</v>
      </c>
      <c r="D17" s="109">
        <v>0</v>
      </c>
      <c r="E17" s="109">
        <v>0</v>
      </c>
      <c r="F17" s="57">
        <v>293086.24240848032</v>
      </c>
      <c r="G17" s="109">
        <v>0</v>
      </c>
      <c r="H17" s="109">
        <v>0</v>
      </c>
      <c r="I17" s="109">
        <v>0</v>
      </c>
      <c r="J17" s="109">
        <v>0</v>
      </c>
      <c r="K17" s="109">
        <v>0</v>
      </c>
      <c r="L17" s="109">
        <v>0</v>
      </c>
      <c r="M17" s="57">
        <v>152842.42393682292</v>
      </c>
      <c r="O17" s="432"/>
    </row>
    <row r="18" spans="1:15">
      <c r="A18" s="423" t="s">
        <v>351</v>
      </c>
      <c r="B18" s="429" t="s">
        <v>583</v>
      </c>
      <c r="C18" s="430">
        <v>185352.99610599564</v>
      </c>
      <c r="D18" s="109">
        <v>0</v>
      </c>
      <c r="E18" s="109">
        <v>0</v>
      </c>
      <c r="F18" s="57">
        <v>293086.24240848032</v>
      </c>
      <c r="G18" s="109">
        <v>0</v>
      </c>
      <c r="H18" s="109">
        <v>0</v>
      </c>
      <c r="I18" s="109">
        <v>0</v>
      </c>
      <c r="J18" s="109">
        <v>0</v>
      </c>
      <c r="K18" s="109">
        <v>0</v>
      </c>
      <c r="L18" s="109">
        <v>0</v>
      </c>
      <c r="M18" s="57">
        <v>152842.42393682478</v>
      </c>
      <c r="O18" s="432"/>
    </row>
    <row r="19" spans="1:15">
      <c r="A19" s="423" t="s">
        <v>354</v>
      </c>
      <c r="B19" s="429" t="s">
        <v>665</v>
      </c>
      <c r="C19" s="430">
        <v>185352.99610599564</v>
      </c>
      <c r="D19" s="109">
        <v>0</v>
      </c>
      <c r="E19" s="109">
        <v>0</v>
      </c>
      <c r="F19" s="57">
        <v>293086.24240848032</v>
      </c>
      <c r="G19" s="109">
        <v>0</v>
      </c>
      <c r="H19" s="109">
        <v>0</v>
      </c>
      <c r="I19" s="109">
        <v>0</v>
      </c>
      <c r="J19" s="109">
        <v>0</v>
      </c>
      <c r="K19" s="109">
        <v>0</v>
      </c>
      <c r="L19" s="109">
        <v>0</v>
      </c>
      <c r="M19" s="57">
        <v>152842.42393682944</v>
      </c>
      <c r="O19" s="432"/>
    </row>
    <row r="20" spans="1:15">
      <c r="A20" s="423" t="s">
        <v>357</v>
      </c>
      <c r="B20" s="429" t="s">
        <v>585</v>
      </c>
      <c r="C20" s="430">
        <v>185352.99610599564</v>
      </c>
      <c r="D20" s="109">
        <v>0</v>
      </c>
      <c r="E20" s="109">
        <v>0</v>
      </c>
      <c r="F20" s="57">
        <v>293086.24240848032</v>
      </c>
      <c r="G20" s="109">
        <v>0</v>
      </c>
      <c r="H20" s="109">
        <v>0</v>
      </c>
      <c r="I20" s="109">
        <v>0</v>
      </c>
      <c r="J20" s="109">
        <v>0</v>
      </c>
      <c r="K20" s="109">
        <v>0</v>
      </c>
      <c r="L20" s="109">
        <v>0</v>
      </c>
      <c r="M20" s="57">
        <v>152842.42393682385</v>
      </c>
      <c r="O20" s="432"/>
    </row>
    <row r="21" spans="1:15">
      <c r="A21" s="423" t="s">
        <v>360</v>
      </c>
      <c r="B21" s="429" t="s">
        <v>586</v>
      </c>
      <c r="C21" s="430">
        <v>185352.99610599564</v>
      </c>
      <c r="D21" s="109">
        <v>0</v>
      </c>
      <c r="E21" s="109">
        <v>0</v>
      </c>
      <c r="F21" s="75">
        <v>293086.24240848032</v>
      </c>
      <c r="G21" s="109">
        <v>0</v>
      </c>
      <c r="H21" s="109">
        <v>0</v>
      </c>
      <c r="I21" s="109">
        <v>0</v>
      </c>
      <c r="J21" s="109">
        <v>0</v>
      </c>
      <c r="K21" s="109">
        <v>0</v>
      </c>
      <c r="L21" s="109">
        <v>0</v>
      </c>
      <c r="M21" s="57">
        <v>154738.25727015687</v>
      </c>
      <c r="O21" s="432"/>
    </row>
    <row r="22" spans="1:15">
      <c r="A22" s="423" t="s">
        <v>363</v>
      </c>
      <c r="B22" s="429" t="s">
        <v>587</v>
      </c>
      <c r="C22" s="430">
        <v>185352.99610599564</v>
      </c>
      <c r="D22" s="109">
        <v>0</v>
      </c>
      <c r="E22" s="109">
        <v>0</v>
      </c>
      <c r="F22" s="57">
        <v>293086.24240848032</v>
      </c>
      <c r="G22" s="109">
        <v>0</v>
      </c>
      <c r="H22" s="109">
        <v>0</v>
      </c>
      <c r="I22" s="109">
        <v>0</v>
      </c>
      <c r="J22" s="109">
        <v>0</v>
      </c>
      <c r="K22" s="109">
        <v>0</v>
      </c>
      <c r="L22" s="109">
        <v>0</v>
      </c>
      <c r="M22" s="57">
        <v>154738.25727015408</v>
      </c>
      <c r="O22" s="432"/>
    </row>
    <row r="23" spans="1:15">
      <c r="A23" s="423" t="s">
        <v>367</v>
      </c>
      <c r="B23" s="429" t="s">
        <v>666</v>
      </c>
      <c r="C23" s="430">
        <v>185352.99610599564</v>
      </c>
      <c r="D23" s="109">
        <v>0</v>
      </c>
      <c r="E23" s="109">
        <v>0</v>
      </c>
      <c r="F23" s="57">
        <v>293086.24240848032</v>
      </c>
      <c r="G23" s="109">
        <v>0</v>
      </c>
      <c r="H23" s="109">
        <v>0</v>
      </c>
      <c r="I23" s="109">
        <v>0</v>
      </c>
      <c r="J23" s="109">
        <v>0</v>
      </c>
      <c r="K23" s="109">
        <v>0</v>
      </c>
      <c r="L23" s="109">
        <v>0</v>
      </c>
      <c r="M23" s="57">
        <v>154738.25727015734</v>
      </c>
      <c r="O23" s="432"/>
    </row>
    <row r="24" spans="1:15">
      <c r="A24" s="423" t="s">
        <v>370</v>
      </c>
      <c r="B24" s="433" t="s">
        <v>20</v>
      </c>
      <c r="C24" s="434">
        <f t="shared" ref="C24:M24" si="0">SUM(C12:C23)</f>
        <v>2224235.9532719483</v>
      </c>
      <c r="D24" s="435">
        <f t="shared" si="0"/>
        <v>0</v>
      </c>
      <c r="E24" s="435">
        <f t="shared" si="0"/>
        <v>0</v>
      </c>
      <c r="F24" s="436">
        <f t="shared" si="0"/>
        <v>3517034.9089017645</v>
      </c>
      <c r="G24" s="435">
        <f t="shared" si="0"/>
        <v>0</v>
      </c>
      <c r="H24" s="435">
        <f t="shared" si="0"/>
        <v>0</v>
      </c>
      <c r="I24" s="435">
        <f t="shared" si="0"/>
        <v>0</v>
      </c>
      <c r="J24" s="435">
        <f t="shared" si="0"/>
        <v>0</v>
      </c>
      <c r="K24" s="435">
        <f t="shared" si="0"/>
        <v>0</v>
      </c>
      <c r="L24" s="435">
        <f t="shared" si="0"/>
        <v>0</v>
      </c>
      <c r="M24" s="435">
        <f t="shared" si="0"/>
        <v>1839796.5872418911</v>
      </c>
      <c r="O24" s="437"/>
    </row>
    <row r="25" spans="1:15">
      <c r="A25" s="423"/>
      <c r="B25" s="429"/>
      <c r="C25" s="429"/>
      <c r="D25" s="429"/>
      <c r="E25" s="429"/>
      <c r="F25" s="429"/>
      <c r="G25" s="429"/>
      <c r="H25" s="429"/>
      <c r="I25" s="429"/>
      <c r="J25" s="429"/>
      <c r="N25" s="429"/>
      <c r="O25" s="438"/>
    </row>
    <row r="26" spans="1:15">
      <c r="A26" s="423"/>
      <c r="B26" s="429"/>
      <c r="C26" s="429"/>
      <c r="D26" s="429"/>
      <c r="E26" s="429"/>
      <c r="F26" s="429"/>
      <c r="G26" s="429"/>
      <c r="H26" s="429"/>
      <c r="I26" s="429"/>
      <c r="J26" s="429"/>
      <c r="N26" s="429"/>
      <c r="O26" s="438"/>
    </row>
    <row r="27" spans="1:15" ht="38.25">
      <c r="A27" s="423"/>
      <c r="C27" s="419" t="s">
        <v>667</v>
      </c>
      <c r="D27" s="420" t="s">
        <v>668</v>
      </c>
      <c r="E27" s="419" t="s">
        <v>669</v>
      </c>
      <c r="F27" s="420" t="s">
        <v>670</v>
      </c>
      <c r="G27" s="419" t="s">
        <v>671</v>
      </c>
      <c r="H27" s="419" t="s">
        <v>672</v>
      </c>
      <c r="I27" s="419" t="s">
        <v>673</v>
      </c>
      <c r="J27" s="419" t="s">
        <v>674</v>
      </c>
      <c r="K27" s="419" t="s">
        <v>675</v>
      </c>
      <c r="L27" s="419" t="s">
        <v>676</v>
      </c>
      <c r="M27" s="419" t="s">
        <v>181</v>
      </c>
      <c r="N27" s="429"/>
    </row>
    <row r="28" spans="1:15">
      <c r="A28" s="423"/>
      <c r="C28" s="422" t="s">
        <v>538</v>
      </c>
      <c r="D28" s="368" t="s">
        <v>539</v>
      </c>
      <c r="E28" s="368" t="s">
        <v>540</v>
      </c>
      <c r="F28" s="379" t="s">
        <v>541</v>
      </c>
      <c r="G28" s="379" t="s">
        <v>563</v>
      </c>
      <c r="H28" s="379" t="s">
        <v>564</v>
      </c>
      <c r="I28" s="379" t="s">
        <v>565</v>
      </c>
      <c r="J28" s="380" t="s">
        <v>566</v>
      </c>
      <c r="K28" s="380" t="s">
        <v>567</v>
      </c>
      <c r="L28" s="15" t="s">
        <v>647</v>
      </c>
      <c r="M28" s="15" t="s">
        <v>648</v>
      </c>
      <c r="N28" s="429"/>
    </row>
    <row r="29" spans="1:15" ht="25.5">
      <c r="A29" s="423"/>
      <c r="B29" s="378" t="s">
        <v>677</v>
      </c>
      <c r="C29" s="422">
        <v>17</v>
      </c>
      <c r="D29" s="423">
        <v>19</v>
      </c>
      <c r="E29" s="422">
        <v>23</v>
      </c>
      <c r="F29" s="422">
        <v>24</v>
      </c>
      <c r="G29" s="422">
        <v>26</v>
      </c>
      <c r="H29" s="422">
        <v>27</v>
      </c>
      <c r="I29" s="422">
        <v>28</v>
      </c>
      <c r="J29" s="422">
        <v>29</v>
      </c>
      <c r="K29" s="425">
        <v>37</v>
      </c>
      <c r="L29" s="422">
        <v>38</v>
      </c>
      <c r="M29" s="422">
        <v>39</v>
      </c>
      <c r="N29" s="429"/>
    </row>
    <row r="30" spans="1:15" ht="25.5">
      <c r="A30" s="423"/>
      <c r="B30" s="425" t="s">
        <v>650</v>
      </c>
      <c r="C30" s="426" t="s">
        <v>678</v>
      </c>
      <c r="D30" s="15" t="s">
        <v>679</v>
      </c>
      <c r="E30" s="15" t="s">
        <v>680</v>
      </c>
      <c r="F30" s="15" t="str">
        <f>+E30</f>
        <v>263.i</v>
      </c>
      <c r="G30" s="15" t="str">
        <f>+F30</f>
        <v>263.i</v>
      </c>
      <c r="H30" s="15" t="str">
        <f>+G30</f>
        <v>263.i</v>
      </c>
      <c r="I30" s="15" t="str">
        <f>+H30</f>
        <v>263.i</v>
      </c>
      <c r="J30" s="15" t="str">
        <f>+I30</f>
        <v>263.i</v>
      </c>
      <c r="K30" s="15" t="s">
        <v>681</v>
      </c>
      <c r="L30" s="15" t="s">
        <v>176</v>
      </c>
      <c r="M30" s="15" t="s">
        <v>682</v>
      </c>
      <c r="N30" s="429"/>
    </row>
    <row r="31" spans="1:15" s="427" customFormat="1">
      <c r="A31" s="423"/>
      <c r="B31" s="425"/>
      <c r="N31" s="15"/>
    </row>
    <row r="32" spans="1:15">
      <c r="A32" s="423"/>
      <c r="C32" s="422"/>
      <c r="E32" s="422"/>
      <c r="F32" s="422"/>
      <c r="G32" s="422"/>
      <c r="H32" s="422"/>
      <c r="I32" s="422"/>
      <c r="J32" s="422"/>
      <c r="K32" s="422"/>
      <c r="L32" s="422"/>
      <c r="M32" s="422"/>
      <c r="N32" s="429"/>
    </row>
    <row r="33" spans="1:15">
      <c r="A33" s="423" t="s">
        <v>373</v>
      </c>
      <c r="B33" s="429" t="s">
        <v>577</v>
      </c>
      <c r="C33" s="109">
        <v>0</v>
      </c>
      <c r="D33" s="109">
        <v>0</v>
      </c>
      <c r="E33" s="109">
        <v>0</v>
      </c>
      <c r="F33" s="109">
        <v>0</v>
      </c>
      <c r="G33" s="57">
        <v>123903.17178618885</v>
      </c>
      <c r="H33" s="109">
        <v>0</v>
      </c>
      <c r="I33" s="109">
        <v>0</v>
      </c>
      <c r="J33" s="109">
        <v>0</v>
      </c>
      <c r="K33" s="109">
        <v>0</v>
      </c>
      <c r="L33" s="109">
        <v>0</v>
      </c>
      <c r="M33" s="109">
        <v>0</v>
      </c>
      <c r="N33" s="429"/>
    </row>
    <row r="34" spans="1:15">
      <c r="A34" s="423" t="s">
        <v>376</v>
      </c>
      <c r="B34" s="429" t="s">
        <v>578</v>
      </c>
      <c r="C34" s="109">
        <v>0</v>
      </c>
      <c r="D34" s="109">
        <v>0</v>
      </c>
      <c r="E34" s="109">
        <v>0</v>
      </c>
      <c r="F34" s="109">
        <v>0</v>
      </c>
      <c r="G34" s="57">
        <v>123903.17178618885</v>
      </c>
      <c r="H34" s="109">
        <v>0</v>
      </c>
      <c r="I34" s="109">
        <v>0</v>
      </c>
      <c r="J34" s="109">
        <v>0</v>
      </c>
      <c r="K34" s="109">
        <v>0</v>
      </c>
      <c r="L34" s="109">
        <v>0</v>
      </c>
      <c r="M34" s="109">
        <v>0</v>
      </c>
      <c r="N34" s="429"/>
    </row>
    <row r="35" spans="1:15">
      <c r="A35" s="423" t="s">
        <v>379</v>
      </c>
      <c r="B35" s="429" t="s">
        <v>663</v>
      </c>
      <c r="C35" s="109">
        <v>0</v>
      </c>
      <c r="D35" s="109">
        <v>0</v>
      </c>
      <c r="E35" s="109">
        <v>0</v>
      </c>
      <c r="F35" s="109">
        <v>0</v>
      </c>
      <c r="G35" s="57">
        <v>123903.17178618885</v>
      </c>
      <c r="H35" s="109">
        <v>0</v>
      </c>
      <c r="I35" s="109">
        <v>0</v>
      </c>
      <c r="J35" s="109">
        <v>0</v>
      </c>
      <c r="K35" s="109">
        <v>0</v>
      </c>
      <c r="L35" s="109">
        <v>0</v>
      </c>
      <c r="M35" s="109">
        <v>0</v>
      </c>
      <c r="N35" s="429"/>
    </row>
    <row r="36" spans="1:15">
      <c r="A36" s="423" t="s">
        <v>683</v>
      </c>
      <c r="B36" s="429" t="s">
        <v>580</v>
      </c>
      <c r="C36" s="109">
        <v>0</v>
      </c>
      <c r="D36" s="109">
        <v>0</v>
      </c>
      <c r="E36" s="109">
        <v>0</v>
      </c>
      <c r="F36" s="109">
        <v>0</v>
      </c>
      <c r="G36" s="57">
        <v>123903.17178618885</v>
      </c>
      <c r="H36" s="109">
        <v>0</v>
      </c>
      <c r="I36" s="109">
        <v>0</v>
      </c>
      <c r="J36" s="109">
        <v>0</v>
      </c>
      <c r="K36" s="109">
        <v>0</v>
      </c>
      <c r="L36" s="109">
        <v>0</v>
      </c>
      <c r="M36" s="109">
        <v>0</v>
      </c>
      <c r="N36" s="429"/>
    </row>
    <row r="37" spans="1:15">
      <c r="A37" s="423" t="s">
        <v>684</v>
      </c>
      <c r="B37" s="429" t="s">
        <v>581</v>
      </c>
      <c r="C37" s="109">
        <v>0</v>
      </c>
      <c r="D37" s="109">
        <v>0</v>
      </c>
      <c r="E37" s="109">
        <v>0</v>
      </c>
      <c r="F37" s="109">
        <v>0</v>
      </c>
      <c r="G37" s="57">
        <v>123903.17178618885</v>
      </c>
      <c r="H37" s="109">
        <v>0</v>
      </c>
      <c r="I37" s="109">
        <v>0</v>
      </c>
      <c r="J37" s="109">
        <v>0</v>
      </c>
      <c r="K37" s="109">
        <v>0</v>
      </c>
      <c r="L37" s="109">
        <v>0</v>
      </c>
      <c r="M37" s="109">
        <v>0</v>
      </c>
      <c r="N37" s="429"/>
    </row>
    <row r="38" spans="1:15">
      <c r="A38" s="423" t="s">
        <v>685</v>
      </c>
      <c r="B38" s="429" t="s">
        <v>582</v>
      </c>
      <c r="C38" s="109">
        <v>0</v>
      </c>
      <c r="D38" s="109">
        <v>0</v>
      </c>
      <c r="E38" s="109">
        <v>0</v>
      </c>
      <c r="F38" s="109">
        <v>0</v>
      </c>
      <c r="G38" s="57">
        <v>123903.17178618885</v>
      </c>
      <c r="H38" s="109">
        <v>0</v>
      </c>
      <c r="I38" s="109">
        <v>0</v>
      </c>
      <c r="J38" s="109">
        <v>0</v>
      </c>
      <c r="K38" s="109">
        <v>0</v>
      </c>
      <c r="L38" s="109">
        <v>0</v>
      </c>
      <c r="M38" s="109">
        <v>0</v>
      </c>
      <c r="N38" s="429"/>
    </row>
    <row r="39" spans="1:15">
      <c r="A39" s="423" t="s">
        <v>686</v>
      </c>
      <c r="B39" s="429" t="s">
        <v>583</v>
      </c>
      <c r="C39" s="109">
        <v>0</v>
      </c>
      <c r="D39" s="109">
        <v>0</v>
      </c>
      <c r="E39" s="109">
        <v>0</v>
      </c>
      <c r="F39" s="109">
        <v>0</v>
      </c>
      <c r="G39" s="57">
        <v>123903.17178618885</v>
      </c>
      <c r="H39" s="109">
        <v>0</v>
      </c>
      <c r="I39" s="109">
        <v>0</v>
      </c>
      <c r="J39" s="109">
        <v>0</v>
      </c>
      <c r="K39" s="109">
        <v>0</v>
      </c>
      <c r="L39" s="109">
        <v>0</v>
      </c>
      <c r="M39" s="109">
        <v>0</v>
      </c>
      <c r="N39" s="429"/>
    </row>
    <row r="40" spans="1:15">
      <c r="A40" s="423" t="s">
        <v>687</v>
      </c>
      <c r="B40" s="429" t="s">
        <v>665</v>
      </c>
      <c r="C40" s="109">
        <v>0</v>
      </c>
      <c r="D40" s="109">
        <v>0</v>
      </c>
      <c r="E40" s="109">
        <v>0</v>
      </c>
      <c r="F40" s="109">
        <v>0</v>
      </c>
      <c r="G40" s="57">
        <v>123903.17178618885</v>
      </c>
      <c r="H40" s="109">
        <v>0</v>
      </c>
      <c r="I40" s="109">
        <v>0</v>
      </c>
      <c r="J40" s="109">
        <v>0</v>
      </c>
      <c r="K40" s="109">
        <v>0</v>
      </c>
      <c r="L40" s="109">
        <v>0</v>
      </c>
      <c r="M40" s="109">
        <v>0</v>
      </c>
      <c r="N40" s="429"/>
    </row>
    <row r="41" spans="1:15">
      <c r="A41" s="423" t="s">
        <v>688</v>
      </c>
      <c r="B41" s="429" t="s">
        <v>585</v>
      </c>
      <c r="C41" s="109">
        <v>0</v>
      </c>
      <c r="D41" s="109">
        <v>0</v>
      </c>
      <c r="E41" s="109">
        <v>0</v>
      </c>
      <c r="F41" s="109">
        <v>0</v>
      </c>
      <c r="G41" s="57">
        <v>123903.17178618885</v>
      </c>
      <c r="H41" s="109">
        <v>0</v>
      </c>
      <c r="I41" s="109">
        <v>0</v>
      </c>
      <c r="J41" s="109">
        <v>0</v>
      </c>
      <c r="K41" s="109">
        <v>0</v>
      </c>
      <c r="L41" s="109">
        <v>0</v>
      </c>
      <c r="M41" s="109">
        <v>0</v>
      </c>
      <c r="N41" s="429"/>
    </row>
    <row r="42" spans="1:15">
      <c r="A42" s="423" t="s">
        <v>689</v>
      </c>
      <c r="B42" s="429" t="s">
        <v>586</v>
      </c>
      <c r="C42" s="109">
        <v>0</v>
      </c>
      <c r="D42" s="109">
        <v>0</v>
      </c>
      <c r="E42" s="109">
        <v>0</v>
      </c>
      <c r="F42" s="109">
        <v>0</v>
      </c>
      <c r="G42" s="57">
        <v>123903.17178618885</v>
      </c>
      <c r="H42" s="109">
        <v>0</v>
      </c>
      <c r="I42" s="109">
        <v>0</v>
      </c>
      <c r="J42" s="109">
        <v>0</v>
      </c>
      <c r="K42" s="109">
        <v>0</v>
      </c>
      <c r="L42" s="109">
        <v>0</v>
      </c>
      <c r="M42" s="109">
        <v>0</v>
      </c>
      <c r="N42" s="429"/>
    </row>
    <row r="43" spans="1:15">
      <c r="A43" s="423" t="s">
        <v>690</v>
      </c>
      <c r="B43" s="429" t="s">
        <v>587</v>
      </c>
      <c r="C43" s="109">
        <v>0</v>
      </c>
      <c r="D43" s="109">
        <v>0</v>
      </c>
      <c r="E43" s="109">
        <v>0</v>
      </c>
      <c r="F43" s="109">
        <v>0</v>
      </c>
      <c r="G43" s="57">
        <v>123903.17178618885</v>
      </c>
      <c r="H43" s="109">
        <v>0</v>
      </c>
      <c r="I43" s="109">
        <v>0</v>
      </c>
      <c r="J43" s="109">
        <v>0</v>
      </c>
      <c r="K43" s="109">
        <v>0</v>
      </c>
      <c r="L43" s="109">
        <v>0</v>
      </c>
      <c r="M43" s="109">
        <v>0</v>
      </c>
      <c r="N43" s="429"/>
    </row>
    <row r="44" spans="1:15">
      <c r="A44" s="423" t="s">
        <v>691</v>
      </c>
      <c r="B44" s="429" t="s">
        <v>666</v>
      </c>
      <c r="C44" s="109">
        <v>0</v>
      </c>
      <c r="D44" s="109">
        <v>0</v>
      </c>
      <c r="E44" s="109">
        <v>0</v>
      </c>
      <c r="F44" s="109">
        <v>0</v>
      </c>
      <c r="G44" s="57">
        <v>123903.17178618885</v>
      </c>
      <c r="H44" s="109">
        <v>0</v>
      </c>
      <c r="I44" s="109">
        <v>0</v>
      </c>
      <c r="J44" s="109">
        <v>0</v>
      </c>
      <c r="K44" s="109">
        <v>0</v>
      </c>
      <c r="L44" s="109">
        <v>0</v>
      </c>
      <c r="M44" s="109">
        <v>0</v>
      </c>
      <c r="N44" s="429"/>
    </row>
    <row r="45" spans="1:15">
      <c r="A45" s="423" t="s">
        <v>692</v>
      </c>
      <c r="B45" s="433" t="s">
        <v>20</v>
      </c>
      <c r="C45" s="435">
        <f t="shared" ref="C45:M45" si="1">SUM(C33:C44)</f>
        <v>0</v>
      </c>
      <c r="D45" s="435">
        <f t="shared" si="1"/>
        <v>0</v>
      </c>
      <c r="E45" s="435">
        <f t="shared" si="1"/>
        <v>0</v>
      </c>
      <c r="F45" s="435">
        <f t="shared" si="1"/>
        <v>0</v>
      </c>
      <c r="G45" s="435">
        <f t="shared" si="1"/>
        <v>1486838.0614342662</v>
      </c>
      <c r="H45" s="435">
        <f t="shared" si="1"/>
        <v>0</v>
      </c>
      <c r="I45" s="435">
        <f t="shared" si="1"/>
        <v>0</v>
      </c>
      <c r="J45" s="435">
        <f t="shared" si="1"/>
        <v>0</v>
      </c>
      <c r="K45" s="436">
        <f t="shared" si="1"/>
        <v>0</v>
      </c>
      <c r="L45" s="435">
        <f t="shared" si="1"/>
        <v>0</v>
      </c>
      <c r="M45" s="435">
        <f t="shared" si="1"/>
        <v>0</v>
      </c>
      <c r="N45" s="429"/>
    </row>
    <row r="46" spans="1:15">
      <c r="B46" s="429"/>
      <c r="C46" s="429"/>
      <c r="D46" s="429"/>
      <c r="E46" s="429"/>
      <c r="F46" s="429"/>
      <c r="G46" s="422" t="s">
        <v>635</v>
      </c>
      <c r="H46" s="429"/>
      <c r="I46" s="429"/>
      <c r="J46" s="429"/>
      <c r="M46" s="369" t="s">
        <v>382</v>
      </c>
      <c r="N46" s="429"/>
      <c r="O46" s="438"/>
    </row>
    <row r="47" spans="1:15">
      <c r="B47" s="429"/>
      <c r="C47" s="429"/>
      <c r="D47" s="429"/>
      <c r="E47" s="429"/>
      <c r="F47" s="429"/>
      <c r="G47" s="422" t="s">
        <v>636</v>
      </c>
      <c r="H47" s="429"/>
      <c r="I47" s="429"/>
      <c r="J47" s="429"/>
      <c r="N47" s="429"/>
      <c r="O47" s="438"/>
    </row>
    <row r="48" spans="1:15">
      <c r="B48" s="429"/>
      <c r="C48" s="429"/>
      <c r="D48" s="429"/>
      <c r="E48" s="429"/>
      <c r="F48" s="429"/>
      <c r="G48" s="422" t="s">
        <v>5</v>
      </c>
      <c r="H48" s="429"/>
      <c r="I48" s="429"/>
      <c r="J48" s="429"/>
      <c r="N48" s="429"/>
      <c r="O48" s="438"/>
    </row>
    <row r="49" spans="1:15">
      <c r="B49" s="429"/>
      <c r="C49" s="429"/>
      <c r="D49" s="429"/>
      <c r="E49" s="429"/>
      <c r="F49" s="429"/>
      <c r="G49" s="429"/>
      <c r="H49" s="429"/>
      <c r="I49" s="429"/>
      <c r="J49" s="429"/>
      <c r="N49" s="429"/>
      <c r="O49" s="438"/>
    </row>
    <row r="50" spans="1:15">
      <c r="B50" s="429"/>
      <c r="C50" s="429"/>
      <c r="D50" s="429"/>
      <c r="E50" s="429"/>
      <c r="F50" s="429"/>
      <c r="G50" s="429"/>
      <c r="H50" s="429"/>
      <c r="I50" s="429"/>
      <c r="J50" s="429"/>
      <c r="N50" s="429"/>
      <c r="O50" s="438"/>
    </row>
    <row r="51" spans="1:15" ht="129" customHeight="1">
      <c r="B51" s="439"/>
      <c r="C51" s="440" t="s">
        <v>693</v>
      </c>
      <c r="D51" s="441" t="s">
        <v>261</v>
      </c>
      <c r="E51" s="441" t="s">
        <v>694</v>
      </c>
      <c r="F51" s="442" t="s">
        <v>695</v>
      </c>
      <c r="G51" s="443" t="s">
        <v>25</v>
      </c>
      <c r="H51" s="429"/>
      <c r="I51" s="429"/>
      <c r="J51" s="429"/>
      <c r="N51" s="429"/>
      <c r="O51" s="429"/>
    </row>
    <row r="52" spans="1:15">
      <c r="C52" s="422" t="s">
        <v>538</v>
      </c>
      <c r="D52" s="368" t="s">
        <v>539</v>
      </c>
      <c r="E52" s="368" t="s">
        <v>540</v>
      </c>
      <c r="F52" s="379" t="s">
        <v>541</v>
      </c>
      <c r="G52" s="379" t="s">
        <v>563</v>
      </c>
      <c r="H52" s="429"/>
      <c r="I52" s="429"/>
      <c r="J52" s="429"/>
      <c r="N52" s="429"/>
      <c r="O52" s="429"/>
    </row>
    <row r="53" spans="1:15" ht="25.5">
      <c r="B53" s="378" t="s">
        <v>696</v>
      </c>
      <c r="C53" s="422">
        <v>27</v>
      </c>
      <c r="D53" s="423" t="s">
        <v>697</v>
      </c>
      <c r="E53" s="422">
        <v>31</v>
      </c>
      <c r="F53" s="422">
        <v>32</v>
      </c>
      <c r="G53" s="425" t="s">
        <v>698</v>
      </c>
      <c r="H53" s="422"/>
      <c r="I53" s="422"/>
      <c r="J53" s="429"/>
    </row>
    <row r="54" spans="1:15" ht="25.5">
      <c r="B54" s="425"/>
      <c r="C54" s="426" t="s">
        <v>699</v>
      </c>
      <c r="D54" s="15" t="s">
        <v>700</v>
      </c>
      <c r="E54" s="376" t="s">
        <v>701</v>
      </c>
      <c r="F54" s="3" t="str">
        <f>+E54</f>
        <v>Portion of Account 456.1</v>
      </c>
      <c r="H54" s="422"/>
      <c r="L54" s="422"/>
      <c r="M54" s="422"/>
    </row>
    <row r="55" spans="1:15">
      <c r="C55" s="422"/>
      <c r="E55" s="422"/>
      <c r="F55" s="422"/>
      <c r="G55" s="422"/>
      <c r="H55" s="422"/>
      <c r="I55" s="4"/>
      <c r="L55" s="422"/>
      <c r="M55" s="422"/>
    </row>
    <row r="56" spans="1:15">
      <c r="A56" s="444">
        <f>+A42+1</f>
        <v>24</v>
      </c>
      <c r="B56" s="429" t="s">
        <v>577</v>
      </c>
      <c r="C56" s="109">
        <v>0</v>
      </c>
      <c r="D56" s="109">
        <v>0</v>
      </c>
      <c r="E56" s="109">
        <v>0</v>
      </c>
      <c r="F56" s="109">
        <v>0</v>
      </c>
      <c r="G56" s="109">
        <v>0</v>
      </c>
      <c r="H56" s="429"/>
      <c r="I56" s="4"/>
      <c r="L56" s="429"/>
      <c r="M56" s="429"/>
    </row>
    <row r="57" spans="1:15">
      <c r="A57" s="444">
        <f t="shared" ref="A57:A88" si="2">+A56+1</f>
        <v>25</v>
      </c>
      <c r="B57" s="429" t="s">
        <v>578</v>
      </c>
      <c r="C57" s="109">
        <v>0</v>
      </c>
      <c r="D57" s="109">
        <v>0</v>
      </c>
      <c r="E57" s="109">
        <v>0</v>
      </c>
      <c r="F57" s="109">
        <v>0</v>
      </c>
      <c r="G57" s="109">
        <v>0</v>
      </c>
      <c r="H57" s="429"/>
      <c r="L57" s="429"/>
      <c r="M57" s="429"/>
    </row>
    <row r="58" spans="1:15">
      <c r="A58" s="444">
        <f t="shared" si="2"/>
        <v>26</v>
      </c>
      <c r="B58" s="429" t="s">
        <v>663</v>
      </c>
      <c r="C58" s="109">
        <v>0</v>
      </c>
      <c r="D58" s="109">
        <v>0</v>
      </c>
      <c r="E58" s="109">
        <v>0</v>
      </c>
      <c r="F58" s="109">
        <v>0</v>
      </c>
      <c r="G58" s="109">
        <v>0</v>
      </c>
      <c r="H58" s="429"/>
      <c r="I58" s="4"/>
      <c r="L58" s="429"/>
      <c r="M58" s="429"/>
    </row>
    <row r="59" spans="1:15">
      <c r="A59" s="444">
        <f t="shared" si="2"/>
        <v>27</v>
      </c>
      <c r="B59" s="429" t="s">
        <v>580</v>
      </c>
      <c r="C59" s="109">
        <v>0</v>
      </c>
      <c r="D59" s="109">
        <v>0</v>
      </c>
      <c r="E59" s="109">
        <v>0</v>
      </c>
      <c r="F59" s="109">
        <v>0</v>
      </c>
      <c r="G59" s="109">
        <v>0</v>
      </c>
      <c r="H59" s="429"/>
      <c r="I59" s="5"/>
      <c r="L59" s="429"/>
      <c r="M59" s="429"/>
    </row>
    <row r="60" spans="1:15">
      <c r="A60" s="444">
        <f t="shared" si="2"/>
        <v>28</v>
      </c>
      <c r="B60" s="429" t="s">
        <v>581</v>
      </c>
      <c r="C60" s="109">
        <v>0</v>
      </c>
      <c r="D60" s="109">
        <v>0</v>
      </c>
      <c r="E60" s="109">
        <v>0</v>
      </c>
      <c r="F60" s="109">
        <v>0</v>
      </c>
      <c r="G60" s="109">
        <v>0</v>
      </c>
      <c r="H60" s="429"/>
      <c r="L60" s="429"/>
      <c r="M60" s="429"/>
    </row>
    <row r="61" spans="1:15">
      <c r="A61" s="444">
        <f t="shared" si="2"/>
        <v>29</v>
      </c>
      <c r="B61" s="429" t="s">
        <v>582</v>
      </c>
      <c r="C61" s="109">
        <v>0</v>
      </c>
      <c r="D61" s="109">
        <v>0</v>
      </c>
      <c r="E61" s="109">
        <v>0</v>
      </c>
      <c r="F61" s="109">
        <v>0</v>
      </c>
      <c r="G61" s="109">
        <v>0</v>
      </c>
      <c r="H61" s="429"/>
      <c r="L61" s="429"/>
      <c r="M61" s="429"/>
    </row>
    <row r="62" spans="1:15">
      <c r="A62" s="444">
        <f t="shared" si="2"/>
        <v>30</v>
      </c>
      <c r="B62" s="429" t="s">
        <v>583</v>
      </c>
      <c r="C62" s="109">
        <v>0</v>
      </c>
      <c r="D62" s="109">
        <v>0</v>
      </c>
      <c r="E62" s="109">
        <v>0</v>
      </c>
      <c r="F62" s="109">
        <v>0</v>
      </c>
      <c r="G62" s="109">
        <v>0</v>
      </c>
      <c r="H62" s="429"/>
      <c r="L62" s="429"/>
      <c r="M62" s="429"/>
    </row>
    <row r="63" spans="1:15">
      <c r="A63" s="444">
        <f t="shared" si="2"/>
        <v>31</v>
      </c>
      <c r="B63" s="429" t="s">
        <v>665</v>
      </c>
      <c r="C63" s="109">
        <v>0</v>
      </c>
      <c r="D63" s="109">
        <v>0</v>
      </c>
      <c r="E63" s="109">
        <v>0</v>
      </c>
      <c r="F63" s="109">
        <v>0</v>
      </c>
      <c r="G63" s="109">
        <v>0</v>
      </c>
      <c r="H63" s="429"/>
      <c r="L63" s="429"/>
      <c r="M63" s="429"/>
    </row>
    <row r="64" spans="1:15">
      <c r="A64" s="444">
        <f t="shared" si="2"/>
        <v>32</v>
      </c>
      <c r="B64" s="429" t="s">
        <v>585</v>
      </c>
      <c r="C64" s="109">
        <v>0</v>
      </c>
      <c r="D64" s="109">
        <v>0</v>
      </c>
      <c r="E64" s="109">
        <v>0</v>
      </c>
      <c r="F64" s="109">
        <v>0</v>
      </c>
      <c r="G64" s="109">
        <v>0</v>
      </c>
      <c r="H64" s="429"/>
      <c r="L64" s="429"/>
      <c r="M64" s="429"/>
    </row>
    <row r="65" spans="1:15">
      <c r="A65" s="444">
        <f t="shared" si="2"/>
        <v>33</v>
      </c>
      <c r="B65" s="429" t="s">
        <v>586</v>
      </c>
      <c r="C65" s="109">
        <v>0</v>
      </c>
      <c r="D65" s="109">
        <v>0</v>
      </c>
      <c r="E65" s="109">
        <v>0</v>
      </c>
      <c r="F65" s="109">
        <v>0</v>
      </c>
      <c r="G65" s="109">
        <v>0</v>
      </c>
      <c r="H65" s="429"/>
      <c r="L65" s="429"/>
      <c r="M65" s="429"/>
    </row>
    <row r="66" spans="1:15">
      <c r="A66" s="444">
        <f t="shared" si="2"/>
        <v>34</v>
      </c>
      <c r="B66" s="429" t="s">
        <v>587</v>
      </c>
      <c r="C66" s="109">
        <v>0</v>
      </c>
      <c r="D66" s="109">
        <v>0</v>
      </c>
      <c r="E66" s="109">
        <v>0</v>
      </c>
      <c r="F66" s="109">
        <v>0</v>
      </c>
      <c r="G66" s="109">
        <v>0</v>
      </c>
      <c r="H66" s="429"/>
      <c r="L66" s="429"/>
      <c r="M66" s="429"/>
    </row>
    <row r="67" spans="1:15">
      <c r="A67" s="444">
        <f t="shared" si="2"/>
        <v>35</v>
      </c>
      <c r="B67" s="429" t="s">
        <v>666</v>
      </c>
      <c r="C67" s="109">
        <v>0</v>
      </c>
      <c r="D67" s="109">
        <v>0</v>
      </c>
      <c r="E67" s="109">
        <v>0</v>
      </c>
      <c r="F67" s="109">
        <v>0</v>
      </c>
      <c r="G67" s="109">
        <v>0</v>
      </c>
      <c r="H67" s="429"/>
      <c r="L67" s="429"/>
      <c r="M67" s="429"/>
      <c r="N67" s="429"/>
      <c r="O67" s="429"/>
    </row>
    <row r="68" spans="1:15">
      <c r="A68" s="444">
        <f t="shared" si="2"/>
        <v>36</v>
      </c>
      <c r="B68" s="433" t="s">
        <v>20</v>
      </c>
      <c r="C68" s="435">
        <f>SUM(C56:C67)</f>
        <v>0</v>
      </c>
      <c r="D68" s="435">
        <f>SUM(D56:D67)</f>
        <v>0</v>
      </c>
      <c r="E68" s="435">
        <f>SUM(E56:E67)</f>
        <v>0</v>
      </c>
      <c r="F68" s="435">
        <f>SUM(F56:F67)</f>
        <v>0</v>
      </c>
      <c r="G68" s="435">
        <f>SUM(G56:G67)</f>
        <v>0</v>
      </c>
      <c r="H68" s="429"/>
      <c r="I68" s="429"/>
      <c r="J68" s="429"/>
      <c r="N68" s="429"/>
      <c r="O68" s="429"/>
    </row>
    <row r="69" spans="1:15">
      <c r="A69" s="444">
        <f t="shared" si="2"/>
        <v>37</v>
      </c>
      <c r="B69" s="429"/>
      <c r="C69" s="429"/>
      <c r="D69" s="429"/>
      <c r="E69" s="429"/>
      <c r="F69" s="429"/>
      <c r="G69" s="429"/>
      <c r="H69" s="429"/>
      <c r="I69" s="429"/>
      <c r="J69" s="429"/>
      <c r="N69" s="429"/>
      <c r="O69" s="429"/>
    </row>
    <row r="70" spans="1:15">
      <c r="A70" s="444">
        <f t="shared" si="2"/>
        <v>38</v>
      </c>
      <c r="B70" s="5" t="s">
        <v>239</v>
      </c>
      <c r="C70" s="11"/>
      <c r="F70" s="11"/>
      <c r="G70" s="11"/>
      <c r="H70" s="11"/>
      <c r="I70" s="11"/>
      <c r="J70" s="11"/>
      <c r="K70" s="12"/>
      <c r="L70" s="11"/>
      <c r="N70" s="429"/>
      <c r="O70" s="429"/>
    </row>
    <row r="71" spans="1:15" ht="24" customHeight="1">
      <c r="A71" s="444"/>
      <c r="B71" s="5" t="s">
        <v>702</v>
      </c>
      <c r="C71" s="11"/>
      <c r="F71" s="11"/>
      <c r="G71" s="11"/>
      <c r="H71" s="11"/>
      <c r="I71" s="11"/>
      <c r="J71" s="11"/>
      <c r="K71" s="12"/>
      <c r="L71" s="11"/>
      <c r="N71" s="429"/>
      <c r="O71" s="429"/>
    </row>
    <row r="72" spans="1:15" ht="16.5" thickBot="1">
      <c r="A72" s="444"/>
      <c r="B72" s="5"/>
      <c r="C72" s="11"/>
      <c r="D72" s="445"/>
      <c r="E72" s="445"/>
      <c r="F72" s="445"/>
      <c r="G72" s="445"/>
      <c r="H72" s="445"/>
      <c r="I72" s="445"/>
      <c r="J72" s="446" t="s">
        <v>214</v>
      </c>
      <c r="K72" s="12"/>
      <c r="L72" s="11"/>
      <c r="N72" s="447"/>
      <c r="O72" s="447"/>
    </row>
    <row r="73" spans="1:15" ht="15.75">
      <c r="A73" s="444">
        <f>+A70+1</f>
        <v>39</v>
      </c>
      <c r="B73" s="5"/>
      <c r="C73" s="11"/>
      <c r="D73" s="445" t="s">
        <v>703</v>
      </c>
      <c r="E73" s="445"/>
      <c r="F73" s="445"/>
      <c r="G73" s="445"/>
      <c r="H73" s="445"/>
      <c r="I73" s="445"/>
      <c r="J73" s="448">
        <v>1590726.262710558</v>
      </c>
      <c r="N73" s="429"/>
      <c r="O73" s="429"/>
    </row>
    <row r="74" spans="1:15" ht="15.75">
      <c r="A74" s="444"/>
      <c r="B74" s="5"/>
      <c r="C74" s="11"/>
      <c r="D74" s="445"/>
      <c r="E74" s="445"/>
      <c r="F74" s="445"/>
      <c r="G74" s="445"/>
      <c r="H74" s="445"/>
      <c r="I74" s="445"/>
      <c r="J74" s="275"/>
      <c r="N74" s="429"/>
      <c r="O74" s="429"/>
    </row>
    <row r="75" spans="1:15" ht="15.75">
      <c r="A75" s="444">
        <f>+A73+1</f>
        <v>40</v>
      </c>
      <c r="B75" s="5"/>
      <c r="C75" s="11"/>
      <c r="D75" s="445" t="s">
        <v>704</v>
      </c>
      <c r="E75" s="445"/>
      <c r="F75" s="445"/>
      <c r="G75" s="445"/>
      <c r="H75" s="445"/>
      <c r="I75" s="445"/>
      <c r="J75" s="449">
        <v>0</v>
      </c>
      <c r="N75" s="429"/>
      <c r="O75" s="429"/>
    </row>
    <row r="76" spans="1:15" ht="15.75">
      <c r="A76" s="444"/>
      <c r="B76" s="5"/>
      <c r="C76" s="11"/>
      <c r="D76" s="445"/>
      <c r="E76" s="445"/>
      <c r="F76" s="445"/>
      <c r="G76" s="445"/>
      <c r="H76" s="445"/>
      <c r="I76" s="445"/>
      <c r="J76" s="275"/>
    </row>
    <row r="77" spans="1:15" ht="15.75">
      <c r="A77" s="444">
        <f>+A75+1</f>
        <v>41</v>
      </c>
      <c r="B77" s="5"/>
      <c r="C77" s="11"/>
      <c r="D77" s="445" t="s">
        <v>705</v>
      </c>
      <c r="E77" s="450"/>
      <c r="F77" s="445"/>
      <c r="G77" s="445"/>
      <c r="H77" s="445"/>
      <c r="I77" s="445"/>
      <c r="J77" s="448">
        <f>+'Attachment H'!D210</f>
        <v>64270717.782705076</v>
      </c>
    </row>
    <row r="78" spans="1:15" ht="15.75">
      <c r="A78" s="444">
        <f t="shared" si="2"/>
        <v>42</v>
      </c>
      <c r="B78" s="5"/>
      <c r="C78" s="11"/>
      <c r="D78" s="445" t="s">
        <v>706</v>
      </c>
      <c r="E78" s="445"/>
      <c r="F78" s="445"/>
      <c r="G78" s="445"/>
      <c r="H78" s="445"/>
      <c r="I78" s="445"/>
      <c r="J78" s="451">
        <v>0</v>
      </c>
    </row>
    <row r="79" spans="1:15" ht="16.5" thickBot="1">
      <c r="A79" s="444">
        <f t="shared" si="2"/>
        <v>43</v>
      </c>
      <c r="B79" s="5"/>
      <c r="C79" s="11"/>
      <c r="D79" s="445" t="s">
        <v>707</v>
      </c>
      <c r="E79" s="445"/>
      <c r="F79" s="445"/>
      <c r="G79" s="445"/>
      <c r="H79" s="445"/>
      <c r="I79" s="445"/>
      <c r="J79" s="452">
        <v>0</v>
      </c>
    </row>
    <row r="80" spans="1:15" ht="15.75">
      <c r="A80" s="444">
        <f t="shared" si="2"/>
        <v>44</v>
      </c>
      <c r="B80" s="5"/>
      <c r="C80" s="11"/>
      <c r="D80" s="445" t="s">
        <v>708</v>
      </c>
      <c r="E80" s="450" t="s">
        <v>709</v>
      </c>
      <c r="F80" s="450"/>
      <c r="G80" s="450"/>
      <c r="H80" s="453"/>
      <c r="I80" s="450"/>
      <c r="J80" s="275">
        <f>+J77-J78-J79</f>
        <v>64270717.782705076</v>
      </c>
    </row>
    <row r="81" spans="1:12" ht="8.25" customHeight="1">
      <c r="A81" s="444"/>
      <c r="B81" s="5"/>
      <c r="C81" s="11"/>
      <c r="J81" s="26"/>
    </row>
    <row r="82" spans="1:12" ht="8.25" customHeight="1">
      <c r="A82" s="444"/>
      <c r="B82" s="5"/>
      <c r="C82" s="11"/>
      <c r="F82" s="11"/>
      <c r="G82" s="11"/>
      <c r="H82" s="11"/>
      <c r="I82" s="11"/>
      <c r="J82" s="11"/>
      <c r="K82" s="12"/>
      <c r="L82" s="11"/>
    </row>
    <row r="83" spans="1:12">
      <c r="A83" s="444"/>
      <c r="B83" s="13"/>
      <c r="C83" s="11"/>
      <c r="F83" s="11"/>
      <c r="G83" s="11"/>
      <c r="H83" s="11"/>
      <c r="I83" s="12" t="s">
        <v>241</v>
      </c>
      <c r="J83" s="11"/>
      <c r="K83" s="11"/>
      <c r="L83" s="11"/>
    </row>
    <row r="84" spans="1:12" ht="13.5" thickBot="1">
      <c r="A84" s="444"/>
      <c r="B84" s="13"/>
      <c r="C84" s="11"/>
      <c r="F84" s="19" t="s">
        <v>214</v>
      </c>
      <c r="G84" s="19" t="s">
        <v>242</v>
      </c>
      <c r="H84" s="11"/>
      <c r="I84" s="44"/>
      <c r="J84" s="11"/>
      <c r="K84" s="19" t="s">
        <v>243</v>
      </c>
      <c r="L84" s="11"/>
    </row>
    <row r="85" spans="1:12">
      <c r="A85" s="444">
        <f>+A80+1</f>
        <v>45</v>
      </c>
      <c r="B85" s="5" t="s">
        <v>244</v>
      </c>
      <c r="C85" s="4" t="s">
        <v>710</v>
      </c>
      <c r="F85" s="113">
        <v>0</v>
      </c>
      <c r="G85" s="454">
        <f>+'Attachment H'!E208</f>
        <v>0.4</v>
      </c>
      <c r="H85" s="23"/>
      <c r="I85" s="349">
        <f>IFERROR(J73/'Attachment H'!D208,0)</f>
        <v>3.7707401883081137E-2</v>
      </c>
      <c r="J85" s="23"/>
      <c r="K85" s="23">
        <f>G85*I85</f>
        <v>1.5082960753232455E-2</v>
      </c>
      <c r="L85" s="107" t="s">
        <v>246</v>
      </c>
    </row>
    <row r="86" spans="1:12">
      <c r="A86" s="444">
        <f t="shared" si="2"/>
        <v>46</v>
      </c>
      <c r="B86" s="5" t="s">
        <v>247</v>
      </c>
      <c r="C86" s="4" t="s">
        <v>544</v>
      </c>
      <c r="F86" s="113">
        <v>0</v>
      </c>
      <c r="G86" s="454">
        <f>+'Attachment H'!E209</f>
        <v>0</v>
      </c>
      <c r="H86" s="23"/>
      <c r="I86" s="23">
        <v>0</v>
      </c>
      <c r="J86" s="23"/>
      <c r="K86" s="23">
        <f>G86*I86</f>
        <v>0</v>
      </c>
      <c r="L86" s="11"/>
    </row>
    <row r="87" spans="1:12" ht="13.5" thickBot="1">
      <c r="A87" s="444">
        <f t="shared" si="2"/>
        <v>47</v>
      </c>
      <c r="B87" s="5" t="s">
        <v>248</v>
      </c>
      <c r="C87" s="4" t="s">
        <v>711</v>
      </c>
      <c r="F87" s="455">
        <v>0</v>
      </c>
      <c r="G87" s="454">
        <f>+'Attachment H'!E210</f>
        <v>0.6</v>
      </c>
      <c r="H87" s="48" t="s">
        <v>102</v>
      </c>
      <c r="I87" s="106">
        <f>+'Attachment H'!G210</f>
        <v>0.10299999999999999</v>
      </c>
      <c r="J87" s="4"/>
      <c r="K87" s="27">
        <f>G87*I87</f>
        <v>6.1799999999999994E-2</v>
      </c>
      <c r="L87" s="11"/>
    </row>
    <row r="88" spans="1:12">
      <c r="A88" s="444">
        <f t="shared" si="2"/>
        <v>48</v>
      </c>
      <c r="B88" s="13" t="s">
        <v>250</v>
      </c>
      <c r="C88" s="4" t="s">
        <v>712</v>
      </c>
      <c r="F88" s="113">
        <f>SUM(F85:F87)</f>
        <v>0</v>
      </c>
      <c r="G88" s="23" t="s">
        <v>9</v>
      </c>
      <c r="H88" s="11"/>
      <c r="I88" s="11"/>
      <c r="J88" s="11"/>
      <c r="K88" s="23">
        <f>SUM(K85:K87)</f>
        <v>7.6882960753232449E-2</v>
      </c>
      <c r="L88" s="107" t="s">
        <v>252</v>
      </c>
    </row>
    <row r="89" spans="1:12">
      <c r="A89" s="444"/>
      <c r="G89" s="23"/>
    </row>
    <row r="90" spans="1:12">
      <c r="A90" s="3" t="s">
        <v>713</v>
      </c>
    </row>
    <row r="91" spans="1:12">
      <c r="A91" s="423" t="s">
        <v>431</v>
      </c>
      <c r="B91" s="3" t="s">
        <v>714</v>
      </c>
    </row>
    <row r="92" spans="1:12">
      <c r="A92" s="423" t="s">
        <v>433</v>
      </c>
      <c r="B92" s="3" t="s">
        <v>715</v>
      </c>
    </row>
    <row r="93" spans="1:12">
      <c r="A93" s="423" t="s">
        <v>278</v>
      </c>
      <c r="B93" s="3" t="s">
        <v>716</v>
      </c>
    </row>
    <row r="94" spans="1:12">
      <c r="A94" s="15" t="s">
        <v>280</v>
      </c>
      <c r="B94" s="3" t="s">
        <v>717</v>
      </c>
    </row>
    <row r="95" spans="1:12">
      <c r="A95" s="423"/>
    </row>
    <row r="96" spans="1:12">
      <c r="A96" s="423"/>
    </row>
  </sheetData>
  <pageMargins left="0.25" right="0.25" top="0.75" bottom="0.75" header="0.3" footer="0.3"/>
  <pageSetup scale="63" fitToHeight="0" orientation="landscape" r:id="rId1"/>
  <rowBreaks count="1" manualBreakCount="1">
    <brk id="45"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2588D-45E7-4A85-B492-E96EE7D2DF6D}">
  <sheetPr>
    <tabColor rgb="FF92D050"/>
  </sheetPr>
  <dimension ref="A2:Q90"/>
  <sheetViews>
    <sheetView topLeftCell="A61" zoomScale="85" zoomScaleNormal="85" workbookViewId="0">
      <selection activeCell="H84" sqref="H84"/>
    </sheetView>
  </sheetViews>
  <sheetFormatPr defaultRowHeight="15"/>
  <cols>
    <col min="2" max="2" width="42" customWidth="1"/>
    <col min="10" max="10" width="9.77734375" customWidth="1"/>
    <col min="13" max="13" width="16.44140625" bestFit="1" customWidth="1"/>
    <col min="14" max="14" width="19.6640625" bestFit="1" customWidth="1"/>
    <col min="15" max="15" width="9.21875" bestFit="1" customWidth="1"/>
    <col min="17" max="17" width="9.21875" bestFit="1" customWidth="1"/>
  </cols>
  <sheetData>
    <row r="2" spans="1:15">
      <c r="K2" s="161" t="s">
        <v>718</v>
      </c>
    </row>
    <row r="4" spans="1:15">
      <c r="G4" s="162" t="s">
        <v>719</v>
      </c>
    </row>
    <row r="5" spans="1:15">
      <c r="G5" s="309" t="s">
        <v>720</v>
      </c>
    </row>
    <row r="6" spans="1:15">
      <c r="G6" s="18" t="s">
        <v>5</v>
      </c>
    </row>
    <row r="7" spans="1:15">
      <c r="G7" s="18"/>
    </row>
    <row r="8" spans="1:15">
      <c r="B8" s="26">
        <v>-1</v>
      </c>
      <c r="C8" s="113">
        <v>-2</v>
      </c>
      <c r="D8" s="113">
        <v>-3</v>
      </c>
      <c r="E8" s="113">
        <v>-4</v>
      </c>
      <c r="F8" s="113">
        <v>-5</v>
      </c>
      <c r="G8" s="113">
        <v>-6</v>
      </c>
      <c r="H8" s="113">
        <v>-7</v>
      </c>
      <c r="I8" s="113">
        <v>-8</v>
      </c>
      <c r="J8" s="113">
        <v>-9</v>
      </c>
      <c r="K8" s="113">
        <v>-10</v>
      </c>
      <c r="L8" s="113">
        <v>-11</v>
      </c>
    </row>
    <row r="9" spans="1:15" ht="63.75">
      <c r="A9" s="456" t="s">
        <v>387</v>
      </c>
      <c r="B9" s="457" t="s">
        <v>721</v>
      </c>
      <c r="C9" s="458"/>
      <c r="D9" s="457" t="s">
        <v>40</v>
      </c>
      <c r="E9" s="458"/>
      <c r="F9" s="459" t="s">
        <v>722</v>
      </c>
      <c r="G9" s="459" t="s">
        <v>723</v>
      </c>
      <c r="H9" s="456" t="s">
        <v>724</v>
      </c>
      <c r="I9" s="456" t="s">
        <v>725</v>
      </c>
      <c r="J9" s="459" t="s">
        <v>726</v>
      </c>
      <c r="K9" s="459" t="s">
        <v>727</v>
      </c>
      <c r="L9" s="459" t="s">
        <v>728</v>
      </c>
    </row>
    <row r="10" spans="1:15">
      <c r="A10" s="460"/>
      <c r="B10" s="461" t="s">
        <v>538</v>
      </c>
      <c r="C10" s="461"/>
      <c r="D10" s="461"/>
      <c r="E10" s="461"/>
      <c r="F10" s="462" t="s">
        <v>539</v>
      </c>
      <c r="G10" s="460" t="s">
        <v>540</v>
      </c>
      <c r="H10" s="462" t="s">
        <v>541</v>
      </c>
      <c r="I10" s="460" t="s">
        <v>563</v>
      </c>
      <c r="J10" s="460" t="s">
        <v>564</v>
      </c>
      <c r="K10" s="460" t="s">
        <v>566</v>
      </c>
      <c r="L10" s="460" t="s">
        <v>567</v>
      </c>
    </row>
    <row r="11" spans="1:15">
      <c r="A11" s="463"/>
      <c r="B11" s="461"/>
      <c r="C11" s="461"/>
      <c r="D11" s="460"/>
      <c r="E11" s="461"/>
      <c r="F11" s="463"/>
      <c r="G11" s="463"/>
      <c r="H11" s="463"/>
      <c r="I11" s="463"/>
      <c r="J11" s="463"/>
      <c r="K11" s="463"/>
      <c r="L11" s="463"/>
    </row>
    <row r="12" spans="1:15">
      <c r="A12" s="460">
        <v>1</v>
      </c>
      <c r="B12" s="461" t="s">
        <v>729</v>
      </c>
      <c r="C12" s="461"/>
      <c r="D12" s="460" t="s">
        <v>710</v>
      </c>
      <c r="E12" s="461"/>
      <c r="F12" s="464">
        <v>0.21</v>
      </c>
      <c r="G12" s="464">
        <v>0.29599999999999999</v>
      </c>
      <c r="H12" s="464">
        <v>0.15</v>
      </c>
      <c r="I12" s="464">
        <v>0.21</v>
      </c>
      <c r="J12" s="464">
        <v>0.21</v>
      </c>
      <c r="K12" s="465">
        <v>0</v>
      </c>
      <c r="L12" s="460"/>
    </row>
    <row r="13" spans="1:15">
      <c r="A13" s="460">
        <f>+A12+1</f>
        <v>2</v>
      </c>
      <c r="B13" s="461" t="s">
        <v>730</v>
      </c>
      <c r="C13" s="461"/>
      <c r="D13" s="462" t="s">
        <v>731</v>
      </c>
      <c r="E13" s="461"/>
      <c r="F13" s="466">
        <f>+K42</f>
        <v>0.61035600000000012</v>
      </c>
      <c r="G13" s="467">
        <f>+K43</f>
        <v>0</v>
      </c>
      <c r="H13" s="467">
        <f>+K44</f>
        <v>0</v>
      </c>
      <c r="I13" s="467">
        <f>+K45</f>
        <v>0</v>
      </c>
      <c r="J13" s="467">
        <f>+K46</f>
        <v>1.6496E-2</v>
      </c>
      <c r="K13" s="467">
        <f>+K47</f>
        <v>0.37314800000000004</v>
      </c>
      <c r="L13" s="460"/>
    </row>
    <row r="14" spans="1:15">
      <c r="A14" s="460">
        <f>+A13+1</f>
        <v>3</v>
      </c>
      <c r="B14" s="461" t="s">
        <v>732</v>
      </c>
      <c r="C14" s="461"/>
      <c r="D14" s="462" t="s">
        <v>733</v>
      </c>
      <c r="E14" s="461"/>
      <c r="F14" s="468">
        <f t="shared" ref="F14:K14" si="0">F12*F13</f>
        <v>0.12817476000000003</v>
      </c>
      <c r="G14" s="468">
        <f t="shared" si="0"/>
        <v>0</v>
      </c>
      <c r="H14" s="468">
        <f t="shared" si="0"/>
        <v>0</v>
      </c>
      <c r="I14" s="468">
        <f t="shared" si="0"/>
        <v>0</v>
      </c>
      <c r="J14" s="468">
        <f t="shared" si="0"/>
        <v>3.46416E-3</v>
      </c>
      <c r="K14" s="468">
        <f t="shared" si="0"/>
        <v>0</v>
      </c>
      <c r="L14" s="469">
        <f>SUM(F14:K14)</f>
        <v>0.13163892000000002</v>
      </c>
      <c r="O14" s="470"/>
    </row>
    <row r="15" spans="1:15">
      <c r="A15" s="460"/>
      <c r="B15" s="461"/>
      <c r="C15" s="461"/>
      <c r="D15" s="460"/>
      <c r="E15" s="461"/>
      <c r="F15" s="468"/>
      <c r="G15" s="468"/>
      <c r="H15" s="468"/>
      <c r="I15" s="468"/>
      <c r="J15" s="468"/>
      <c r="K15" s="468"/>
      <c r="L15" s="460"/>
    </row>
    <row r="16" spans="1:15">
      <c r="A16" s="460">
        <f>+A14+1</f>
        <v>4</v>
      </c>
      <c r="B16" s="461" t="s">
        <v>734</v>
      </c>
      <c r="C16" s="461"/>
      <c r="D16" s="460" t="s">
        <v>710</v>
      </c>
      <c r="E16" s="461"/>
      <c r="F16" s="468">
        <f>J89</f>
        <v>5.777229579027867E-2</v>
      </c>
      <c r="G16" s="464">
        <f>J89</f>
        <v>5.777229579027867E-2</v>
      </c>
      <c r="H16" s="471">
        <f>J89</f>
        <v>5.777229579027867E-2</v>
      </c>
      <c r="I16" s="468">
        <f>J89</f>
        <v>5.777229579027867E-2</v>
      </c>
      <c r="J16" s="468">
        <f>J89</f>
        <v>5.777229579027867E-2</v>
      </c>
      <c r="K16" s="468">
        <v>0</v>
      </c>
      <c r="L16" s="460"/>
    </row>
    <row r="17" spans="1:15">
      <c r="A17" s="460">
        <f>+A16+1</f>
        <v>5</v>
      </c>
      <c r="B17" s="461" t="s">
        <v>730</v>
      </c>
      <c r="C17" s="461"/>
      <c r="D17" s="462" t="s">
        <v>731</v>
      </c>
      <c r="E17" s="461"/>
      <c r="F17" s="467">
        <f>+K42</f>
        <v>0.61035600000000012</v>
      </c>
      <c r="G17" s="467">
        <f>+K43</f>
        <v>0</v>
      </c>
      <c r="H17" s="467">
        <f>+K44</f>
        <v>0</v>
      </c>
      <c r="I17" s="467">
        <f>+K45</f>
        <v>0</v>
      </c>
      <c r="J17" s="467">
        <f>+K46</f>
        <v>1.6496E-2</v>
      </c>
      <c r="K17" s="467">
        <f>+K47</f>
        <v>0.37314800000000004</v>
      </c>
      <c r="L17" s="460"/>
    </row>
    <row r="18" spans="1:15">
      <c r="A18" s="460">
        <f>+A17+1</f>
        <v>6</v>
      </c>
      <c r="B18" s="461" t="s">
        <v>735</v>
      </c>
      <c r="C18" s="461"/>
      <c r="D18" s="460" t="s">
        <v>736</v>
      </c>
      <c r="E18" s="461"/>
      <c r="F18" s="468">
        <f t="shared" ref="F18:K18" si="1">F16*F17</f>
        <v>3.5261667369371336E-2</v>
      </c>
      <c r="G18" s="468">
        <f t="shared" si="1"/>
        <v>0</v>
      </c>
      <c r="H18" s="468">
        <f t="shared" si="1"/>
        <v>0</v>
      </c>
      <c r="I18" s="468">
        <f t="shared" si="1"/>
        <v>0</v>
      </c>
      <c r="J18" s="468">
        <f t="shared" si="1"/>
        <v>9.53011791356437E-4</v>
      </c>
      <c r="K18" s="468">
        <f t="shared" si="1"/>
        <v>0</v>
      </c>
      <c r="L18" s="469">
        <f>SUM(F18:K18)</f>
        <v>3.6214679160727771E-2</v>
      </c>
      <c r="O18" s="470"/>
    </row>
    <row r="19" spans="1:15">
      <c r="A19" s="460"/>
      <c r="B19" s="461"/>
      <c r="C19" s="461"/>
      <c r="D19" s="460"/>
      <c r="E19" s="461"/>
      <c r="F19" s="468"/>
      <c r="G19" s="468"/>
      <c r="H19" s="468"/>
      <c r="I19" s="468"/>
      <c r="J19" s="468"/>
      <c r="K19" s="468"/>
      <c r="L19" s="460"/>
    </row>
    <row r="20" spans="1:15">
      <c r="A20" s="460">
        <f>+A18+1</f>
        <v>7</v>
      </c>
      <c r="B20" s="461" t="s">
        <v>737</v>
      </c>
      <c r="C20" s="461"/>
      <c r="D20" s="460" t="s">
        <v>544</v>
      </c>
      <c r="E20" s="461"/>
      <c r="F20" s="468">
        <f>L89</f>
        <v>6.1848818626681033E-2</v>
      </c>
      <c r="G20" s="472">
        <f>L84</f>
        <v>0</v>
      </c>
      <c r="H20" s="468">
        <f>L89</f>
        <v>6.1848818626681033E-2</v>
      </c>
      <c r="I20" s="468">
        <f>L89</f>
        <v>6.1848818626681033E-2</v>
      </c>
      <c r="J20" s="468">
        <f>L89</f>
        <v>6.1848818626681033E-2</v>
      </c>
      <c r="K20" s="468">
        <v>0</v>
      </c>
      <c r="L20" s="460"/>
    </row>
    <row r="21" spans="1:15">
      <c r="A21" s="460">
        <f>+A20+1</f>
        <v>8</v>
      </c>
      <c r="B21" s="461" t="s">
        <v>730</v>
      </c>
      <c r="C21" s="461"/>
      <c r="D21" s="462" t="s">
        <v>731</v>
      </c>
      <c r="E21" s="461"/>
      <c r="F21" s="467">
        <f>+K42</f>
        <v>0.61035600000000012</v>
      </c>
      <c r="G21" s="467">
        <f>+K43</f>
        <v>0</v>
      </c>
      <c r="H21" s="467">
        <f>+K44</f>
        <v>0</v>
      </c>
      <c r="I21" s="467">
        <f>+K45</f>
        <v>0</v>
      </c>
      <c r="J21" s="467">
        <f>+K46</f>
        <v>1.6496E-2</v>
      </c>
      <c r="K21" s="467">
        <f>+K47</f>
        <v>0.37314800000000004</v>
      </c>
      <c r="L21" s="460"/>
    </row>
    <row r="22" spans="1:15">
      <c r="A22" s="460">
        <f>+A21+1</f>
        <v>9</v>
      </c>
      <c r="B22" s="461" t="s">
        <v>738</v>
      </c>
      <c r="C22" s="461"/>
      <c r="D22" s="460" t="s">
        <v>739</v>
      </c>
      <c r="E22" s="461"/>
      <c r="F22" s="468">
        <f t="shared" ref="F22:K22" si="2">F20*F21</f>
        <v>3.7749797541706535E-2</v>
      </c>
      <c r="G22" s="468">
        <f t="shared" si="2"/>
        <v>0</v>
      </c>
      <c r="H22" s="468">
        <f t="shared" si="2"/>
        <v>0</v>
      </c>
      <c r="I22" s="468">
        <f t="shared" si="2"/>
        <v>0</v>
      </c>
      <c r="J22" s="468">
        <f t="shared" si="2"/>
        <v>1.0202581120657304E-3</v>
      </c>
      <c r="K22" s="468">
        <f t="shared" si="2"/>
        <v>0</v>
      </c>
      <c r="L22" s="469">
        <f>SUM(F22:K22)</f>
        <v>3.8770055653772263E-2</v>
      </c>
    </row>
    <row r="23" spans="1:15">
      <c r="A23" s="460"/>
      <c r="B23" s="461"/>
      <c r="C23" s="461"/>
      <c r="D23" s="460"/>
      <c r="E23" s="461"/>
      <c r="F23" s="463"/>
      <c r="G23" s="463"/>
      <c r="H23" s="463"/>
      <c r="I23" s="463"/>
      <c r="J23" s="463"/>
      <c r="K23" s="463"/>
      <c r="L23" s="463"/>
    </row>
    <row r="24" spans="1:15">
      <c r="A24" s="460">
        <f>+A22+1</f>
        <v>10</v>
      </c>
      <c r="B24" s="461" t="s">
        <v>740</v>
      </c>
      <c r="C24" s="461"/>
      <c r="D24" s="460" t="s">
        <v>731</v>
      </c>
      <c r="E24" s="461"/>
      <c r="F24" s="468">
        <f>J53</f>
        <v>0.60994156039596215</v>
      </c>
      <c r="G24" s="468">
        <f>J54+J60</f>
        <v>6.7901291056027139E-4</v>
      </c>
      <c r="H24" s="468">
        <f>J55</f>
        <v>0</v>
      </c>
      <c r="I24" s="468">
        <f>J56</f>
        <v>0</v>
      </c>
      <c r="J24" s="468">
        <f>J57</f>
        <v>1.6484799003027399E-2</v>
      </c>
      <c r="K24" s="468">
        <f>J58</f>
        <v>0.37289462769045029</v>
      </c>
      <c r="L24" s="469">
        <f>+SUM(F24:K24)</f>
        <v>1</v>
      </c>
    </row>
    <row r="25" spans="1:15">
      <c r="A25" s="460"/>
      <c r="B25" s="461"/>
      <c r="C25" s="461"/>
      <c r="D25" s="460"/>
      <c r="E25" s="461"/>
      <c r="F25" s="468"/>
      <c r="G25" s="468"/>
      <c r="H25" s="468"/>
      <c r="I25" s="468"/>
      <c r="J25" s="468"/>
      <c r="K25" s="468"/>
      <c r="L25" s="463"/>
    </row>
    <row r="26" spans="1:15">
      <c r="A26" s="460">
        <v>11</v>
      </c>
      <c r="B26" s="461" t="s">
        <v>741</v>
      </c>
      <c r="C26" s="461"/>
      <c r="D26" s="460"/>
      <c r="E26" s="461"/>
      <c r="F26" s="468">
        <f t="shared" ref="F26:K26" si="3">+F18*(1-F14)+F14-(F22*F14)</f>
        <v>0.15407820037714554</v>
      </c>
      <c r="G26" s="468">
        <f t="shared" si="3"/>
        <v>0</v>
      </c>
      <c r="H26" s="468">
        <f t="shared" si="3"/>
        <v>0</v>
      </c>
      <c r="I26" s="468">
        <f t="shared" si="3"/>
        <v>0</v>
      </c>
      <c r="J26" s="468">
        <f t="shared" si="3"/>
        <v>4.4103360686877984E-3</v>
      </c>
      <c r="K26" s="468">
        <f t="shared" si="3"/>
        <v>0</v>
      </c>
      <c r="L26" s="473">
        <f>SUM(F26:K26)</f>
        <v>0.15848853644583333</v>
      </c>
      <c r="M26" s="468"/>
      <c r="O26" s="470"/>
    </row>
    <row r="27" spans="1:15">
      <c r="A27" s="460"/>
      <c r="B27" s="461"/>
      <c r="C27" s="461"/>
      <c r="D27" s="461"/>
      <c r="E27" s="461"/>
      <c r="F27" s="463"/>
      <c r="G27" s="463"/>
      <c r="H27" s="463"/>
      <c r="I27" s="463"/>
      <c r="J27" s="463"/>
      <c r="K27" s="463"/>
      <c r="L27" s="463"/>
      <c r="O27" s="470"/>
    </row>
    <row r="28" spans="1:15">
      <c r="A28" s="463"/>
      <c r="B28" s="463"/>
      <c r="C28" s="463"/>
      <c r="D28" s="463"/>
      <c r="E28" s="463"/>
      <c r="F28" s="463"/>
      <c r="G28" s="463"/>
      <c r="H28" s="463"/>
      <c r="I28" s="463"/>
      <c r="J28" s="463"/>
      <c r="K28" s="463"/>
      <c r="L28" s="463"/>
    </row>
    <row r="29" spans="1:15">
      <c r="A29" s="463"/>
      <c r="B29" s="463"/>
      <c r="C29" s="463"/>
      <c r="D29" s="463"/>
      <c r="E29" s="463"/>
      <c r="F29" s="463"/>
      <c r="G29" s="463"/>
      <c r="H29" s="463"/>
      <c r="I29" s="463"/>
      <c r="J29" s="463"/>
      <c r="K29" s="463"/>
      <c r="L29" s="463"/>
    </row>
    <row r="30" spans="1:15">
      <c r="A30" s="460">
        <f>+A26+1</f>
        <v>12</v>
      </c>
      <c r="B30" s="463" t="s">
        <v>742</v>
      </c>
      <c r="C30" s="463"/>
      <c r="D30" s="463"/>
      <c r="E30" s="463"/>
      <c r="F30" s="464">
        <v>0.496</v>
      </c>
      <c r="G30" s="464">
        <v>0.46200000000000002</v>
      </c>
      <c r="H30" s="464">
        <v>4.0000000000000001E-3</v>
      </c>
      <c r="I30" s="464">
        <v>1.9E-2</v>
      </c>
      <c r="J30" s="464">
        <v>1.9E-2</v>
      </c>
      <c r="K30" s="474">
        <f>SUM(F30:J30)</f>
        <v>1</v>
      </c>
      <c r="L30" s="463"/>
    </row>
    <row r="31" spans="1:15">
      <c r="A31" s="463"/>
      <c r="B31" s="463" t="s">
        <v>743</v>
      </c>
      <c r="C31" s="463"/>
      <c r="D31" s="463"/>
      <c r="E31" s="460"/>
      <c r="F31" s="475" t="s">
        <v>744</v>
      </c>
      <c r="G31" s="475" t="s">
        <v>745</v>
      </c>
      <c r="H31" s="475" t="s">
        <v>746</v>
      </c>
      <c r="I31" s="475" t="s">
        <v>747</v>
      </c>
      <c r="J31" s="475" t="s">
        <v>748</v>
      </c>
      <c r="K31" s="463"/>
      <c r="L31" s="463"/>
    </row>
    <row r="32" spans="1:15">
      <c r="A32" s="460">
        <f>+A30+1</f>
        <v>13</v>
      </c>
      <c r="B32" s="476" t="s">
        <v>722</v>
      </c>
      <c r="C32" s="463"/>
      <c r="D32" s="463"/>
      <c r="E32" s="463"/>
      <c r="F32" s="477">
        <v>0.58440000000000003</v>
      </c>
      <c r="G32" s="477">
        <v>0.6028</v>
      </c>
      <c r="H32" s="477">
        <v>1</v>
      </c>
      <c r="I32" s="477">
        <v>1</v>
      </c>
      <c r="J32" s="477">
        <v>1</v>
      </c>
      <c r="K32" s="474">
        <f t="shared" ref="K32:K37" si="4">SUM(F32:J32)/5</f>
        <v>0.83743999999999996</v>
      </c>
      <c r="L32" s="463"/>
    </row>
    <row r="33" spans="1:17">
      <c r="A33" s="460">
        <f t="shared" ref="A33:A64" si="5">+A32+1</f>
        <v>14</v>
      </c>
      <c r="B33" s="476" t="s">
        <v>723</v>
      </c>
      <c r="C33" s="463"/>
      <c r="D33" s="463"/>
      <c r="E33" s="463"/>
      <c r="F33" s="477">
        <v>0</v>
      </c>
      <c r="G33" s="477">
        <v>0</v>
      </c>
      <c r="H33" s="477">
        <v>0</v>
      </c>
      <c r="I33" s="477">
        <v>0</v>
      </c>
      <c r="J33" s="477">
        <v>0</v>
      </c>
      <c r="K33" s="474">
        <f t="shared" si="4"/>
        <v>0</v>
      </c>
      <c r="L33" s="463"/>
    </row>
    <row r="34" spans="1:17">
      <c r="A34" s="460">
        <f t="shared" si="5"/>
        <v>15</v>
      </c>
      <c r="B34" s="476" t="s">
        <v>724</v>
      </c>
      <c r="C34" s="463"/>
      <c r="D34" s="463"/>
      <c r="E34" s="463"/>
      <c r="F34" s="477">
        <v>0</v>
      </c>
      <c r="G34" s="477">
        <v>0</v>
      </c>
      <c r="H34" s="477">
        <v>0</v>
      </c>
      <c r="I34" s="477">
        <v>0</v>
      </c>
      <c r="J34" s="477">
        <v>0</v>
      </c>
      <c r="K34" s="474">
        <f t="shared" si="4"/>
        <v>0</v>
      </c>
      <c r="L34" s="463"/>
    </row>
    <row r="35" spans="1:17">
      <c r="A35" s="460">
        <f t="shared" si="5"/>
        <v>16</v>
      </c>
      <c r="B35" s="476" t="s">
        <v>725</v>
      </c>
      <c r="C35" s="463"/>
      <c r="D35" s="463"/>
      <c r="E35" s="463"/>
      <c r="F35" s="477">
        <v>0</v>
      </c>
      <c r="G35" s="477">
        <v>0</v>
      </c>
      <c r="H35" s="477">
        <v>0</v>
      </c>
      <c r="I35" s="477">
        <v>0</v>
      </c>
      <c r="J35" s="477">
        <v>0</v>
      </c>
      <c r="K35" s="474">
        <f t="shared" si="4"/>
        <v>0</v>
      </c>
      <c r="L35" s="463"/>
    </row>
    <row r="36" spans="1:17">
      <c r="A36" s="460">
        <f t="shared" si="5"/>
        <v>17</v>
      </c>
      <c r="B36" s="476" t="s">
        <v>726</v>
      </c>
      <c r="C36" s="463"/>
      <c r="D36" s="463"/>
      <c r="E36" s="463"/>
      <c r="F36" s="477">
        <v>1.9099999999999999E-2</v>
      </c>
      <c r="G36" s="477">
        <v>1.52E-2</v>
      </c>
      <c r="H36" s="477">
        <v>0</v>
      </c>
      <c r="I36" s="477">
        <v>0</v>
      </c>
      <c r="J36" s="477">
        <v>0</v>
      </c>
      <c r="K36" s="474">
        <f t="shared" si="4"/>
        <v>6.8599999999999998E-3</v>
      </c>
      <c r="L36" s="463"/>
      <c r="N36" s="478"/>
      <c r="P36" s="470"/>
      <c r="Q36" s="470"/>
    </row>
    <row r="37" spans="1:17">
      <c r="A37" s="460">
        <f t="shared" si="5"/>
        <v>18</v>
      </c>
      <c r="B37" s="476" t="s">
        <v>727</v>
      </c>
      <c r="C37" s="463"/>
      <c r="D37" s="463"/>
      <c r="E37" s="463"/>
      <c r="F37" s="479">
        <v>0.39650000000000002</v>
      </c>
      <c r="G37" s="479">
        <v>0.38200000000000001</v>
      </c>
      <c r="H37" s="479">
        <v>0</v>
      </c>
      <c r="I37" s="479">
        <v>0</v>
      </c>
      <c r="J37" s="479">
        <v>0</v>
      </c>
      <c r="K37" s="480">
        <f t="shared" si="4"/>
        <v>0.15570000000000001</v>
      </c>
      <c r="L37" s="463"/>
      <c r="N37" s="478"/>
    </row>
    <row r="38" spans="1:17">
      <c r="A38" s="460">
        <f t="shared" si="5"/>
        <v>19</v>
      </c>
      <c r="B38" s="463"/>
      <c r="C38" s="463"/>
      <c r="D38" s="463"/>
      <c r="E38" s="463"/>
      <c r="F38" s="481">
        <f t="shared" ref="F38:K38" si="6">SUM(F32:F37)</f>
        <v>1</v>
      </c>
      <c r="G38" s="481">
        <f t="shared" si="6"/>
        <v>1</v>
      </c>
      <c r="H38" s="481">
        <f t="shared" si="6"/>
        <v>1</v>
      </c>
      <c r="I38" s="481">
        <f t="shared" si="6"/>
        <v>1</v>
      </c>
      <c r="J38" s="481">
        <f t="shared" si="6"/>
        <v>1</v>
      </c>
      <c r="K38" s="481">
        <f t="shared" si="6"/>
        <v>1</v>
      </c>
      <c r="L38" s="463"/>
    </row>
    <row r="39" spans="1:17">
      <c r="A39" s="460">
        <f t="shared" si="5"/>
        <v>20</v>
      </c>
      <c r="B39" s="463"/>
      <c r="C39" s="463"/>
      <c r="D39" s="463"/>
      <c r="E39" s="463"/>
      <c r="F39" s="474"/>
      <c r="G39" s="474"/>
      <c r="H39" s="474"/>
      <c r="I39" s="474"/>
      <c r="J39" s="474"/>
      <c r="K39" s="474"/>
      <c r="L39" s="474"/>
    </row>
    <row r="40" spans="1:17">
      <c r="A40" s="460">
        <f t="shared" si="5"/>
        <v>21</v>
      </c>
      <c r="B40" s="463"/>
      <c r="C40" s="463"/>
      <c r="D40" s="463"/>
      <c r="E40" s="463"/>
      <c r="F40" s="482" t="s">
        <v>243</v>
      </c>
      <c r="G40" s="482"/>
      <c r="H40" s="482"/>
      <c r="I40" s="482"/>
      <c r="J40" s="482"/>
      <c r="K40" s="483"/>
      <c r="L40" s="483"/>
    </row>
    <row r="41" spans="1:17">
      <c r="A41" s="460">
        <f t="shared" si="5"/>
        <v>22</v>
      </c>
      <c r="B41" s="463" t="s">
        <v>749</v>
      </c>
      <c r="C41" s="463"/>
      <c r="D41" s="463"/>
      <c r="E41" s="460"/>
      <c r="F41" s="484" t="s">
        <v>744</v>
      </c>
      <c r="G41" s="475" t="s">
        <v>745</v>
      </c>
      <c r="H41" s="484" t="s">
        <v>746</v>
      </c>
      <c r="I41" s="484" t="s">
        <v>747</v>
      </c>
      <c r="J41" s="484" t="s">
        <v>748</v>
      </c>
      <c r="K41" s="474"/>
      <c r="L41" s="463"/>
      <c r="P41" s="470"/>
      <c r="Q41" s="485"/>
    </row>
    <row r="42" spans="1:17">
      <c r="A42" s="460">
        <f t="shared" si="5"/>
        <v>23</v>
      </c>
      <c r="B42" s="476" t="s">
        <v>722</v>
      </c>
      <c r="C42" s="463"/>
      <c r="D42" s="463"/>
      <c r="E42" s="463"/>
      <c r="F42" s="481">
        <f t="shared" ref="F42:J47" si="7">+F$30*F32</f>
        <v>0.28986240000000002</v>
      </c>
      <c r="G42" s="481">
        <f t="shared" si="7"/>
        <v>0.27849360000000001</v>
      </c>
      <c r="H42" s="481">
        <f t="shared" si="7"/>
        <v>4.0000000000000001E-3</v>
      </c>
      <c r="I42" s="481">
        <f t="shared" si="7"/>
        <v>1.9E-2</v>
      </c>
      <c r="J42" s="481">
        <f t="shared" si="7"/>
        <v>1.9E-2</v>
      </c>
      <c r="K42" s="486">
        <f t="shared" ref="K42:K47" si="8">SUM(F42:J42)</f>
        <v>0.61035600000000012</v>
      </c>
      <c r="L42" s="463"/>
      <c r="N42" s="487"/>
    </row>
    <row r="43" spans="1:17">
      <c r="A43" s="460">
        <f t="shared" si="5"/>
        <v>24</v>
      </c>
      <c r="B43" s="476" t="s">
        <v>723</v>
      </c>
      <c r="C43" s="463"/>
      <c r="D43" s="463"/>
      <c r="E43" s="463"/>
      <c r="F43" s="481">
        <f t="shared" si="7"/>
        <v>0</v>
      </c>
      <c r="G43" s="481">
        <f t="shared" si="7"/>
        <v>0</v>
      </c>
      <c r="H43" s="481">
        <f t="shared" si="7"/>
        <v>0</v>
      </c>
      <c r="I43" s="481">
        <f t="shared" si="7"/>
        <v>0</v>
      </c>
      <c r="J43" s="481">
        <f t="shared" si="7"/>
        <v>0</v>
      </c>
      <c r="K43" s="474">
        <f t="shared" si="8"/>
        <v>0</v>
      </c>
      <c r="L43" s="463"/>
    </row>
    <row r="44" spans="1:17">
      <c r="A44" s="460">
        <f t="shared" si="5"/>
        <v>25</v>
      </c>
      <c r="B44" s="476" t="s">
        <v>724</v>
      </c>
      <c r="C44" s="463"/>
      <c r="D44" s="463"/>
      <c r="E44" s="463"/>
      <c r="F44" s="481">
        <f t="shared" si="7"/>
        <v>0</v>
      </c>
      <c r="G44" s="481">
        <f t="shared" si="7"/>
        <v>0</v>
      </c>
      <c r="H44" s="481">
        <f t="shared" si="7"/>
        <v>0</v>
      </c>
      <c r="I44" s="481">
        <f t="shared" si="7"/>
        <v>0</v>
      </c>
      <c r="J44" s="481">
        <f t="shared" si="7"/>
        <v>0</v>
      </c>
      <c r="K44" s="474">
        <f t="shared" si="8"/>
        <v>0</v>
      </c>
      <c r="L44" s="463"/>
    </row>
    <row r="45" spans="1:17">
      <c r="A45" s="460">
        <f t="shared" si="5"/>
        <v>26</v>
      </c>
      <c r="B45" s="476" t="s">
        <v>725</v>
      </c>
      <c r="C45" s="463"/>
      <c r="D45" s="463"/>
      <c r="E45" s="463"/>
      <c r="F45" s="481">
        <f t="shared" si="7"/>
        <v>0</v>
      </c>
      <c r="G45" s="481">
        <f t="shared" si="7"/>
        <v>0</v>
      </c>
      <c r="H45" s="481">
        <f t="shared" si="7"/>
        <v>0</v>
      </c>
      <c r="I45" s="481">
        <f t="shared" si="7"/>
        <v>0</v>
      </c>
      <c r="J45" s="481">
        <f t="shared" si="7"/>
        <v>0</v>
      </c>
      <c r="K45" s="474">
        <f t="shared" si="8"/>
        <v>0</v>
      </c>
      <c r="L45" s="463"/>
    </row>
    <row r="46" spans="1:17">
      <c r="A46" s="460">
        <f t="shared" si="5"/>
        <v>27</v>
      </c>
      <c r="B46" s="476" t="s">
        <v>726</v>
      </c>
      <c r="C46" s="463"/>
      <c r="D46" s="463"/>
      <c r="E46" s="463"/>
      <c r="F46" s="481">
        <f t="shared" si="7"/>
        <v>9.4735999999999987E-3</v>
      </c>
      <c r="G46" s="481">
        <f t="shared" si="7"/>
        <v>7.0224000000000007E-3</v>
      </c>
      <c r="H46" s="481">
        <f t="shared" si="7"/>
        <v>0</v>
      </c>
      <c r="I46" s="481">
        <f t="shared" si="7"/>
        <v>0</v>
      </c>
      <c r="J46" s="481">
        <f t="shared" si="7"/>
        <v>0</v>
      </c>
      <c r="K46" s="474">
        <f t="shared" si="8"/>
        <v>1.6496E-2</v>
      </c>
      <c r="L46" s="474"/>
      <c r="N46" s="478"/>
      <c r="P46" s="470"/>
      <c r="Q46" s="488"/>
    </row>
    <row r="47" spans="1:17">
      <c r="A47" s="460">
        <f t="shared" si="5"/>
        <v>28</v>
      </c>
      <c r="B47" s="476" t="s">
        <v>727</v>
      </c>
      <c r="C47" s="463"/>
      <c r="D47" s="463"/>
      <c r="E47" s="463"/>
      <c r="F47" s="489">
        <f t="shared" si="7"/>
        <v>0.19666400000000001</v>
      </c>
      <c r="G47" s="489">
        <f t="shared" si="7"/>
        <v>0.176484</v>
      </c>
      <c r="H47" s="489">
        <f t="shared" si="7"/>
        <v>0</v>
      </c>
      <c r="I47" s="489">
        <f t="shared" si="7"/>
        <v>0</v>
      </c>
      <c r="J47" s="489">
        <f t="shared" si="7"/>
        <v>0</v>
      </c>
      <c r="K47" s="480">
        <f t="shared" si="8"/>
        <v>0.37314800000000004</v>
      </c>
      <c r="L47" s="463"/>
      <c r="N47" s="490"/>
    </row>
    <row r="48" spans="1:17">
      <c r="A48" s="460">
        <f t="shared" si="5"/>
        <v>29</v>
      </c>
      <c r="B48" s="463"/>
      <c r="C48" s="463"/>
      <c r="D48" s="463"/>
      <c r="E48" s="463"/>
      <c r="F48" s="474">
        <f t="shared" ref="F48:K48" si="9">SUM(F42:F47)</f>
        <v>0.49600000000000005</v>
      </c>
      <c r="G48" s="474">
        <f t="shared" si="9"/>
        <v>0.46199999999999997</v>
      </c>
      <c r="H48" s="474">
        <f t="shared" si="9"/>
        <v>4.0000000000000001E-3</v>
      </c>
      <c r="I48" s="474">
        <f t="shared" si="9"/>
        <v>1.9E-2</v>
      </c>
      <c r="J48" s="474">
        <f t="shared" si="9"/>
        <v>1.9E-2</v>
      </c>
      <c r="K48" s="474">
        <f t="shared" si="9"/>
        <v>1</v>
      </c>
      <c r="L48" s="463"/>
      <c r="N48" s="487"/>
    </row>
    <row r="49" spans="1:14">
      <c r="A49" s="460">
        <f t="shared" si="5"/>
        <v>30</v>
      </c>
      <c r="B49" s="463"/>
      <c r="C49" s="463"/>
      <c r="D49" s="463"/>
      <c r="E49" s="463"/>
      <c r="F49" s="463"/>
      <c r="G49" s="463"/>
      <c r="H49" s="463"/>
      <c r="I49" s="463"/>
      <c r="J49" s="463"/>
      <c r="K49" s="463"/>
      <c r="L49" s="463"/>
    </row>
    <row r="50" spans="1:14">
      <c r="A50" s="460">
        <f t="shared" si="5"/>
        <v>31</v>
      </c>
      <c r="B50" s="463"/>
      <c r="C50" s="463"/>
      <c r="D50" s="463"/>
      <c r="E50" s="463"/>
      <c r="F50" s="463"/>
      <c r="G50" s="463"/>
      <c r="H50" s="463"/>
      <c r="I50" s="463"/>
      <c r="J50" s="463"/>
      <c r="K50" s="463"/>
      <c r="L50" s="463"/>
    </row>
    <row r="51" spans="1:14" ht="38.25">
      <c r="A51" s="460">
        <f t="shared" si="5"/>
        <v>32</v>
      </c>
      <c r="B51" s="491"/>
      <c r="C51" s="491"/>
      <c r="D51" s="491"/>
      <c r="E51" s="492"/>
      <c r="F51" s="492"/>
      <c r="G51" s="493" t="s">
        <v>750</v>
      </c>
      <c r="H51" s="491"/>
      <c r="I51" s="494"/>
      <c r="J51" s="493" t="s">
        <v>751</v>
      </c>
      <c r="K51" s="493" t="s">
        <v>752</v>
      </c>
      <c r="L51" s="491"/>
    </row>
    <row r="52" spans="1:14">
      <c r="A52" s="460">
        <f t="shared" si="5"/>
        <v>33</v>
      </c>
      <c r="B52" s="491"/>
      <c r="C52" s="491"/>
      <c r="D52" s="491"/>
      <c r="E52" s="491"/>
      <c r="F52" s="491"/>
      <c r="G52" s="491"/>
      <c r="H52" s="491"/>
      <c r="I52" s="491"/>
      <c r="J52" s="491"/>
      <c r="K52" s="491"/>
      <c r="L52" s="491"/>
    </row>
    <row r="53" spans="1:14">
      <c r="A53" s="460">
        <f t="shared" si="5"/>
        <v>34</v>
      </c>
      <c r="B53" s="491"/>
      <c r="C53" s="491"/>
      <c r="D53" s="491"/>
      <c r="E53" s="491"/>
      <c r="F53" s="495" t="s">
        <v>722</v>
      </c>
      <c r="G53" s="496">
        <f t="shared" ref="G53:G58" si="10">K42</f>
        <v>0.61035600000000012</v>
      </c>
      <c r="H53" s="491"/>
      <c r="I53" s="495" t="s">
        <v>753</v>
      </c>
      <c r="J53" s="497">
        <f t="shared" ref="J53:J58" si="11">G53*$L$59</f>
        <v>0.60994156039596215</v>
      </c>
      <c r="K53" s="497">
        <f>+J53</f>
        <v>0.60994156039596215</v>
      </c>
      <c r="L53" s="491"/>
      <c r="M53" s="488"/>
      <c r="N53" s="478"/>
    </row>
    <row r="54" spans="1:14">
      <c r="A54" s="460">
        <f t="shared" si="5"/>
        <v>35</v>
      </c>
      <c r="B54" s="491"/>
      <c r="C54" s="491"/>
      <c r="D54" s="491"/>
      <c r="E54" s="491"/>
      <c r="F54" s="495" t="s">
        <v>723</v>
      </c>
      <c r="G54" s="496">
        <f t="shared" si="10"/>
        <v>0</v>
      </c>
      <c r="H54" s="491"/>
      <c r="I54" s="495" t="s">
        <v>754</v>
      </c>
      <c r="J54" s="497">
        <f t="shared" si="11"/>
        <v>0</v>
      </c>
      <c r="K54" s="497">
        <f>+J54+J60</f>
        <v>6.7901291056027139E-4</v>
      </c>
      <c r="L54" s="491"/>
    </row>
    <row r="55" spans="1:14">
      <c r="A55" s="460">
        <f t="shared" si="5"/>
        <v>36</v>
      </c>
      <c r="B55" s="491"/>
      <c r="C55" s="491"/>
      <c r="D55" s="491"/>
      <c r="E55" s="491"/>
      <c r="F55" s="495" t="s">
        <v>724</v>
      </c>
      <c r="G55" s="496">
        <f t="shared" si="10"/>
        <v>0</v>
      </c>
      <c r="H55" s="491"/>
      <c r="I55" s="495" t="s">
        <v>755</v>
      </c>
      <c r="J55" s="497">
        <f t="shared" si="11"/>
        <v>0</v>
      </c>
      <c r="K55" s="497">
        <f>+J55</f>
        <v>0</v>
      </c>
      <c r="L55" s="491"/>
    </row>
    <row r="56" spans="1:14">
      <c r="A56" s="460">
        <f t="shared" si="5"/>
        <v>37</v>
      </c>
      <c r="B56" s="491"/>
      <c r="C56" s="491"/>
      <c r="D56" s="491"/>
      <c r="E56" s="491"/>
      <c r="F56" s="495" t="s">
        <v>725</v>
      </c>
      <c r="G56" s="496">
        <f t="shared" si="10"/>
        <v>0</v>
      </c>
      <c r="H56" s="491"/>
      <c r="I56" s="495" t="s">
        <v>725</v>
      </c>
      <c r="J56" s="497">
        <f t="shared" si="11"/>
        <v>0</v>
      </c>
      <c r="K56" s="497">
        <f>+J56</f>
        <v>0</v>
      </c>
      <c r="L56" s="491"/>
    </row>
    <row r="57" spans="1:14">
      <c r="A57" s="460">
        <f t="shared" si="5"/>
        <v>38</v>
      </c>
      <c r="B57" s="491"/>
      <c r="C57" s="491"/>
      <c r="D57" s="491"/>
      <c r="E57" s="491"/>
      <c r="F57" s="495" t="s">
        <v>726</v>
      </c>
      <c r="G57" s="496">
        <f t="shared" si="10"/>
        <v>1.6496E-2</v>
      </c>
      <c r="H57" s="491"/>
      <c r="I57" s="495" t="s">
        <v>756</v>
      </c>
      <c r="J57" s="497">
        <f t="shared" si="11"/>
        <v>1.6484799003027399E-2</v>
      </c>
      <c r="K57" s="497">
        <f>+J57</f>
        <v>1.6484799003027399E-2</v>
      </c>
      <c r="L57" s="491"/>
    </row>
    <row r="58" spans="1:14">
      <c r="A58" s="460">
        <f t="shared" si="5"/>
        <v>39</v>
      </c>
      <c r="B58" s="491"/>
      <c r="C58" s="491"/>
      <c r="D58" s="491"/>
      <c r="E58" s="491"/>
      <c r="F58" s="495" t="s">
        <v>727</v>
      </c>
      <c r="G58" s="498">
        <f t="shared" si="10"/>
        <v>0.37314800000000004</v>
      </c>
      <c r="H58" s="491"/>
      <c r="I58" s="495" t="s">
        <v>757</v>
      </c>
      <c r="J58" s="497">
        <f t="shared" si="11"/>
        <v>0.37289462769045029</v>
      </c>
      <c r="K58" s="499">
        <f>+J58</f>
        <v>0.37289462769045029</v>
      </c>
      <c r="L58" s="491"/>
    </row>
    <row r="59" spans="1:14">
      <c r="A59" s="460">
        <f t="shared" si="5"/>
        <v>40</v>
      </c>
      <c r="B59" s="491"/>
      <c r="C59" s="491"/>
      <c r="D59" s="491"/>
      <c r="E59" s="491"/>
      <c r="F59" s="491"/>
      <c r="G59" s="496">
        <f>SUM(G53:G58)</f>
        <v>1</v>
      </c>
      <c r="H59" s="491"/>
      <c r="I59" s="495" t="s">
        <v>750</v>
      </c>
      <c r="J59" s="496">
        <f>SUM(J53:J58)</f>
        <v>0.99932098708943973</v>
      </c>
      <c r="K59" s="496">
        <f>SUM(K53:K58)</f>
        <v>1</v>
      </c>
      <c r="L59" s="500">
        <v>0.99932098708943973</v>
      </c>
    </row>
    <row r="60" spans="1:14">
      <c r="A60" s="460">
        <f t="shared" si="5"/>
        <v>41</v>
      </c>
      <c r="B60" s="491"/>
      <c r="C60" s="491"/>
      <c r="D60" s="491"/>
      <c r="E60" s="491"/>
      <c r="F60" s="491"/>
      <c r="G60" s="501"/>
      <c r="H60" s="491"/>
      <c r="I60" s="495" t="s">
        <v>758</v>
      </c>
      <c r="J60" s="498">
        <v>6.7901291056027139E-4</v>
      </c>
    </row>
    <row r="61" spans="1:14">
      <c r="A61" s="460">
        <f t="shared" si="5"/>
        <v>42</v>
      </c>
      <c r="B61" s="491"/>
      <c r="C61" s="491"/>
      <c r="D61" s="491"/>
      <c r="E61" s="491"/>
      <c r="F61" s="491"/>
      <c r="G61" s="501"/>
      <c r="H61" s="491"/>
      <c r="I61" s="495"/>
      <c r="J61" s="496">
        <f>SUM(J59:J60)</f>
        <v>1</v>
      </c>
    </row>
    <row r="62" spans="1:14">
      <c r="A62" s="460">
        <f t="shared" si="5"/>
        <v>43</v>
      </c>
      <c r="K62" s="502"/>
    </row>
    <row r="63" spans="1:14">
      <c r="A63" s="460">
        <f t="shared" si="5"/>
        <v>44</v>
      </c>
    </row>
    <row r="64" spans="1:14">
      <c r="A64" s="460">
        <f t="shared" si="5"/>
        <v>45</v>
      </c>
    </row>
    <row r="65" spans="1:12">
      <c r="A65" s="460" t="s">
        <v>530</v>
      </c>
      <c r="B65" s="461"/>
      <c r="C65" s="461"/>
      <c r="D65" s="461"/>
      <c r="E65" s="461"/>
      <c r="F65" s="463"/>
      <c r="G65" s="463"/>
      <c r="H65" s="463"/>
      <c r="I65" s="463"/>
      <c r="J65" s="463"/>
      <c r="K65" s="491"/>
      <c r="L65" s="497"/>
    </row>
    <row r="66" spans="1:12">
      <c r="A66" s="460" t="s">
        <v>431</v>
      </c>
      <c r="B66" s="463" t="s">
        <v>759</v>
      </c>
      <c r="C66" s="463"/>
      <c r="D66" s="469"/>
      <c r="E66" s="463"/>
      <c r="F66" s="463"/>
      <c r="G66" s="463"/>
      <c r="H66" s="463"/>
      <c r="I66" s="463"/>
      <c r="J66" s="463"/>
      <c r="K66" s="491"/>
      <c r="L66" s="497"/>
    </row>
    <row r="67" spans="1:12">
      <c r="A67" s="460"/>
      <c r="B67" s="463" t="s">
        <v>760</v>
      </c>
      <c r="C67" s="463"/>
      <c r="D67" s="469"/>
      <c r="E67" s="463"/>
      <c r="F67" s="463"/>
      <c r="G67" s="463"/>
      <c r="H67" s="463"/>
      <c r="I67" s="463"/>
      <c r="J67" s="463"/>
    </row>
    <row r="68" spans="1:12">
      <c r="A68" s="460" t="s">
        <v>433</v>
      </c>
      <c r="B68" s="461" t="s">
        <v>761</v>
      </c>
      <c r="C68" s="463"/>
      <c r="D68" s="463"/>
      <c r="E68" s="463"/>
      <c r="F68" s="463"/>
      <c r="G68" s="463"/>
      <c r="H68" s="463"/>
      <c r="I68" s="463"/>
      <c r="J68" s="463"/>
    </row>
    <row r="69" spans="1:12">
      <c r="A69" s="460" t="s">
        <v>278</v>
      </c>
      <c r="B69" s="463" t="s">
        <v>762</v>
      </c>
      <c r="C69" s="461"/>
      <c r="D69" s="461"/>
      <c r="E69" s="461"/>
      <c r="F69" s="463"/>
      <c r="G69" s="463"/>
      <c r="H69" s="463"/>
      <c r="I69" s="463"/>
      <c r="J69" s="463"/>
    </row>
    <row r="70" spans="1:12">
      <c r="A70" s="460" t="s">
        <v>280</v>
      </c>
      <c r="B70" s="3" t="s">
        <v>763</v>
      </c>
    </row>
    <row r="71" spans="1:12">
      <c r="A71" s="460" t="s">
        <v>282</v>
      </c>
      <c r="B71" s="3" t="s">
        <v>764</v>
      </c>
    </row>
    <row r="72" spans="1:12">
      <c r="A72" s="460"/>
      <c r="B72" s="3" t="s">
        <v>765</v>
      </c>
    </row>
    <row r="73" spans="1:12" ht="15.75">
      <c r="A73" s="460"/>
      <c r="B73" s="158"/>
    </row>
    <row r="74" spans="1:12">
      <c r="L74" s="161" t="s">
        <v>382</v>
      </c>
    </row>
    <row r="76" spans="1:12">
      <c r="G76" s="162" t="s">
        <v>719</v>
      </c>
    </row>
    <row r="77" spans="1:12">
      <c r="G77" s="309" t="s">
        <v>720</v>
      </c>
    </row>
    <row r="78" spans="1:12">
      <c r="G78" s="18" t="s">
        <v>766</v>
      </c>
    </row>
    <row r="81" spans="1:12">
      <c r="A81" s="3"/>
      <c r="B81" s="503"/>
      <c r="C81" s="503"/>
      <c r="D81" s="503"/>
      <c r="E81" s="503"/>
      <c r="F81" s="503"/>
      <c r="G81" s="503"/>
      <c r="H81" s="503"/>
      <c r="I81" s="503"/>
      <c r="J81" s="503"/>
      <c r="K81" s="503"/>
      <c r="L81" s="504"/>
    </row>
    <row r="82" spans="1:12">
      <c r="A82" s="3"/>
      <c r="B82" s="505">
        <v>-1</v>
      </c>
      <c r="C82" s="505"/>
      <c r="D82" s="505">
        <v>-2</v>
      </c>
      <c r="E82" s="505"/>
      <c r="F82" s="505">
        <v>-3</v>
      </c>
      <c r="G82" s="505"/>
      <c r="H82" s="505">
        <v>-4</v>
      </c>
      <c r="I82" s="505"/>
      <c r="J82" s="505">
        <v>-5</v>
      </c>
      <c r="K82" s="505"/>
      <c r="L82" s="506">
        <v>-6</v>
      </c>
    </row>
    <row r="83" spans="1:12" ht="63.75">
      <c r="A83" s="507" t="s">
        <v>387</v>
      </c>
      <c r="B83" s="508" t="s">
        <v>767</v>
      </c>
      <c r="C83" s="508"/>
      <c r="D83" s="509" t="s">
        <v>768</v>
      </c>
      <c r="E83" s="508"/>
      <c r="F83" s="508" t="s">
        <v>769</v>
      </c>
      <c r="G83" s="508"/>
      <c r="H83" s="509" t="s">
        <v>770</v>
      </c>
      <c r="I83" s="508"/>
      <c r="J83" s="509" t="s">
        <v>771</v>
      </c>
      <c r="K83" s="508"/>
      <c r="L83" s="509" t="s">
        <v>772</v>
      </c>
    </row>
    <row r="84" spans="1:12">
      <c r="A84" s="510">
        <v>1</v>
      </c>
      <c r="B84" s="511" t="s">
        <v>773</v>
      </c>
      <c r="C84" s="512"/>
      <c r="D84" s="513">
        <v>0.85167750921204621</v>
      </c>
      <c r="E84" s="512"/>
      <c r="F84" s="513">
        <v>0.06</v>
      </c>
      <c r="G84" s="512"/>
      <c r="H84" s="513">
        <v>0</v>
      </c>
      <c r="I84" s="512"/>
      <c r="J84" s="481">
        <f>D84*F84</f>
        <v>5.1100650552722768E-2</v>
      </c>
      <c r="K84" s="481"/>
      <c r="L84" s="481">
        <f>D84*H84</f>
        <v>0</v>
      </c>
    </row>
    <row r="85" spans="1:12">
      <c r="A85" s="510">
        <f>+A84+1</f>
        <v>2</v>
      </c>
      <c r="B85" s="511" t="s">
        <v>774</v>
      </c>
      <c r="C85" s="512"/>
      <c r="D85" s="513">
        <v>0.12369763725336207</v>
      </c>
      <c r="E85" s="512"/>
      <c r="F85" s="513">
        <v>0.04</v>
      </c>
      <c r="G85" s="512"/>
      <c r="H85" s="513">
        <v>0.5</v>
      </c>
      <c r="I85" s="512"/>
      <c r="J85" s="481">
        <f>D85*F85</f>
        <v>4.9479054901344832E-3</v>
      </c>
      <c r="K85" s="481"/>
      <c r="L85" s="481">
        <f>D85*H85</f>
        <v>6.1848818626681033E-2</v>
      </c>
    </row>
    <row r="86" spans="1:12">
      <c r="A86" s="510">
        <f>+A85+1</f>
        <v>3</v>
      </c>
      <c r="B86" s="511" t="s">
        <v>775</v>
      </c>
      <c r="C86" s="512"/>
      <c r="D86" s="513">
        <v>2.4624853534591734E-2</v>
      </c>
      <c r="E86" s="512"/>
      <c r="F86" s="513">
        <v>7.0000000000000007E-2</v>
      </c>
      <c r="G86" s="512"/>
      <c r="H86" s="513">
        <v>0</v>
      </c>
      <c r="I86" s="512"/>
      <c r="J86" s="481">
        <f>D86*F86</f>
        <v>1.7237397474214216E-3</v>
      </c>
      <c r="K86" s="481"/>
      <c r="L86" s="481">
        <f>D86*H86</f>
        <v>0</v>
      </c>
    </row>
    <row r="87" spans="1:12">
      <c r="A87" s="510">
        <f>+A86+1</f>
        <v>4</v>
      </c>
      <c r="B87" s="511" t="s">
        <v>776</v>
      </c>
      <c r="C87" s="512"/>
      <c r="D87" s="513">
        <v>0</v>
      </c>
      <c r="E87" s="512"/>
      <c r="F87" s="513">
        <v>0</v>
      </c>
      <c r="G87" s="512"/>
      <c r="H87" s="513">
        <v>0</v>
      </c>
      <c r="I87" s="512"/>
      <c r="J87" s="481">
        <f>D87*F87</f>
        <v>0</v>
      </c>
      <c r="K87" s="481"/>
      <c r="L87" s="481">
        <f>D87*H87</f>
        <v>0</v>
      </c>
    </row>
    <row r="88" spans="1:12">
      <c r="A88" s="510">
        <f>+A87+1</f>
        <v>5</v>
      </c>
      <c r="B88" s="514" t="s">
        <v>777</v>
      </c>
      <c r="C88" s="515"/>
      <c r="D88" s="516">
        <v>0</v>
      </c>
      <c r="E88" s="515"/>
      <c r="F88" s="516">
        <v>0</v>
      </c>
      <c r="G88" s="515"/>
      <c r="H88" s="516">
        <v>0</v>
      </c>
      <c r="I88" s="515"/>
      <c r="J88" s="481">
        <f>D88*F88</f>
        <v>0</v>
      </c>
      <c r="K88" s="481"/>
      <c r="L88" s="481">
        <f>D88*H88</f>
        <v>0</v>
      </c>
    </row>
    <row r="89" spans="1:12">
      <c r="A89" s="510">
        <f>+A88+1</f>
        <v>6</v>
      </c>
      <c r="B89" s="512" t="s">
        <v>778</v>
      </c>
      <c r="C89" s="512"/>
      <c r="D89" s="512"/>
      <c r="E89" s="512"/>
      <c r="F89" s="512"/>
      <c r="G89" s="512"/>
      <c r="H89" s="512"/>
      <c r="I89" s="512"/>
      <c r="J89" s="517">
        <f>SUM(J84:J88)</f>
        <v>5.777229579027867E-2</v>
      </c>
      <c r="K89" s="518"/>
      <c r="L89" s="518">
        <f>SUM(L84:L88)</f>
        <v>6.1848818626681033E-2</v>
      </c>
    </row>
    <row r="90" spans="1:12" ht="15.75">
      <c r="A90" s="519"/>
      <c r="B90" s="520"/>
      <c r="C90" s="520"/>
      <c r="D90" s="520"/>
      <c r="E90" s="520"/>
      <c r="F90" s="520"/>
      <c r="G90" s="520"/>
      <c r="H90" s="520"/>
      <c r="I90" s="520"/>
      <c r="J90" s="521"/>
      <c r="K90" s="521"/>
      <c r="L90" s="521"/>
    </row>
  </sheetData>
  <mergeCells count="1">
    <mergeCell ref="F40:J4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6DCCE-201A-4F24-8568-66D59B95E3A1}">
  <sheetPr>
    <tabColor rgb="FF92D050"/>
  </sheetPr>
  <dimension ref="A1:J36"/>
  <sheetViews>
    <sheetView workbookViewId="0">
      <selection activeCell="I32" sqref="I32"/>
    </sheetView>
  </sheetViews>
  <sheetFormatPr defaultRowHeight="15"/>
  <cols>
    <col min="1" max="1" width="5.6640625" customWidth="1"/>
    <col min="2" max="2" width="31.44140625" customWidth="1"/>
    <col min="3" max="3" width="10.6640625" customWidth="1"/>
    <col min="4" max="4" width="9.88671875" customWidth="1"/>
    <col min="5" max="5" width="16.33203125" customWidth="1"/>
    <col min="6" max="6" width="12.109375" customWidth="1"/>
    <col min="7" max="7" width="11.88671875" customWidth="1"/>
    <col min="8" max="8" width="12" customWidth="1"/>
    <col min="9" max="9" width="17.109375" customWidth="1"/>
    <col min="10" max="10" width="39.6640625" bestFit="1" customWidth="1"/>
  </cols>
  <sheetData>
    <row r="1" spans="1:10">
      <c r="A1" s="522" t="s">
        <v>779</v>
      </c>
      <c r="B1" s="522"/>
      <c r="C1" s="522"/>
      <c r="D1" s="522"/>
      <c r="E1" s="522"/>
      <c r="F1" s="522"/>
      <c r="G1" s="522"/>
      <c r="H1" s="522"/>
      <c r="I1" s="522"/>
      <c r="J1" s="522"/>
    </row>
    <row r="2" spans="1:10">
      <c r="A2" s="523" t="s">
        <v>5</v>
      </c>
      <c r="B2" s="522"/>
      <c r="C2" s="522"/>
      <c r="D2" s="522"/>
      <c r="E2" s="522"/>
      <c r="F2" s="522"/>
      <c r="G2" s="522"/>
      <c r="H2" s="522"/>
      <c r="I2" s="522"/>
      <c r="J2" s="522"/>
    </row>
    <row r="3" spans="1:10">
      <c r="A3" s="522" t="str">
        <f>'Attachment H'!K3</f>
        <v>For the 12 months ended 12/31/2020</v>
      </c>
      <c r="B3" s="522"/>
      <c r="C3" s="522"/>
      <c r="D3" s="522"/>
      <c r="E3" s="522"/>
      <c r="F3" s="522"/>
      <c r="G3" s="522"/>
      <c r="H3" s="524"/>
      <c r="I3" s="524"/>
      <c r="J3" s="522"/>
    </row>
    <row r="4" spans="1:10">
      <c r="A4" s="525"/>
      <c r="B4" s="525"/>
      <c r="C4" s="525"/>
      <c r="D4" s="525"/>
      <c r="E4" s="525"/>
      <c r="F4" s="525"/>
      <c r="G4" s="525"/>
      <c r="H4" s="525"/>
      <c r="I4" s="525"/>
      <c r="J4" s="525"/>
    </row>
    <row r="5" spans="1:10">
      <c r="A5" s="526"/>
      <c r="B5" s="525" t="s">
        <v>538</v>
      </c>
      <c r="C5" s="525" t="s">
        <v>539</v>
      </c>
      <c r="D5" s="525" t="s">
        <v>540</v>
      </c>
      <c r="E5" s="525" t="s">
        <v>541</v>
      </c>
      <c r="F5" s="525" t="s">
        <v>563</v>
      </c>
      <c r="G5" s="525" t="s">
        <v>564</v>
      </c>
      <c r="H5" s="525" t="s">
        <v>565</v>
      </c>
      <c r="I5" s="527" t="s">
        <v>566</v>
      </c>
      <c r="J5" s="525"/>
    </row>
    <row r="6" spans="1:10" ht="25.5">
      <c r="A6" s="528" t="s">
        <v>780</v>
      </c>
      <c r="B6" s="529" t="s">
        <v>781</v>
      </c>
      <c r="C6" s="529" t="s">
        <v>558</v>
      </c>
      <c r="D6" s="529" t="s">
        <v>782</v>
      </c>
      <c r="E6" s="529" t="s">
        <v>783</v>
      </c>
      <c r="F6" s="529" t="s">
        <v>784</v>
      </c>
      <c r="G6" s="529" t="s">
        <v>785</v>
      </c>
      <c r="H6" s="529" t="s">
        <v>786</v>
      </c>
      <c r="I6" s="529" t="s">
        <v>787</v>
      </c>
      <c r="J6" s="529"/>
    </row>
    <row r="7" spans="1:10">
      <c r="A7" s="526" t="s">
        <v>788</v>
      </c>
      <c r="B7" s="530"/>
      <c r="C7" s="526"/>
      <c r="D7" s="525"/>
      <c r="E7" s="525"/>
      <c r="F7" s="525"/>
      <c r="G7" s="526"/>
      <c r="H7" s="526"/>
      <c r="I7" s="526"/>
      <c r="J7" s="526"/>
    </row>
    <row r="8" spans="1:10">
      <c r="A8" s="531">
        <v>1</v>
      </c>
      <c r="B8" s="530" t="s">
        <v>789</v>
      </c>
      <c r="C8" s="526" t="s">
        <v>666</v>
      </c>
      <c r="D8" s="532">
        <f>'4b - ADIT Projection Proration'!D9</f>
        <v>2019</v>
      </c>
      <c r="E8" s="26">
        <f>+'4c - ADIT BOY'!C55</f>
        <v>0</v>
      </c>
      <c r="F8" s="26">
        <f>+'4c - ADIT BOY'!E55</f>
        <v>-2411206.2085722177</v>
      </c>
      <c r="G8" s="38">
        <f>+'4c - ADIT BOY'!F55</f>
        <v>0</v>
      </c>
      <c r="H8" s="38">
        <f>+'4c - ADIT BOY'!G55</f>
        <v>0</v>
      </c>
      <c r="I8" s="26"/>
      <c r="J8" s="533"/>
    </row>
    <row r="9" spans="1:10">
      <c r="A9" s="531">
        <f>A8+1</f>
        <v>2</v>
      </c>
      <c r="B9" s="530" t="s">
        <v>790</v>
      </c>
      <c r="C9" s="526" t="s">
        <v>666</v>
      </c>
      <c r="D9" s="532">
        <f>'4b - ADIT Projection Proration'!D21</f>
        <v>2020</v>
      </c>
      <c r="E9" s="26">
        <f>+'4d - ADIT EOY'!C55-'4d - ADIT EOY'!C51</f>
        <v>0</v>
      </c>
      <c r="F9" s="26">
        <f>+'4d - ADIT EOY'!E55-'4d - ADIT EOY'!E51</f>
        <v>0</v>
      </c>
      <c r="G9" s="26">
        <f>+'4d - ADIT EOY'!F55-'4d - ADIT EOY'!F51</f>
        <v>0</v>
      </c>
      <c r="H9" s="26">
        <f>+'4d - ADIT EOY'!G55-'4d - ADIT EOY'!G51</f>
        <v>0</v>
      </c>
      <c r="I9" s="26"/>
      <c r="J9" s="533"/>
    </row>
    <row r="10" spans="1:10">
      <c r="A10" s="531">
        <f>A9+1</f>
        <v>3</v>
      </c>
      <c r="B10" s="530" t="s">
        <v>791</v>
      </c>
      <c r="C10" s="526" t="s">
        <v>666</v>
      </c>
      <c r="D10" s="532">
        <f>D9</f>
        <v>2020</v>
      </c>
      <c r="E10" s="26">
        <f>+'4b - ADIT Projection Proration'!F22</f>
        <v>-2411206.2085722177</v>
      </c>
      <c r="F10" s="26">
        <f>+'4b - ADIT Projection Proration'!H22</f>
        <v>-2694854.1631239178</v>
      </c>
      <c r="G10" s="26">
        <f>+'4b - ADIT Projection Proration'!J22</f>
        <v>0</v>
      </c>
      <c r="H10" s="26">
        <f>+'4b - ADIT Projection Proration'!L22</f>
        <v>0</v>
      </c>
      <c r="I10" s="26"/>
      <c r="J10" s="533"/>
    </row>
    <row r="11" spans="1:10">
      <c r="A11" s="531">
        <f>+A10+1</f>
        <v>4</v>
      </c>
      <c r="B11" s="530" t="s">
        <v>792</v>
      </c>
      <c r="C11" s="526" t="s">
        <v>666</v>
      </c>
      <c r="D11" s="532">
        <f>D10</f>
        <v>2020</v>
      </c>
      <c r="E11" s="534">
        <f>E9+E10</f>
        <v>-2411206.2085722177</v>
      </c>
      <c r="F11" s="534">
        <f t="shared" ref="F11:H11" si="0">F9+F10</f>
        <v>-2694854.1631239178</v>
      </c>
      <c r="G11" s="534">
        <f t="shared" si="0"/>
        <v>0</v>
      </c>
      <c r="H11" s="534">
        <f t="shared" si="0"/>
        <v>0</v>
      </c>
      <c r="I11" s="533"/>
      <c r="J11" s="533"/>
    </row>
    <row r="12" spans="1:10">
      <c r="A12" s="531">
        <f t="shared" ref="A12:A15" si="1">+A11+1</f>
        <v>5</v>
      </c>
      <c r="B12" s="530" t="s">
        <v>793</v>
      </c>
      <c r="C12" s="526"/>
      <c r="D12" s="526"/>
      <c r="E12" s="533"/>
      <c r="F12" s="533">
        <v>1</v>
      </c>
      <c r="G12" s="533"/>
      <c r="H12" s="533"/>
      <c r="I12" s="533"/>
      <c r="J12" s="535">
        <v>1</v>
      </c>
    </row>
    <row r="13" spans="1:10">
      <c r="A13" s="531">
        <f t="shared" si="1"/>
        <v>6</v>
      </c>
      <c r="B13" s="530" t="s">
        <v>794</v>
      </c>
      <c r="C13" s="526"/>
      <c r="D13" s="526"/>
      <c r="E13" s="533"/>
      <c r="F13" s="533"/>
      <c r="G13" s="533">
        <f>+'Attachment H'!$G$84</f>
        <v>1</v>
      </c>
      <c r="H13" s="533"/>
      <c r="I13" s="533"/>
      <c r="J13" s="526" t="s">
        <v>795</v>
      </c>
    </row>
    <row r="14" spans="1:10">
      <c r="A14" s="531">
        <f t="shared" si="1"/>
        <v>7</v>
      </c>
      <c r="B14" s="530" t="s">
        <v>796</v>
      </c>
      <c r="C14" s="526"/>
      <c r="D14" s="526"/>
      <c r="E14" s="533"/>
      <c r="F14" s="533"/>
      <c r="G14" s="533"/>
      <c r="H14" s="533">
        <f>+'Attachment H'!$I$197</f>
        <v>1</v>
      </c>
      <c r="I14" s="533"/>
      <c r="J14" s="526" t="s">
        <v>797</v>
      </c>
    </row>
    <row r="15" spans="1:10">
      <c r="A15" s="531">
        <f t="shared" si="1"/>
        <v>8</v>
      </c>
      <c r="B15" s="530" t="s">
        <v>798</v>
      </c>
      <c r="C15" s="526"/>
      <c r="D15" s="526"/>
      <c r="E15" s="533">
        <f>+E11</f>
        <v>-2411206.2085722177</v>
      </c>
      <c r="F15" s="533">
        <f>+F11*F12</f>
        <v>-2694854.1631239178</v>
      </c>
      <c r="G15" s="533">
        <f>+G11*G13</f>
        <v>0</v>
      </c>
      <c r="H15" s="533">
        <f>+H11*H14</f>
        <v>0</v>
      </c>
      <c r="I15" s="536">
        <f>+F15+G15+H15</f>
        <v>-2694854.1631239178</v>
      </c>
      <c r="J15" s="533" t="s">
        <v>799</v>
      </c>
    </row>
    <row r="16" spans="1:10">
      <c r="A16" s="531"/>
      <c r="B16" s="530"/>
      <c r="C16" s="526"/>
      <c r="D16" s="526"/>
      <c r="E16" s="526"/>
      <c r="F16" s="526"/>
      <c r="G16" s="526"/>
      <c r="H16" s="526"/>
      <c r="I16" s="526"/>
      <c r="J16" s="526"/>
    </row>
    <row r="17" spans="1:10">
      <c r="A17" s="526" t="s">
        <v>800</v>
      </c>
      <c r="B17" s="530"/>
      <c r="C17" s="526"/>
      <c r="D17" s="526"/>
      <c r="E17" s="526"/>
      <c r="F17" s="526"/>
      <c r="G17" s="526"/>
      <c r="H17" s="526"/>
      <c r="I17" s="526"/>
      <c r="J17" s="526"/>
    </row>
    <row r="18" spans="1:10">
      <c r="A18" s="531">
        <f>A15+1</f>
        <v>9</v>
      </c>
      <c r="B18" s="530" t="s">
        <v>801</v>
      </c>
      <c r="C18" s="526" t="s">
        <v>666</v>
      </c>
      <c r="D18" s="532">
        <f>D8</f>
        <v>2019</v>
      </c>
      <c r="E18" s="26">
        <f>+'4c - ADIT BOY'!C79</f>
        <v>0</v>
      </c>
      <c r="F18" s="26">
        <f>+'4c - ADIT BOY'!E79</f>
        <v>0</v>
      </c>
      <c r="G18" s="26">
        <f>+'4c - ADIT BOY'!F79</f>
        <v>0</v>
      </c>
      <c r="H18" s="26">
        <f>+'4c - ADIT BOY'!G79</f>
        <v>0</v>
      </c>
      <c r="I18" s="26"/>
      <c r="J18" s="533"/>
    </row>
    <row r="19" spans="1:10">
      <c r="A19" s="531">
        <f>A18+1</f>
        <v>10</v>
      </c>
      <c r="B19" s="530" t="s">
        <v>802</v>
      </c>
      <c r="C19" s="526" t="s">
        <v>666</v>
      </c>
      <c r="D19" s="532">
        <f t="shared" ref="D19:D21" si="2">D9</f>
        <v>2020</v>
      </c>
      <c r="E19" s="26">
        <f>+'4d - ADIT EOY'!C79</f>
        <v>0</v>
      </c>
      <c r="F19" s="26">
        <f>+'4d - ADIT EOY'!E79</f>
        <v>0</v>
      </c>
      <c r="G19" s="26">
        <f>+'4d - ADIT EOY'!F79</f>
        <v>0</v>
      </c>
      <c r="H19" s="26">
        <f>+'4d - ADIT EOY'!G79</f>
        <v>0</v>
      </c>
      <c r="I19" s="26"/>
      <c r="J19" s="533"/>
    </row>
    <row r="20" spans="1:10">
      <c r="A20" s="531">
        <f>A19+1</f>
        <v>11</v>
      </c>
      <c r="B20" s="530" t="s">
        <v>803</v>
      </c>
      <c r="C20" s="526" t="s">
        <v>666</v>
      </c>
      <c r="D20" s="532">
        <f t="shared" si="2"/>
        <v>2020</v>
      </c>
      <c r="E20" s="26">
        <f>+'4b - ADIT Projection Proration'!F38</f>
        <v>0</v>
      </c>
      <c r="F20" s="26">
        <f>+'4b - ADIT Projection Proration'!H38</f>
        <v>0</v>
      </c>
      <c r="G20" s="26">
        <f>+'4b - ADIT Projection Proration'!J38</f>
        <v>0</v>
      </c>
      <c r="H20" s="26">
        <f>+'4b - ADIT Projection Proration'!L38</f>
        <v>0</v>
      </c>
      <c r="I20" s="26"/>
      <c r="J20" s="533"/>
    </row>
    <row r="21" spans="1:10">
      <c r="A21" s="531">
        <f>A20+1</f>
        <v>12</v>
      </c>
      <c r="B21" s="530" t="s">
        <v>804</v>
      </c>
      <c r="C21" s="526" t="s">
        <v>666</v>
      </c>
      <c r="D21" s="532">
        <f t="shared" si="2"/>
        <v>2020</v>
      </c>
      <c r="E21" s="26">
        <f>E19+E20</f>
        <v>0</v>
      </c>
      <c r="F21" s="26">
        <f>F19+F20</f>
        <v>0</v>
      </c>
      <c r="G21" s="26">
        <f>G19+G20</f>
        <v>0</v>
      </c>
      <c r="H21" s="26">
        <f>H19+H20</f>
        <v>0</v>
      </c>
      <c r="I21" s="26"/>
      <c r="J21" s="533"/>
    </row>
    <row r="22" spans="1:10">
      <c r="A22" s="531">
        <f t="shared" ref="A22:A25" si="3">A21+1</f>
        <v>13</v>
      </c>
      <c r="B22" s="530" t="s">
        <v>793</v>
      </c>
      <c r="C22" s="526"/>
      <c r="D22" s="526"/>
      <c r="E22" s="533"/>
      <c r="F22" s="533">
        <v>1</v>
      </c>
      <c r="G22" s="533"/>
      <c r="H22" s="533"/>
      <c r="I22" s="533"/>
      <c r="J22" s="535">
        <v>1</v>
      </c>
    </row>
    <row r="23" spans="1:10">
      <c r="A23" s="531">
        <f t="shared" si="3"/>
        <v>14</v>
      </c>
      <c r="B23" s="530" t="s">
        <v>794</v>
      </c>
      <c r="C23" s="526"/>
      <c r="D23" s="526"/>
      <c r="E23" s="533"/>
      <c r="F23" s="533"/>
      <c r="G23" s="533">
        <f>+'Attachment H'!$G$84</f>
        <v>1</v>
      </c>
      <c r="H23" s="533"/>
      <c r="I23" s="533"/>
      <c r="J23" s="526" t="s">
        <v>795</v>
      </c>
    </row>
    <row r="24" spans="1:10">
      <c r="A24" s="531">
        <f t="shared" si="3"/>
        <v>15</v>
      </c>
      <c r="B24" s="530" t="s">
        <v>796</v>
      </c>
      <c r="C24" s="526"/>
      <c r="D24" s="526"/>
      <c r="E24" s="533"/>
      <c r="F24" s="533"/>
      <c r="G24" s="533"/>
      <c r="H24" s="533">
        <f>+'Attachment H'!$I$197</f>
        <v>1</v>
      </c>
      <c r="I24" s="533"/>
      <c r="J24" s="526" t="s">
        <v>797</v>
      </c>
    </row>
    <row r="25" spans="1:10">
      <c r="A25" s="531">
        <f t="shared" si="3"/>
        <v>16</v>
      </c>
      <c r="B25" s="530" t="s">
        <v>798</v>
      </c>
      <c r="C25" s="526"/>
      <c r="D25" s="526"/>
      <c r="E25" s="533">
        <f>+E21</f>
        <v>0</v>
      </c>
      <c r="F25" s="533">
        <f>+F21*F22</f>
        <v>0</v>
      </c>
      <c r="G25" s="533">
        <f>+G21*G23</f>
        <v>0</v>
      </c>
      <c r="H25" s="533">
        <f>+H21*H24</f>
        <v>0</v>
      </c>
      <c r="I25" s="533">
        <f>+F25+G25+H25</f>
        <v>0</v>
      </c>
      <c r="J25" s="533" t="s">
        <v>799</v>
      </c>
    </row>
    <row r="26" spans="1:10">
      <c r="A26" s="531"/>
      <c r="B26" s="530"/>
      <c r="C26" s="526"/>
      <c r="D26" s="526"/>
      <c r="E26" s="526"/>
      <c r="F26" s="526"/>
      <c r="G26" s="526"/>
      <c r="H26" s="526"/>
      <c r="I26" s="526"/>
      <c r="J26" s="526"/>
    </row>
    <row r="27" spans="1:10">
      <c r="A27" s="526" t="s">
        <v>805</v>
      </c>
      <c r="B27" s="530"/>
      <c r="C27" s="526"/>
      <c r="D27" s="526"/>
      <c r="E27" s="526"/>
      <c r="F27" s="526"/>
      <c r="G27" s="526"/>
      <c r="H27" s="526"/>
      <c r="I27" s="526"/>
      <c r="J27" s="526"/>
    </row>
    <row r="28" spans="1:10">
      <c r="A28" s="531">
        <f>A25+1</f>
        <v>17</v>
      </c>
      <c r="B28" s="530" t="s">
        <v>806</v>
      </c>
      <c r="C28" s="526" t="s">
        <v>666</v>
      </c>
      <c r="D28" s="532">
        <f>D18</f>
        <v>2019</v>
      </c>
      <c r="E28" s="26">
        <f>+'4c - ADIT BOY'!C33</f>
        <v>0</v>
      </c>
      <c r="F28" s="26">
        <f>+'4c - ADIT BOY'!E33</f>
        <v>0</v>
      </c>
      <c r="G28" s="26">
        <f>+'4c - ADIT BOY'!F33</f>
        <v>0</v>
      </c>
      <c r="H28" s="26">
        <f>+'4c - ADIT BOY'!G33</f>
        <v>0</v>
      </c>
      <c r="I28" s="26"/>
      <c r="J28" s="533"/>
    </row>
    <row r="29" spans="1:10">
      <c r="A29" s="531">
        <f>A28+1</f>
        <v>18</v>
      </c>
      <c r="B29" s="530" t="s">
        <v>807</v>
      </c>
      <c r="C29" s="526" t="s">
        <v>666</v>
      </c>
      <c r="D29" s="532">
        <f t="shared" ref="D29:D31" si="4">D19</f>
        <v>2020</v>
      </c>
      <c r="E29" s="26">
        <f>+'4d - ADIT EOY'!C33-'4d - ADIT EOY'!C29</f>
        <v>0</v>
      </c>
      <c r="F29" s="26">
        <f>+'4d - ADIT EOY'!E33-'4d - ADIT EOY'!E29</f>
        <v>0</v>
      </c>
      <c r="G29" s="26">
        <f>+'4d - ADIT EOY'!F33-'4d - ADIT EOY'!F29</f>
        <v>0</v>
      </c>
      <c r="H29" s="26">
        <f>+'4d - ADIT EOY'!G33-'4d - ADIT EOY'!G29</f>
        <v>0</v>
      </c>
      <c r="I29" s="26"/>
      <c r="J29" s="533"/>
    </row>
    <row r="30" spans="1:10">
      <c r="A30" s="531">
        <f>A29+1</f>
        <v>19</v>
      </c>
      <c r="B30" s="530" t="s">
        <v>808</v>
      </c>
      <c r="C30" s="526" t="s">
        <v>666</v>
      </c>
      <c r="D30" s="532">
        <f t="shared" si="4"/>
        <v>2020</v>
      </c>
      <c r="E30" s="26">
        <f>+'4b - ADIT Projection Proration'!F54</f>
        <v>0</v>
      </c>
      <c r="F30" s="26">
        <f>+'4b - ADIT Projection Proration'!H54</f>
        <v>0</v>
      </c>
      <c r="G30" s="26">
        <f>+'4b - ADIT Projection Proration'!J54</f>
        <v>0</v>
      </c>
      <c r="H30" s="26">
        <f>+'4b - ADIT Projection Proration'!L54</f>
        <v>0</v>
      </c>
      <c r="I30" s="26"/>
      <c r="J30" s="533"/>
    </row>
    <row r="31" spans="1:10">
      <c r="A31" s="531">
        <f>A30+1</f>
        <v>20</v>
      </c>
      <c r="B31" s="530" t="s">
        <v>809</v>
      </c>
      <c r="C31" s="526" t="s">
        <v>666</v>
      </c>
      <c r="D31" s="532">
        <f t="shared" si="4"/>
        <v>2020</v>
      </c>
      <c r="E31" s="26">
        <f>E29+E30</f>
        <v>0</v>
      </c>
      <c r="F31" s="26">
        <f>F29+F30</f>
        <v>0</v>
      </c>
      <c r="G31" s="26">
        <f>G29+G30</f>
        <v>0</v>
      </c>
      <c r="H31" s="26">
        <f>H29+H30</f>
        <v>0</v>
      </c>
      <c r="I31" s="26"/>
      <c r="J31" s="533"/>
    </row>
    <row r="32" spans="1:10">
      <c r="A32" s="531">
        <f t="shared" ref="A32:A35" si="5">A31+1</f>
        <v>21</v>
      </c>
      <c r="B32" s="530" t="s">
        <v>793</v>
      </c>
      <c r="C32" s="526"/>
      <c r="D32" s="526"/>
      <c r="E32" s="533"/>
      <c r="F32" s="533">
        <v>1</v>
      </c>
      <c r="G32" s="533"/>
      <c r="H32" s="533"/>
      <c r="I32" s="533"/>
      <c r="J32" s="535">
        <v>1</v>
      </c>
    </row>
    <row r="33" spans="1:10">
      <c r="A33" s="531">
        <f t="shared" si="5"/>
        <v>22</v>
      </c>
      <c r="B33" s="530" t="s">
        <v>794</v>
      </c>
      <c r="C33" s="526"/>
      <c r="D33" s="526"/>
      <c r="E33" s="533"/>
      <c r="F33" s="533"/>
      <c r="G33" s="533">
        <f>+'Attachment H'!$G$84</f>
        <v>1</v>
      </c>
      <c r="H33" s="533"/>
      <c r="I33" s="533"/>
      <c r="J33" s="526" t="s">
        <v>795</v>
      </c>
    </row>
    <row r="34" spans="1:10">
      <c r="A34" s="531">
        <f t="shared" si="5"/>
        <v>23</v>
      </c>
      <c r="B34" s="530" t="s">
        <v>796</v>
      </c>
      <c r="C34" s="526"/>
      <c r="D34" s="526"/>
      <c r="E34" s="533"/>
      <c r="F34" s="533"/>
      <c r="G34" s="533"/>
      <c r="H34" s="533">
        <f>+'Attachment H'!$I$197</f>
        <v>1</v>
      </c>
      <c r="I34" s="533"/>
      <c r="J34" s="526" t="s">
        <v>797</v>
      </c>
    </row>
    <row r="35" spans="1:10">
      <c r="A35" s="531">
        <f t="shared" si="5"/>
        <v>24</v>
      </c>
      <c r="B35" s="530" t="s">
        <v>798</v>
      </c>
      <c r="C35" s="526"/>
      <c r="D35" s="526"/>
      <c r="E35" s="533">
        <f>E31</f>
        <v>0</v>
      </c>
      <c r="F35" s="533">
        <f>+F31*F32</f>
        <v>0</v>
      </c>
      <c r="G35" s="533">
        <f>+G31*G33</f>
        <v>0</v>
      </c>
      <c r="H35" s="533">
        <f>+H31*H34</f>
        <v>0</v>
      </c>
      <c r="I35" s="533">
        <f>+F35+G35+H35</f>
        <v>0</v>
      </c>
      <c r="J35" s="533" t="s">
        <v>810</v>
      </c>
    </row>
    <row r="36" spans="1:10">
      <c r="A36" s="526"/>
      <c r="B36" s="526"/>
      <c r="C36" s="526"/>
      <c r="D36" s="526"/>
      <c r="E36" s="526"/>
      <c r="F36" s="526"/>
      <c r="G36" s="526"/>
      <c r="H36" s="526"/>
      <c r="I36" s="526"/>
      <c r="J36" s="526"/>
    </row>
  </sheetData>
  <mergeCells count="3">
    <mergeCell ref="A1:J1"/>
    <mergeCell ref="A2:J2"/>
    <mergeCell ref="A3:J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3FE18-8824-4E3F-905C-AD7A7F538639}">
  <sheetPr>
    <tabColor rgb="FF92D050"/>
  </sheetPr>
  <dimension ref="A1:L61"/>
  <sheetViews>
    <sheetView workbookViewId="0">
      <selection activeCell="G14" sqref="G14"/>
    </sheetView>
  </sheetViews>
  <sheetFormatPr defaultRowHeight="15"/>
  <cols>
    <col min="1" max="1" width="5.6640625" customWidth="1"/>
    <col min="2" max="2" width="31.109375" customWidth="1"/>
    <col min="3" max="3" width="10.6640625" customWidth="1"/>
    <col min="4" max="4" width="9.88671875" customWidth="1"/>
    <col min="5" max="5" width="10" customWidth="1"/>
    <col min="6" max="6" width="14.88671875" customWidth="1"/>
    <col min="7" max="7" width="12.109375" customWidth="1"/>
    <col min="8" max="8" width="11.88671875" customWidth="1"/>
    <col min="9" max="9" width="12" customWidth="1"/>
    <col min="10" max="10" width="15.88671875" customWidth="1"/>
    <col min="11" max="11" width="14.109375" customWidth="1"/>
    <col min="12" max="12" width="12.109375" customWidth="1"/>
  </cols>
  <sheetData>
    <row r="1" spans="1:12">
      <c r="A1" s="537" t="s">
        <v>811</v>
      </c>
      <c r="B1" s="537"/>
      <c r="C1" s="537"/>
      <c r="D1" s="537"/>
      <c r="E1" s="537"/>
      <c r="F1" s="537"/>
      <c r="G1" s="537"/>
      <c r="H1" s="537"/>
      <c r="I1" s="537"/>
      <c r="J1" s="537"/>
      <c r="K1" s="537"/>
      <c r="L1" s="537"/>
    </row>
    <row r="2" spans="1:12">
      <c r="A2" s="537" t="s">
        <v>5</v>
      </c>
      <c r="B2" s="537"/>
      <c r="C2" s="537"/>
      <c r="D2" s="537"/>
      <c r="E2" s="537"/>
      <c r="F2" s="537"/>
      <c r="G2" s="537"/>
      <c r="H2" s="537"/>
      <c r="I2" s="537"/>
      <c r="J2" s="537"/>
      <c r="K2" s="537"/>
      <c r="L2" s="537"/>
    </row>
    <row r="3" spans="1:12">
      <c r="A3" s="537" t="str">
        <f>'4a - ADIT Projection'!A3:J3</f>
        <v>For the 12 months ended 12/31/2020</v>
      </c>
      <c r="B3" s="537"/>
      <c r="C3" s="537"/>
      <c r="D3" s="537"/>
      <c r="E3" s="537"/>
      <c r="F3" s="537"/>
      <c r="G3" s="537"/>
      <c r="H3" s="538"/>
      <c r="I3" s="537"/>
      <c r="J3" s="537"/>
      <c r="K3" s="537"/>
      <c r="L3" s="537"/>
    </row>
    <row r="4" spans="1:12">
      <c r="A4" s="539"/>
      <c r="B4" s="540"/>
      <c r="C4" s="539"/>
      <c r="D4" s="539"/>
      <c r="E4" s="539"/>
      <c r="F4" s="539"/>
      <c r="G4" s="539"/>
      <c r="H4" s="539"/>
      <c r="I4" s="539"/>
      <c r="J4" s="539"/>
      <c r="K4" s="539"/>
      <c r="L4" s="539"/>
    </row>
    <row r="5" spans="1:12">
      <c r="A5" s="539"/>
      <c r="B5" s="540"/>
      <c r="C5" s="539"/>
      <c r="D5" s="539"/>
      <c r="E5" s="539"/>
      <c r="F5" s="539"/>
      <c r="G5" s="539"/>
      <c r="H5" s="539"/>
      <c r="I5" s="539"/>
      <c r="J5" s="539"/>
      <c r="K5" s="539"/>
      <c r="L5" s="539"/>
    </row>
    <row r="6" spans="1:12">
      <c r="A6" s="539"/>
      <c r="B6" s="541" t="s">
        <v>538</v>
      </c>
      <c r="C6" s="541" t="s">
        <v>539</v>
      </c>
      <c r="D6" s="541" t="s">
        <v>540</v>
      </c>
      <c r="E6" s="541" t="s">
        <v>541</v>
      </c>
      <c r="F6" s="541" t="s">
        <v>563</v>
      </c>
      <c r="G6" s="541" t="s">
        <v>564</v>
      </c>
      <c r="H6" s="541" t="s">
        <v>565</v>
      </c>
      <c r="I6" s="541" t="s">
        <v>566</v>
      </c>
      <c r="J6" s="541" t="s">
        <v>567</v>
      </c>
      <c r="K6" s="541" t="s">
        <v>647</v>
      </c>
      <c r="L6" s="541" t="s">
        <v>648</v>
      </c>
    </row>
    <row r="7" spans="1:12" ht="38.25">
      <c r="A7" s="542"/>
      <c r="B7" s="543" t="s">
        <v>781</v>
      </c>
      <c r="C7" s="543" t="s">
        <v>558</v>
      </c>
      <c r="D7" s="543" t="s">
        <v>782</v>
      </c>
      <c r="E7" s="543" t="s">
        <v>812</v>
      </c>
      <c r="F7" s="543" t="s">
        <v>813</v>
      </c>
      <c r="G7" s="543" t="s">
        <v>39</v>
      </c>
      <c r="H7" s="543" t="s">
        <v>814</v>
      </c>
      <c r="I7" s="543" t="s">
        <v>785</v>
      </c>
      <c r="J7" s="543" t="s">
        <v>815</v>
      </c>
      <c r="K7" s="543" t="s">
        <v>786</v>
      </c>
      <c r="L7" s="543" t="s">
        <v>816</v>
      </c>
    </row>
    <row r="8" spans="1:12">
      <c r="A8" s="539" t="s">
        <v>817</v>
      </c>
      <c r="B8" s="540"/>
      <c r="C8" s="539"/>
      <c r="D8" s="541"/>
      <c r="E8" s="541"/>
      <c r="F8" s="541"/>
      <c r="G8" s="541"/>
      <c r="H8" s="539"/>
      <c r="I8" s="539"/>
      <c r="J8" s="539"/>
      <c r="K8" s="539"/>
      <c r="L8" s="544"/>
    </row>
    <row r="9" spans="1:12">
      <c r="A9" s="545">
        <v>1</v>
      </c>
      <c r="B9" s="540" t="s">
        <v>818</v>
      </c>
      <c r="C9" s="539" t="s">
        <v>666</v>
      </c>
      <c r="D9" s="546">
        <v>2019</v>
      </c>
      <c r="E9" s="547">
        <f>365/365</f>
        <v>1</v>
      </c>
      <c r="F9" s="548">
        <f>+H9+J9+L9</f>
        <v>-2411206.2085722177</v>
      </c>
      <c r="G9" s="549">
        <f>+'4c - ADIT BOY'!E55</f>
        <v>-2411206.2085722177</v>
      </c>
      <c r="H9" s="550">
        <f t="shared" ref="H9:H21" si="0">E9*G9</f>
        <v>-2411206.2085722177</v>
      </c>
      <c r="I9" s="548">
        <f>+'4c - ADIT BOY'!F55</f>
        <v>0</v>
      </c>
      <c r="J9" s="550">
        <f t="shared" ref="J9:J21" si="1">I9*E9</f>
        <v>0</v>
      </c>
      <c r="K9" s="548">
        <f>+'4c - ADIT BOY'!G55</f>
        <v>0</v>
      </c>
      <c r="L9" s="550">
        <f t="shared" ref="L9:L21" si="2">E9*K9</f>
        <v>0</v>
      </c>
    </row>
    <row r="10" spans="1:12">
      <c r="A10" s="545">
        <f t="shared" ref="A10:A22" si="3">+A9+1</f>
        <v>2</v>
      </c>
      <c r="B10" s="540" t="s">
        <v>819</v>
      </c>
      <c r="C10" s="539" t="s">
        <v>577</v>
      </c>
      <c r="D10" s="546">
        <f>D9+1</f>
        <v>2020</v>
      </c>
      <c r="E10" s="547">
        <f>335/365</f>
        <v>0.9178082191780822</v>
      </c>
      <c r="F10" s="551">
        <v>0</v>
      </c>
      <c r="G10" s="551">
        <v>-51025.876496486191</v>
      </c>
      <c r="H10" s="548">
        <f t="shared" si="0"/>
        <v>-46831.968839240748</v>
      </c>
      <c r="I10" s="551">
        <v>0</v>
      </c>
      <c r="J10" s="550">
        <f t="shared" si="1"/>
        <v>0</v>
      </c>
      <c r="K10" s="551">
        <v>0</v>
      </c>
      <c r="L10" s="550">
        <f t="shared" si="2"/>
        <v>0</v>
      </c>
    </row>
    <row r="11" spans="1:12">
      <c r="A11" s="545">
        <f t="shared" si="3"/>
        <v>3</v>
      </c>
      <c r="B11" s="540" t="s">
        <v>819</v>
      </c>
      <c r="C11" s="539" t="s">
        <v>578</v>
      </c>
      <c r="D11" s="546">
        <f>D10</f>
        <v>2020</v>
      </c>
      <c r="E11" s="547">
        <f>307/365</f>
        <v>0.84109589041095889</v>
      </c>
      <c r="F11" s="551">
        <v>0</v>
      </c>
      <c r="G11" s="551">
        <v>-51025.876496486191</v>
      </c>
      <c r="H11" s="548">
        <f t="shared" si="0"/>
        <v>-42917.655025811669</v>
      </c>
      <c r="I11" s="551">
        <v>0</v>
      </c>
      <c r="J11" s="550">
        <f t="shared" si="1"/>
        <v>0</v>
      </c>
      <c r="K11" s="551">
        <v>0</v>
      </c>
      <c r="L11" s="550">
        <f t="shared" si="2"/>
        <v>0</v>
      </c>
    </row>
    <row r="12" spans="1:12">
      <c r="A12" s="545">
        <f t="shared" si="3"/>
        <v>4</v>
      </c>
      <c r="B12" s="540" t="s">
        <v>819</v>
      </c>
      <c r="C12" s="539" t="s">
        <v>663</v>
      </c>
      <c r="D12" s="546">
        <f t="shared" ref="D12:D21" si="4">D11</f>
        <v>2020</v>
      </c>
      <c r="E12" s="547">
        <f>276/365</f>
        <v>0.75616438356164384</v>
      </c>
      <c r="F12" s="551">
        <v>0</v>
      </c>
      <c r="G12" s="551">
        <v>-51025.876496486191</v>
      </c>
      <c r="H12" s="550">
        <f t="shared" si="0"/>
        <v>-38583.950446658055</v>
      </c>
      <c r="I12" s="551">
        <v>0</v>
      </c>
      <c r="J12" s="550">
        <f t="shared" si="1"/>
        <v>0</v>
      </c>
      <c r="K12" s="551">
        <v>0</v>
      </c>
      <c r="L12" s="550">
        <f t="shared" si="2"/>
        <v>0</v>
      </c>
    </row>
    <row r="13" spans="1:12">
      <c r="A13" s="545">
        <f t="shared" si="3"/>
        <v>5</v>
      </c>
      <c r="B13" s="540" t="s">
        <v>819</v>
      </c>
      <c r="C13" s="539" t="s">
        <v>580</v>
      </c>
      <c r="D13" s="546">
        <f t="shared" si="4"/>
        <v>2020</v>
      </c>
      <c r="E13" s="547">
        <f>246/365</f>
        <v>0.67397260273972603</v>
      </c>
      <c r="F13" s="551">
        <v>0</v>
      </c>
      <c r="G13" s="551">
        <v>-51025.876496486191</v>
      </c>
      <c r="H13" s="550">
        <f t="shared" si="0"/>
        <v>-34390.042789412611</v>
      </c>
      <c r="I13" s="551">
        <v>0</v>
      </c>
      <c r="J13" s="550">
        <f t="shared" si="1"/>
        <v>0</v>
      </c>
      <c r="K13" s="551">
        <v>0</v>
      </c>
      <c r="L13" s="550">
        <f t="shared" si="2"/>
        <v>0</v>
      </c>
    </row>
    <row r="14" spans="1:12">
      <c r="A14" s="545">
        <f t="shared" si="3"/>
        <v>6</v>
      </c>
      <c r="B14" s="540" t="s">
        <v>819</v>
      </c>
      <c r="C14" s="539" t="s">
        <v>581</v>
      </c>
      <c r="D14" s="546">
        <f t="shared" si="4"/>
        <v>2020</v>
      </c>
      <c r="E14" s="547">
        <f>215/365</f>
        <v>0.58904109589041098</v>
      </c>
      <c r="F14" s="551">
        <v>0</v>
      </c>
      <c r="G14" s="551">
        <v>-51025.876496486191</v>
      </c>
      <c r="H14" s="550">
        <f t="shared" si="0"/>
        <v>-30056.338210258989</v>
      </c>
      <c r="I14" s="551">
        <v>0</v>
      </c>
      <c r="J14" s="550">
        <f t="shared" si="1"/>
        <v>0</v>
      </c>
      <c r="K14" s="551">
        <v>0</v>
      </c>
      <c r="L14" s="550">
        <f t="shared" si="2"/>
        <v>0</v>
      </c>
    </row>
    <row r="15" spans="1:12">
      <c r="A15" s="545">
        <f t="shared" si="3"/>
        <v>7</v>
      </c>
      <c r="B15" s="540" t="s">
        <v>819</v>
      </c>
      <c r="C15" s="539" t="s">
        <v>582</v>
      </c>
      <c r="D15" s="546">
        <f t="shared" si="4"/>
        <v>2020</v>
      </c>
      <c r="E15" s="547">
        <f>185/365</f>
        <v>0.50684931506849318</v>
      </c>
      <c r="F15" s="551">
        <v>0</v>
      </c>
      <c r="G15" s="551">
        <v>-51025.876496486191</v>
      </c>
      <c r="H15" s="550">
        <f t="shared" si="0"/>
        <v>-25862.43055301355</v>
      </c>
      <c r="I15" s="551">
        <v>0</v>
      </c>
      <c r="J15" s="550">
        <f t="shared" si="1"/>
        <v>0</v>
      </c>
      <c r="K15" s="551">
        <v>0</v>
      </c>
      <c r="L15" s="550">
        <f t="shared" si="2"/>
        <v>0</v>
      </c>
    </row>
    <row r="16" spans="1:12">
      <c r="A16" s="545">
        <f t="shared" si="3"/>
        <v>8</v>
      </c>
      <c r="B16" s="540" t="s">
        <v>819</v>
      </c>
      <c r="C16" s="539" t="s">
        <v>583</v>
      </c>
      <c r="D16" s="546">
        <f t="shared" si="4"/>
        <v>2020</v>
      </c>
      <c r="E16" s="547">
        <f>154/365</f>
        <v>0.42191780821917807</v>
      </c>
      <c r="F16" s="551">
        <v>0</v>
      </c>
      <c r="G16" s="551">
        <v>-51025.876496486191</v>
      </c>
      <c r="H16" s="550">
        <f t="shared" si="0"/>
        <v>-21528.725973859928</v>
      </c>
      <c r="I16" s="551">
        <v>0</v>
      </c>
      <c r="J16" s="550">
        <f t="shared" si="1"/>
        <v>0</v>
      </c>
      <c r="K16" s="551">
        <v>0</v>
      </c>
      <c r="L16" s="550">
        <f t="shared" si="2"/>
        <v>0</v>
      </c>
    </row>
    <row r="17" spans="1:12">
      <c r="A17" s="545">
        <f t="shared" si="3"/>
        <v>9</v>
      </c>
      <c r="B17" s="540" t="s">
        <v>819</v>
      </c>
      <c r="C17" s="539" t="s">
        <v>665</v>
      </c>
      <c r="D17" s="546">
        <f t="shared" si="4"/>
        <v>2020</v>
      </c>
      <c r="E17" s="547">
        <f>123/365</f>
        <v>0.33698630136986302</v>
      </c>
      <c r="F17" s="551">
        <v>0</v>
      </c>
      <c r="G17" s="551">
        <v>-51025.876496486191</v>
      </c>
      <c r="H17" s="550">
        <f t="shared" si="0"/>
        <v>-17195.021394706306</v>
      </c>
      <c r="I17" s="551">
        <v>0</v>
      </c>
      <c r="J17" s="550">
        <f t="shared" si="1"/>
        <v>0</v>
      </c>
      <c r="K17" s="551">
        <v>0</v>
      </c>
      <c r="L17" s="550">
        <f t="shared" si="2"/>
        <v>0</v>
      </c>
    </row>
    <row r="18" spans="1:12">
      <c r="A18" s="545">
        <f t="shared" si="3"/>
        <v>10</v>
      </c>
      <c r="B18" s="540" t="s">
        <v>819</v>
      </c>
      <c r="C18" s="539" t="s">
        <v>585</v>
      </c>
      <c r="D18" s="546">
        <f t="shared" si="4"/>
        <v>2020</v>
      </c>
      <c r="E18" s="547">
        <f>93/365</f>
        <v>0.25479452054794521</v>
      </c>
      <c r="F18" s="551">
        <v>0</v>
      </c>
      <c r="G18" s="551">
        <v>-51025.876496486191</v>
      </c>
      <c r="H18" s="550">
        <f t="shared" si="0"/>
        <v>-13001.113737460866</v>
      </c>
      <c r="I18" s="551">
        <v>0</v>
      </c>
      <c r="J18" s="550">
        <f t="shared" si="1"/>
        <v>0</v>
      </c>
      <c r="K18" s="551">
        <v>0</v>
      </c>
      <c r="L18" s="550">
        <f t="shared" si="2"/>
        <v>0</v>
      </c>
    </row>
    <row r="19" spans="1:12">
      <c r="A19" s="545">
        <f t="shared" si="3"/>
        <v>11</v>
      </c>
      <c r="B19" s="540" t="s">
        <v>819</v>
      </c>
      <c r="C19" s="539" t="s">
        <v>586</v>
      </c>
      <c r="D19" s="546">
        <f t="shared" si="4"/>
        <v>2020</v>
      </c>
      <c r="E19" s="547">
        <f>62/365</f>
        <v>0.16986301369863013</v>
      </c>
      <c r="F19" s="551">
        <v>0</v>
      </c>
      <c r="G19" s="551">
        <v>-51025.876496486191</v>
      </c>
      <c r="H19" s="550">
        <f t="shared" si="0"/>
        <v>-8667.4091583072441</v>
      </c>
      <c r="I19" s="551">
        <v>0</v>
      </c>
      <c r="J19" s="550">
        <f t="shared" si="1"/>
        <v>0</v>
      </c>
      <c r="K19" s="551">
        <v>0</v>
      </c>
      <c r="L19" s="550">
        <f t="shared" si="2"/>
        <v>0</v>
      </c>
    </row>
    <row r="20" spans="1:12">
      <c r="A20" s="545">
        <f t="shared" si="3"/>
        <v>12</v>
      </c>
      <c r="B20" s="540" t="s">
        <v>819</v>
      </c>
      <c r="C20" s="539" t="s">
        <v>587</v>
      </c>
      <c r="D20" s="546">
        <f t="shared" si="4"/>
        <v>2020</v>
      </c>
      <c r="E20" s="547">
        <f>32/365</f>
        <v>8.7671232876712329E-2</v>
      </c>
      <c r="F20" s="551">
        <v>0</v>
      </c>
      <c r="G20" s="551">
        <v>-51025.876496486191</v>
      </c>
      <c r="H20" s="550">
        <f t="shared" si="0"/>
        <v>-4473.5015010618035</v>
      </c>
      <c r="I20" s="551">
        <v>0</v>
      </c>
      <c r="J20" s="550">
        <f t="shared" si="1"/>
        <v>0</v>
      </c>
      <c r="K20" s="551">
        <v>0</v>
      </c>
      <c r="L20" s="550">
        <f t="shared" si="2"/>
        <v>0</v>
      </c>
    </row>
    <row r="21" spans="1:12">
      <c r="A21" s="545">
        <f t="shared" si="3"/>
        <v>13</v>
      </c>
      <c r="B21" s="540" t="s">
        <v>819</v>
      </c>
      <c r="C21" s="539" t="s">
        <v>666</v>
      </c>
      <c r="D21" s="546">
        <f t="shared" si="4"/>
        <v>2020</v>
      </c>
      <c r="E21" s="547">
        <f>1/365</f>
        <v>2.7397260273972603E-3</v>
      </c>
      <c r="F21" s="551">
        <v>0</v>
      </c>
      <c r="G21" s="551">
        <v>-51025.876496486191</v>
      </c>
      <c r="H21" s="550">
        <f t="shared" si="0"/>
        <v>-139.79692190818136</v>
      </c>
      <c r="I21" s="551">
        <v>0</v>
      </c>
      <c r="J21" s="550">
        <f t="shared" si="1"/>
        <v>0</v>
      </c>
      <c r="K21" s="551">
        <v>0</v>
      </c>
      <c r="L21" s="550">
        <f t="shared" si="2"/>
        <v>0</v>
      </c>
    </row>
    <row r="22" spans="1:12">
      <c r="A22" s="545">
        <f t="shared" si="3"/>
        <v>14</v>
      </c>
      <c r="B22" s="540" t="s">
        <v>820</v>
      </c>
      <c r="C22" s="539"/>
      <c r="D22" s="539"/>
      <c r="E22" s="539"/>
      <c r="F22" s="550">
        <f t="shared" ref="F22:L22" si="5">SUM(F9:F21)</f>
        <v>-2411206.2085722177</v>
      </c>
      <c r="G22" s="550">
        <f t="shared" si="5"/>
        <v>-3023516.7265300541</v>
      </c>
      <c r="H22" s="550">
        <f t="shared" si="5"/>
        <v>-2694854.1631239178</v>
      </c>
      <c r="I22" s="550">
        <f t="shared" si="5"/>
        <v>0</v>
      </c>
      <c r="J22" s="550">
        <f t="shared" si="5"/>
        <v>0</v>
      </c>
      <c r="K22" s="550">
        <f t="shared" si="5"/>
        <v>0</v>
      </c>
      <c r="L22" s="550">
        <f t="shared" si="5"/>
        <v>0</v>
      </c>
    </row>
    <row r="23" spans="1:12">
      <c r="A23" s="545"/>
      <c r="B23" s="540"/>
      <c r="C23" s="539"/>
      <c r="D23" s="539"/>
      <c r="E23" s="539"/>
      <c r="F23" s="539"/>
      <c r="G23" s="539"/>
      <c r="H23" s="539"/>
      <c r="I23" s="539"/>
      <c r="J23" s="539"/>
      <c r="K23" s="539"/>
      <c r="L23" s="539"/>
    </row>
    <row r="24" spans="1:12">
      <c r="A24" s="539" t="s">
        <v>821</v>
      </c>
      <c r="B24" s="540"/>
      <c r="C24" s="539"/>
      <c r="D24" s="541"/>
      <c r="E24" s="541"/>
      <c r="F24" s="541"/>
      <c r="G24" s="541"/>
      <c r="H24" s="539"/>
      <c r="I24" s="539"/>
      <c r="J24" s="539"/>
      <c r="K24" s="539"/>
      <c r="L24" s="539"/>
    </row>
    <row r="25" spans="1:12">
      <c r="A25" s="545">
        <f>A22+1</f>
        <v>15</v>
      </c>
      <c r="B25" s="540" t="s">
        <v>822</v>
      </c>
      <c r="C25" s="539" t="s">
        <v>666</v>
      </c>
      <c r="D25" s="546">
        <f>D9</f>
        <v>2019</v>
      </c>
      <c r="E25" s="547">
        <f>365/365</f>
        <v>1</v>
      </c>
      <c r="F25" s="544">
        <f>+H25+J25+L25</f>
        <v>0</v>
      </c>
      <c r="G25" s="548">
        <f>+'4c - ADIT BOY'!E75</f>
        <v>0</v>
      </c>
      <c r="H25" s="550">
        <f t="shared" ref="H25:H37" si="6">E25*G25</f>
        <v>0</v>
      </c>
      <c r="I25" s="548">
        <f>+'4c - ADIT BOY'!F75</f>
        <v>0</v>
      </c>
      <c r="J25" s="550">
        <f t="shared" ref="J25:J37" si="7">I25*E25</f>
        <v>0</v>
      </c>
      <c r="K25" s="548">
        <f>+'4c - ADIT BOY'!G75</f>
        <v>0</v>
      </c>
      <c r="L25" s="550">
        <f t="shared" ref="L25:L37" si="8">E25*K25</f>
        <v>0</v>
      </c>
    </row>
    <row r="26" spans="1:12">
      <c r="A26" s="545">
        <f t="shared" ref="A26:A38" si="9">+A25+1</f>
        <v>16</v>
      </c>
      <c r="B26" s="540" t="s">
        <v>819</v>
      </c>
      <c r="C26" s="539" t="s">
        <v>577</v>
      </c>
      <c r="D26" s="546">
        <f t="shared" ref="D26:D37" si="10">D10</f>
        <v>2020</v>
      </c>
      <c r="E26" s="547">
        <f>335/365</f>
        <v>0.9178082191780822</v>
      </c>
      <c r="F26" s="551">
        <v>0</v>
      </c>
      <c r="G26" s="551">
        <v>0</v>
      </c>
      <c r="H26" s="550">
        <f t="shared" si="6"/>
        <v>0</v>
      </c>
      <c r="I26" s="551">
        <v>0</v>
      </c>
      <c r="J26" s="550">
        <f t="shared" si="7"/>
        <v>0</v>
      </c>
      <c r="K26" s="551">
        <v>0</v>
      </c>
      <c r="L26" s="550">
        <f t="shared" si="8"/>
        <v>0</v>
      </c>
    </row>
    <row r="27" spans="1:12">
      <c r="A27" s="545">
        <f t="shared" si="9"/>
        <v>17</v>
      </c>
      <c r="B27" s="540" t="s">
        <v>819</v>
      </c>
      <c r="C27" s="539" t="s">
        <v>578</v>
      </c>
      <c r="D27" s="546">
        <f t="shared" si="10"/>
        <v>2020</v>
      </c>
      <c r="E27" s="547">
        <f>307/365</f>
        <v>0.84109589041095889</v>
      </c>
      <c r="F27" s="551">
        <v>0</v>
      </c>
      <c r="G27" s="551">
        <v>0</v>
      </c>
      <c r="H27" s="550">
        <f t="shared" si="6"/>
        <v>0</v>
      </c>
      <c r="I27" s="551">
        <v>0</v>
      </c>
      <c r="J27" s="550">
        <f t="shared" si="7"/>
        <v>0</v>
      </c>
      <c r="K27" s="551">
        <v>0</v>
      </c>
      <c r="L27" s="550">
        <f t="shared" si="8"/>
        <v>0</v>
      </c>
    </row>
    <row r="28" spans="1:12">
      <c r="A28" s="545">
        <f t="shared" si="9"/>
        <v>18</v>
      </c>
      <c r="B28" s="540" t="s">
        <v>819</v>
      </c>
      <c r="C28" s="539" t="s">
        <v>663</v>
      </c>
      <c r="D28" s="546">
        <f t="shared" si="10"/>
        <v>2020</v>
      </c>
      <c r="E28" s="547">
        <f>276/365</f>
        <v>0.75616438356164384</v>
      </c>
      <c r="F28" s="551">
        <v>0</v>
      </c>
      <c r="G28" s="551">
        <v>0</v>
      </c>
      <c r="H28" s="550">
        <f t="shared" si="6"/>
        <v>0</v>
      </c>
      <c r="I28" s="551">
        <v>0</v>
      </c>
      <c r="J28" s="550">
        <f t="shared" si="7"/>
        <v>0</v>
      </c>
      <c r="K28" s="551">
        <v>0</v>
      </c>
      <c r="L28" s="550">
        <f t="shared" si="8"/>
        <v>0</v>
      </c>
    </row>
    <row r="29" spans="1:12">
      <c r="A29" s="545">
        <f t="shared" si="9"/>
        <v>19</v>
      </c>
      <c r="B29" s="540" t="s">
        <v>819</v>
      </c>
      <c r="C29" s="539" t="s">
        <v>580</v>
      </c>
      <c r="D29" s="546">
        <f t="shared" si="10"/>
        <v>2020</v>
      </c>
      <c r="E29" s="547">
        <f>246/365</f>
        <v>0.67397260273972603</v>
      </c>
      <c r="F29" s="551">
        <v>0</v>
      </c>
      <c r="G29" s="551">
        <v>0</v>
      </c>
      <c r="H29" s="550">
        <f t="shared" si="6"/>
        <v>0</v>
      </c>
      <c r="I29" s="551">
        <v>0</v>
      </c>
      <c r="J29" s="550">
        <f t="shared" si="7"/>
        <v>0</v>
      </c>
      <c r="K29" s="551">
        <v>0</v>
      </c>
      <c r="L29" s="550">
        <f t="shared" si="8"/>
        <v>0</v>
      </c>
    </row>
    <row r="30" spans="1:12">
      <c r="A30" s="545">
        <f t="shared" si="9"/>
        <v>20</v>
      </c>
      <c r="B30" s="540" t="s">
        <v>819</v>
      </c>
      <c r="C30" s="539" t="s">
        <v>581</v>
      </c>
      <c r="D30" s="546">
        <f t="shared" si="10"/>
        <v>2020</v>
      </c>
      <c r="E30" s="547">
        <f>215/365</f>
        <v>0.58904109589041098</v>
      </c>
      <c r="F30" s="551">
        <v>0</v>
      </c>
      <c r="G30" s="551">
        <v>0</v>
      </c>
      <c r="H30" s="550">
        <f t="shared" si="6"/>
        <v>0</v>
      </c>
      <c r="I30" s="551">
        <v>0</v>
      </c>
      <c r="J30" s="550">
        <f t="shared" si="7"/>
        <v>0</v>
      </c>
      <c r="K30" s="551">
        <v>0</v>
      </c>
      <c r="L30" s="550">
        <f t="shared" si="8"/>
        <v>0</v>
      </c>
    </row>
    <row r="31" spans="1:12">
      <c r="A31" s="545">
        <f t="shared" si="9"/>
        <v>21</v>
      </c>
      <c r="B31" s="540" t="s">
        <v>819</v>
      </c>
      <c r="C31" s="539" t="s">
        <v>582</v>
      </c>
      <c r="D31" s="546">
        <f t="shared" si="10"/>
        <v>2020</v>
      </c>
      <c r="E31" s="547">
        <f>185/365</f>
        <v>0.50684931506849318</v>
      </c>
      <c r="F31" s="551">
        <v>0</v>
      </c>
      <c r="G31" s="551">
        <v>0</v>
      </c>
      <c r="H31" s="550">
        <f t="shared" si="6"/>
        <v>0</v>
      </c>
      <c r="I31" s="551">
        <v>0</v>
      </c>
      <c r="J31" s="550">
        <f t="shared" si="7"/>
        <v>0</v>
      </c>
      <c r="K31" s="551">
        <v>0</v>
      </c>
      <c r="L31" s="550">
        <f t="shared" si="8"/>
        <v>0</v>
      </c>
    </row>
    <row r="32" spans="1:12">
      <c r="A32" s="545">
        <f t="shared" si="9"/>
        <v>22</v>
      </c>
      <c r="B32" s="540" t="s">
        <v>819</v>
      </c>
      <c r="C32" s="539" t="s">
        <v>583</v>
      </c>
      <c r="D32" s="546">
        <f t="shared" si="10"/>
        <v>2020</v>
      </c>
      <c r="E32" s="547">
        <f>154/365</f>
        <v>0.42191780821917807</v>
      </c>
      <c r="F32" s="551">
        <v>0</v>
      </c>
      <c r="G32" s="551">
        <v>0</v>
      </c>
      <c r="H32" s="550">
        <f t="shared" si="6"/>
        <v>0</v>
      </c>
      <c r="I32" s="551">
        <v>0</v>
      </c>
      <c r="J32" s="550">
        <f t="shared" si="7"/>
        <v>0</v>
      </c>
      <c r="K32" s="551">
        <v>0</v>
      </c>
      <c r="L32" s="550">
        <f t="shared" si="8"/>
        <v>0</v>
      </c>
    </row>
    <row r="33" spans="1:12">
      <c r="A33" s="545">
        <f t="shared" si="9"/>
        <v>23</v>
      </c>
      <c r="B33" s="540" t="s">
        <v>819</v>
      </c>
      <c r="C33" s="539" t="s">
        <v>665</v>
      </c>
      <c r="D33" s="546">
        <f t="shared" si="10"/>
        <v>2020</v>
      </c>
      <c r="E33" s="547">
        <f>123/365</f>
        <v>0.33698630136986302</v>
      </c>
      <c r="F33" s="551">
        <v>0</v>
      </c>
      <c r="G33" s="551">
        <v>0</v>
      </c>
      <c r="H33" s="550">
        <f t="shared" si="6"/>
        <v>0</v>
      </c>
      <c r="I33" s="551">
        <v>0</v>
      </c>
      <c r="J33" s="550">
        <f t="shared" si="7"/>
        <v>0</v>
      </c>
      <c r="K33" s="551">
        <v>0</v>
      </c>
      <c r="L33" s="550">
        <f t="shared" si="8"/>
        <v>0</v>
      </c>
    </row>
    <row r="34" spans="1:12">
      <c r="A34" s="545">
        <f t="shared" si="9"/>
        <v>24</v>
      </c>
      <c r="B34" s="540" t="s">
        <v>819</v>
      </c>
      <c r="C34" s="539" t="s">
        <v>585</v>
      </c>
      <c r="D34" s="546">
        <f t="shared" si="10"/>
        <v>2020</v>
      </c>
      <c r="E34" s="547">
        <f>93/365</f>
        <v>0.25479452054794521</v>
      </c>
      <c r="F34" s="551">
        <v>0</v>
      </c>
      <c r="G34" s="551">
        <v>0</v>
      </c>
      <c r="H34" s="550">
        <f t="shared" si="6"/>
        <v>0</v>
      </c>
      <c r="I34" s="551">
        <v>0</v>
      </c>
      <c r="J34" s="550">
        <f t="shared" si="7"/>
        <v>0</v>
      </c>
      <c r="K34" s="551">
        <v>0</v>
      </c>
      <c r="L34" s="550">
        <f t="shared" si="8"/>
        <v>0</v>
      </c>
    </row>
    <row r="35" spans="1:12">
      <c r="A35" s="545">
        <f t="shared" si="9"/>
        <v>25</v>
      </c>
      <c r="B35" s="540" t="s">
        <v>819</v>
      </c>
      <c r="C35" s="539" t="s">
        <v>586</v>
      </c>
      <c r="D35" s="546">
        <f t="shared" si="10"/>
        <v>2020</v>
      </c>
      <c r="E35" s="547">
        <f>62/365</f>
        <v>0.16986301369863013</v>
      </c>
      <c r="F35" s="551">
        <v>0</v>
      </c>
      <c r="G35" s="551">
        <v>0</v>
      </c>
      <c r="H35" s="550">
        <f t="shared" si="6"/>
        <v>0</v>
      </c>
      <c r="I35" s="551">
        <v>0</v>
      </c>
      <c r="J35" s="550">
        <f t="shared" si="7"/>
        <v>0</v>
      </c>
      <c r="K35" s="551">
        <v>0</v>
      </c>
      <c r="L35" s="550">
        <f t="shared" si="8"/>
        <v>0</v>
      </c>
    </row>
    <row r="36" spans="1:12">
      <c r="A36" s="545">
        <f t="shared" si="9"/>
        <v>26</v>
      </c>
      <c r="B36" s="540" t="s">
        <v>819</v>
      </c>
      <c r="C36" s="539" t="s">
        <v>587</v>
      </c>
      <c r="D36" s="546">
        <f t="shared" si="10"/>
        <v>2020</v>
      </c>
      <c r="E36" s="547">
        <f>32/365</f>
        <v>8.7671232876712329E-2</v>
      </c>
      <c r="F36" s="551">
        <v>0</v>
      </c>
      <c r="G36" s="551">
        <v>0</v>
      </c>
      <c r="H36" s="550">
        <f t="shared" si="6"/>
        <v>0</v>
      </c>
      <c r="I36" s="551">
        <v>0</v>
      </c>
      <c r="J36" s="550">
        <f t="shared" si="7"/>
        <v>0</v>
      </c>
      <c r="K36" s="551">
        <v>0</v>
      </c>
      <c r="L36" s="550">
        <f t="shared" si="8"/>
        <v>0</v>
      </c>
    </row>
    <row r="37" spans="1:12">
      <c r="A37" s="545">
        <f t="shared" si="9"/>
        <v>27</v>
      </c>
      <c r="B37" s="540" t="s">
        <v>819</v>
      </c>
      <c r="C37" s="539" t="s">
        <v>666</v>
      </c>
      <c r="D37" s="546">
        <f t="shared" si="10"/>
        <v>2020</v>
      </c>
      <c r="E37" s="547">
        <f>1/365</f>
        <v>2.7397260273972603E-3</v>
      </c>
      <c r="F37" s="551">
        <v>0</v>
      </c>
      <c r="G37" s="551">
        <v>0</v>
      </c>
      <c r="H37" s="550">
        <f t="shared" si="6"/>
        <v>0</v>
      </c>
      <c r="I37" s="551">
        <v>0</v>
      </c>
      <c r="J37" s="550">
        <f t="shared" si="7"/>
        <v>0</v>
      </c>
      <c r="K37" s="551">
        <v>0</v>
      </c>
      <c r="L37" s="550">
        <f t="shared" si="8"/>
        <v>0</v>
      </c>
    </row>
    <row r="38" spans="1:12">
      <c r="A38" s="545">
        <f t="shared" si="9"/>
        <v>28</v>
      </c>
      <c r="B38" s="540" t="s">
        <v>823</v>
      </c>
      <c r="C38" s="539"/>
      <c r="D38" s="539"/>
      <c r="E38" s="539"/>
      <c r="F38" s="550">
        <f t="shared" ref="F38:L38" si="11">SUM(F25:F37)</f>
        <v>0</v>
      </c>
      <c r="G38" s="550">
        <f t="shared" si="11"/>
        <v>0</v>
      </c>
      <c r="H38" s="550">
        <f t="shared" si="11"/>
        <v>0</v>
      </c>
      <c r="I38" s="550">
        <f t="shared" si="11"/>
        <v>0</v>
      </c>
      <c r="J38" s="550">
        <f t="shared" si="11"/>
        <v>0</v>
      </c>
      <c r="K38" s="550">
        <f t="shared" si="11"/>
        <v>0</v>
      </c>
      <c r="L38" s="550">
        <f t="shared" si="11"/>
        <v>0</v>
      </c>
    </row>
    <row r="39" spans="1:12">
      <c r="A39" s="545"/>
      <c r="B39" s="540"/>
      <c r="C39" s="539"/>
      <c r="D39" s="539"/>
      <c r="E39" s="539"/>
      <c r="F39" s="552"/>
      <c r="G39" s="552"/>
      <c r="H39" s="539"/>
      <c r="I39" s="550"/>
      <c r="J39" s="550"/>
      <c r="K39" s="550"/>
      <c r="L39" s="550"/>
    </row>
    <row r="40" spans="1:12">
      <c r="A40" s="539" t="s">
        <v>824</v>
      </c>
      <c r="B40" s="540"/>
      <c r="C40" s="539"/>
      <c r="D40" s="541"/>
      <c r="E40" s="541"/>
      <c r="F40" s="541"/>
      <c r="G40" s="541"/>
      <c r="H40" s="539"/>
      <c r="I40" s="539"/>
      <c r="J40" s="539"/>
      <c r="K40" s="539"/>
      <c r="L40" s="539"/>
    </row>
    <row r="41" spans="1:12">
      <c r="A41" s="545">
        <f>A38+1</f>
        <v>29</v>
      </c>
      <c r="B41" s="540" t="s">
        <v>825</v>
      </c>
      <c r="C41" s="539" t="s">
        <v>666</v>
      </c>
      <c r="D41" s="546">
        <f>D25</f>
        <v>2019</v>
      </c>
      <c r="E41" s="547">
        <f>365/365</f>
        <v>1</v>
      </c>
      <c r="F41" s="544">
        <f>+H41+J41+L41</f>
        <v>0</v>
      </c>
      <c r="G41" s="548">
        <f>+'4c - ADIT BOY'!E29</f>
        <v>0</v>
      </c>
      <c r="H41" s="550">
        <f t="shared" ref="H41:H53" si="12">E41*G41</f>
        <v>0</v>
      </c>
      <c r="I41" s="548">
        <f>+'4c - ADIT BOY'!F29</f>
        <v>0</v>
      </c>
      <c r="J41" s="550">
        <f t="shared" ref="J41:J53" si="13">I41*E41</f>
        <v>0</v>
      </c>
      <c r="K41" s="548">
        <f>+'4c - ADIT BOY'!G29</f>
        <v>0</v>
      </c>
      <c r="L41" s="550">
        <f t="shared" ref="L41:L53" si="14">E41*K41</f>
        <v>0</v>
      </c>
    </row>
    <row r="42" spans="1:12">
      <c r="A42" s="545">
        <f t="shared" ref="A42:A54" si="15">+A41+1</f>
        <v>30</v>
      </c>
      <c r="B42" s="540" t="s">
        <v>819</v>
      </c>
      <c r="C42" s="539" t="s">
        <v>577</v>
      </c>
      <c r="D42" s="546">
        <f t="shared" ref="D42:D53" si="16">D26</f>
        <v>2020</v>
      </c>
      <c r="E42" s="547">
        <f>335/365</f>
        <v>0.9178082191780822</v>
      </c>
      <c r="F42" s="551">
        <v>0</v>
      </c>
      <c r="G42" s="551">
        <v>0</v>
      </c>
      <c r="H42" s="550">
        <f t="shared" si="12"/>
        <v>0</v>
      </c>
      <c r="I42" s="551">
        <v>0</v>
      </c>
      <c r="J42" s="550">
        <f t="shared" si="13"/>
        <v>0</v>
      </c>
      <c r="K42" s="551">
        <v>0</v>
      </c>
      <c r="L42" s="550">
        <f t="shared" si="14"/>
        <v>0</v>
      </c>
    </row>
    <row r="43" spans="1:12">
      <c r="A43" s="545">
        <f t="shared" si="15"/>
        <v>31</v>
      </c>
      <c r="B43" s="540" t="s">
        <v>819</v>
      </c>
      <c r="C43" s="539" t="s">
        <v>578</v>
      </c>
      <c r="D43" s="546">
        <f t="shared" si="16"/>
        <v>2020</v>
      </c>
      <c r="E43" s="547">
        <f>307/365</f>
        <v>0.84109589041095889</v>
      </c>
      <c r="F43" s="551">
        <v>0</v>
      </c>
      <c r="G43" s="551">
        <v>0</v>
      </c>
      <c r="H43" s="550">
        <f t="shared" si="12"/>
        <v>0</v>
      </c>
      <c r="I43" s="551">
        <v>0</v>
      </c>
      <c r="J43" s="550">
        <f t="shared" si="13"/>
        <v>0</v>
      </c>
      <c r="K43" s="551">
        <v>0</v>
      </c>
      <c r="L43" s="550">
        <f t="shared" si="14"/>
        <v>0</v>
      </c>
    </row>
    <row r="44" spans="1:12">
      <c r="A44" s="545">
        <f t="shared" si="15"/>
        <v>32</v>
      </c>
      <c r="B44" s="540" t="s">
        <v>819</v>
      </c>
      <c r="C44" s="539" t="s">
        <v>663</v>
      </c>
      <c r="D44" s="546">
        <f t="shared" si="16"/>
        <v>2020</v>
      </c>
      <c r="E44" s="547">
        <f>276/365</f>
        <v>0.75616438356164384</v>
      </c>
      <c r="F44" s="551">
        <v>0</v>
      </c>
      <c r="G44" s="551">
        <v>0</v>
      </c>
      <c r="H44" s="550">
        <f t="shared" si="12"/>
        <v>0</v>
      </c>
      <c r="I44" s="551">
        <v>0</v>
      </c>
      <c r="J44" s="550">
        <f t="shared" si="13"/>
        <v>0</v>
      </c>
      <c r="K44" s="551">
        <v>0</v>
      </c>
      <c r="L44" s="550">
        <f t="shared" si="14"/>
        <v>0</v>
      </c>
    </row>
    <row r="45" spans="1:12">
      <c r="A45" s="545">
        <f t="shared" si="15"/>
        <v>33</v>
      </c>
      <c r="B45" s="540" t="s">
        <v>819</v>
      </c>
      <c r="C45" s="539" t="s">
        <v>580</v>
      </c>
      <c r="D45" s="546">
        <f t="shared" si="16"/>
        <v>2020</v>
      </c>
      <c r="E45" s="547">
        <f>246/365</f>
        <v>0.67397260273972603</v>
      </c>
      <c r="F45" s="551">
        <v>0</v>
      </c>
      <c r="G45" s="551">
        <v>0</v>
      </c>
      <c r="H45" s="550">
        <f t="shared" si="12"/>
        <v>0</v>
      </c>
      <c r="I45" s="551">
        <v>0</v>
      </c>
      <c r="J45" s="550">
        <f t="shared" si="13"/>
        <v>0</v>
      </c>
      <c r="K45" s="551">
        <v>0</v>
      </c>
      <c r="L45" s="550">
        <f t="shared" si="14"/>
        <v>0</v>
      </c>
    </row>
    <row r="46" spans="1:12">
      <c r="A46" s="545">
        <f t="shared" si="15"/>
        <v>34</v>
      </c>
      <c r="B46" s="540" t="s">
        <v>819</v>
      </c>
      <c r="C46" s="539" t="s">
        <v>581</v>
      </c>
      <c r="D46" s="546">
        <f t="shared" si="16"/>
        <v>2020</v>
      </c>
      <c r="E46" s="547">
        <f>215/365</f>
        <v>0.58904109589041098</v>
      </c>
      <c r="F46" s="551">
        <v>0</v>
      </c>
      <c r="G46" s="551">
        <v>0</v>
      </c>
      <c r="H46" s="550">
        <f t="shared" si="12"/>
        <v>0</v>
      </c>
      <c r="I46" s="551">
        <v>0</v>
      </c>
      <c r="J46" s="550">
        <f t="shared" si="13"/>
        <v>0</v>
      </c>
      <c r="K46" s="551">
        <v>0</v>
      </c>
      <c r="L46" s="550">
        <f t="shared" si="14"/>
        <v>0</v>
      </c>
    </row>
    <row r="47" spans="1:12">
      <c r="A47" s="545">
        <f t="shared" si="15"/>
        <v>35</v>
      </c>
      <c r="B47" s="540" t="s">
        <v>819</v>
      </c>
      <c r="C47" s="539" t="s">
        <v>582</v>
      </c>
      <c r="D47" s="546">
        <f t="shared" si="16"/>
        <v>2020</v>
      </c>
      <c r="E47" s="547">
        <f>185/365</f>
        <v>0.50684931506849318</v>
      </c>
      <c r="F47" s="551">
        <v>0</v>
      </c>
      <c r="G47" s="551">
        <v>0</v>
      </c>
      <c r="H47" s="550">
        <f t="shared" si="12"/>
        <v>0</v>
      </c>
      <c r="I47" s="551">
        <v>0</v>
      </c>
      <c r="J47" s="550">
        <f t="shared" si="13"/>
        <v>0</v>
      </c>
      <c r="K47" s="551">
        <v>0</v>
      </c>
      <c r="L47" s="550">
        <f t="shared" si="14"/>
        <v>0</v>
      </c>
    </row>
    <row r="48" spans="1:12">
      <c r="A48" s="545">
        <f t="shared" si="15"/>
        <v>36</v>
      </c>
      <c r="B48" s="540" t="s">
        <v>819</v>
      </c>
      <c r="C48" s="539" t="s">
        <v>583</v>
      </c>
      <c r="D48" s="546">
        <f t="shared" si="16"/>
        <v>2020</v>
      </c>
      <c r="E48" s="547">
        <f>154/365</f>
        <v>0.42191780821917807</v>
      </c>
      <c r="F48" s="551">
        <v>0</v>
      </c>
      <c r="G48" s="551">
        <v>0</v>
      </c>
      <c r="H48" s="550">
        <f t="shared" si="12"/>
        <v>0</v>
      </c>
      <c r="I48" s="551">
        <v>0</v>
      </c>
      <c r="J48" s="550">
        <f t="shared" si="13"/>
        <v>0</v>
      </c>
      <c r="K48" s="551">
        <v>0</v>
      </c>
      <c r="L48" s="550">
        <f t="shared" si="14"/>
        <v>0</v>
      </c>
    </row>
    <row r="49" spans="1:12">
      <c r="A49" s="545">
        <f t="shared" si="15"/>
        <v>37</v>
      </c>
      <c r="B49" s="540" t="s">
        <v>819</v>
      </c>
      <c r="C49" s="539" t="s">
        <v>665</v>
      </c>
      <c r="D49" s="546">
        <f t="shared" si="16"/>
        <v>2020</v>
      </c>
      <c r="E49" s="547">
        <f>123/365</f>
        <v>0.33698630136986302</v>
      </c>
      <c r="F49" s="551">
        <v>0</v>
      </c>
      <c r="G49" s="551">
        <v>0</v>
      </c>
      <c r="H49" s="550">
        <f t="shared" si="12"/>
        <v>0</v>
      </c>
      <c r="I49" s="551">
        <v>0</v>
      </c>
      <c r="J49" s="550">
        <f t="shared" si="13"/>
        <v>0</v>
      </c>
      <c r="K49" s="551">
        <v>0</v>
      </c>
      <c r="L49" s="550">
        <f t="shared" si="14"/>
        <v>0</v>
      </c>
    </row>
    <row r="50" spans="1:12">
      <c r="A50" s="545">
        <f t="shared" si="15"/>
        <v>38</v>
      </c>
      <c r="B50" s="540" t="s">
        <v>819</v>
      </c>
      <c r="C50" s="539" t="s">
        <v>585</v>
      </c>
      <c r="D50" s="546">
        <f t="shared" si="16"/>
        <v>2020</v>
      </c>
      <c r="E50" s="547">
        <f>93/365</f>
        <v>0.25479452054794521</v>
      </c>
      <c r="F50" s="551">
        <v>0</v>
      </c>
      <c r="G50" s="551">
        <v>0</v>
      </c>
      <c r="H50" s="550">
        <f t="shared" si="12"/>
        <v>0</v>
      </c>
      <c r="I50" s="551">
        <v>0</v>
      </c>
      <c r="J50" s="550">
        <f t="shared" si="13"/>
        <v>0</v>
      </c>
      <c r="K50" s="551">
        <v>0</v>
      </c>
      <c r="L50" s="550">
        <f t="shared" si="14"/>
        <v>0</v>
      </c>
    </row>
    <row r="51" spans="1:12">
      <c r="A51" s="545">
        <f t="shared" si="15"/>
        <v>39</v>
      </c>
      <c r="B51" s="540" t="s">
        <v>819</v>
      </c>
      <c r="C51" s="539" t="s">
        <v>586</v>
      </c>
      <c r="D51" s="546">
        <f t="shared" si="16"/>
        <v>2020</v>
      </c>
      <c r="E51" s="547">
        <f>62/365</f>
        <v>0.16986301369863013</v>
      </c>
      <c r="F51" s="551">
        <v>0</v>
      </c>
      <c r="G51" s="551">
        <v>0</v>
      </c>
      <c r="H51" s="550">
        <f t="shared" si="12"/>
        <v>0</v>
      </c>
      <c r="I51" s="551">
        <v>0</v>
      </c>
      <c r="J51" s="550">
        <f t="shared" si="13"/>
        <v>0</v>
      </c>
      <c r="K51" s="551">
        <v>0</v>
      </c>
      <c r="L51" s="550">
        <f t="shared" si="14"/>
        <v>0</v>
      </c>
    </row>
    <row r="52" spans="1:12">
      <c r="A52" s="545">
        <f t="shared" si="15"/>
        <v>40</v>
      </c>
      <c r="B52" s="540" t="s">
        <v>819</v>
      </c>
      <c r="C52" s="539" t="s">
        <v>587</v>
      </c>
      <c r="D52" s="546">
        <f t="shared" si="16"/>
        <v>2020</v>
      </c>
      <c r="E52" s="547">
        <f>32/365</f>
        <v>8.7671232876712329E-2</v>
      </c>
      <c r="F52" s="551">
        <v>0</v>
      </c>
      <c r="G52" s="551">
        <v>0</v>
      </c>
      <c r="H52" s="550">
        <f t="shared" si="12"/>
        <v>0</v>
      </c>
      <c r="I52" s="551">
        <v>0</v>
      </c>
      <c r="J52" s="550">
        <f t="shared" si="13"/>
        <v>0</v>
      </c>
      <c r="K52" s="551">
        <v>0</v>
      </c>
      <c r="L52" s="550">
        <f t="shared" si="14"/>
        <v>0</v>
      </c>
    </row>
    <row r="53" spans="1:12">
      <c r="A53" s="545">
        <f t="shared" si="15"/>
        <v>41</v>
      </c>
      <c r="B53" s="540" t="s">
        <v>819</v>
      </c>
      <c r="C53" s="539" t="s">
        <v>666</v>
      </c>
      <c r="D53" s="546">
        <f t="shared" si="16"/>
        <v>2020</v>
      </c>
      <c r="E53" s="547">
        <f>1/365</f>
        <v>2.7397260273972603E-3</v>
      </c>
      <c r="F53" s="551">
        <v>0</v>
      </c>
      <c r="G53" s="551">
        <v>0</v>
      </c>
      <c r="H53" s="550">
        <f t="shared" si="12"/>
        <v>0</v>
      </c>
      <c r="I53" s="551">
        <v>0</v>
      </c>
      <c r="J53" s="550">
        <f t="shared" si="13"/>
        <v>0</v>
      </c>
      <c r="K53" s="551">
        <v>0</v>
      </c>
      <c r="L53" s="550">
        <f t="shared" si="14"/>
        <v>0</v>
      </c>
    </row>
    <row r="54" spans="1:12">
      <c r="A54" s="545">
        <f t="shared" si="15"/>
        <v>42</v>
      </c>
      <c r="B54" s="540" t="s">
        <v>826</v>
      </c>
      <c r="C54" s="539"/>
      <c r="D54" s="539"/>
      <c r="E54" s="539"/>
      <c r="F54" s="550">
        <f t="shared" ref="F54:L54" si="17">SUM(F41:F53)</f>
        <v>0</v>
      </c>
      <c r="G54" s="550">
        <f t="shared" si="17"/>
        <v>0</v>
      </c>
      <c r="H54" s="550">
        <f t="shared" si="17"/>
        <v>0</v>
      </c>
      <c r="I54" s="550">
        <f t="shared" si="17"/>
        <v>0</v>
      </c>
      <c r="J54" s="550">
        <f t="shared" si="17"/>
        <v>0</v>
      </c>
      <c r="K54" s="550">
        <f t="shared" si="17"/>
        <v>0</v>
      </c>
      <c r="L54" s="550">
        <f t="shared" si="17"/>
        <v>0</v>
      </c>
    </row>
    <row r="55" spans="1:12">
      <c r="A55" s="539"/>
      <c r="B55" s="539"/>
      <c r="C55" s="539"/>
      <c r="D55" s="539"/>
      <c r="E55" s="539"/>
      <c r="F55" s="539"/>
      <c r="G55" s="539"/>
      <c r="H55" s="539"/>
      <c r="I55" s="539"/>
      <c r="J55" s="539"/>
      <c r="K55" s="539"/>
      <c r="L55" s="539"/>
    </row>
    <row r="56" spans="1:12">
      <c r="A56" s="539"/>
      <c r="B56" s="539"/>
      <c r="C56" s="539"/>
      <c r="D56" s="539"/>
      <c r="E56" s="539"/>
      <c r="F56" s="539"/>
      <c r="G56" s="539"/>
      <c r="H56" s="539"/>
      <c r="I56" s="539"/>
      <c r="J56" s="539"/>
      <c r="K56" s="539"/>
      <c r="L56" s="539"/>
    </row>
    <row r="57" spans="1:12">
      <c r="A57" s="553" t="s">
        <v>827</v>
      </c>
      <c r="B57" s="539" t="s">
        <v>828</v>
      </c>
      <c r="C57" s="539"/>
      <c r="D57" s="539"/>
      <c r="E57" s="539"/>
      <c r="F57" s="539"/>
      <c r="G57" s="539"/>
      <c r="H57" s="539"/>
      <c r="I57" s="539"/>
      <c r="J57" s="539"/>
      <c r="K57" s="539"/>
      <c r="L57" s="539"/>
    </row>
    <row r="58" spans="1:12">
      <c r="A58" s="553" t="s">
        <v>829</v>
      </c>
      <c r="B58" s="539" t="s">
        <v>830</v>
      </c>
      <c r="C58" s="539"/>
      <c r="D58" s="554"/>
      <c r="E58" s="554"/>
      <c r="F58" s="554"/>
      <c r="G58" s="554"/>
      <c r="H58" s="554"/>
      <c r="I58" s="555"/>
      <c r="J58" s="539"/>
      <c r="K58" s="539"/>
      <c r="L58" s="539"/>
    </row>
    <row r="59" spans="1:12">
      <c r="A59" s="556" t="s">
        <v>431</v>
      </c>
      <c r="B59" s="539" t="s">
        <v>831</v>
      </c>
      <c r="C59" s="539"/>
      <c r="D59" s="554"/>
      <c r="E59" s="554"/>
      <c r="F59" s="554"/>
      <c r="G59" s="554"/>
      <c r="H59" s="554"/>
      <c r="I59" s="555"/>
      <c r="J59" s="539"/>
      <c r="K59" s="539"/>
      <c r="L59" s="539"/>
    </row>
    <row r="60" spans="1:12">
      <c r="A60" s="556" t="s">
        <v>433</v>
      </c>
      <c r="B60" s="539" t="s">
        <v>832</v>
      </c>
      <c r="C60" s="539"/>
      <c r="D60" s="554"/>
      <c r="E60" s="554"/>
      <c r="F60" s="554"/>
      <c r="G60" s="554"/>
      <c r="H60" s="554"/>
      <c r="I60" s="555"/>
      <c r="J60" s="539"/>
      <c r="K60" s="539"/>
      <c r="L60" s="539"/>
    </row>
    <row r="61" spans="1:12">
      <c r="A61" s="556" t="s">
        <v>278</v>
      </c>
      <c r="B61" s="540" t="s">
        <v>833</v>
      </c>
      <c r="C61" s="539"/>
      <c r="D61" s="541"/>
      <c r="E61" s="541"/>
      <c r="F61" s="539"/>
      <c r="G61" s="539"/>
      <c r="H61" s="539"/>
      <c r="I61" s="539"/>
      <c r="J61" s="539"/>
      <c r="K61" s="539"/>
      <c r="L61" s="539"/>
    </row>
  </sheetData>
  <mergeCells count="3">
    <mergeCell ref="A1:L1"/>
    <mergeCell ref="A2:L2"/>
    <mergeCell ref="A3:L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10</vt:i4>
      </vt:variant>
    </vt:vector>
  </HeadingPairs>
  <TitlesOfParts>
    <vt:vector size="31" baseType="lpstr">
      <vt:lpstr>Attachment H</vt:lpstr>
      <vt:lpstr>1-Project Rev Req</vt:lpstr>
      <vt:lpstr>2-Incentive ROE</vt:lpstr>
      <vt:lpstr>3-Project True-up</vt:lpstr>
      <vt:lpstr>4- Rate Base</vt:lpstr>
      <vt:lpstr>5-P3 Support</vt:lpstr>
      <vt:lpstr>13 - Income Taxes</vt:lpstr>
      <vt:lpstr>4a - ADIT Projection</vt:lpstr>
      <vt:lpstr>4b - ADIT Projection Proration</vt:lpstr>
      <vt:lpstr>4c - ADIT BOY</vt:lpstr>
      <vt:lpstr>4d - ADIT EOY</vt:lpstr>
      <vt:lpstr>4e - ADIT True-up</vt:lpstr>
      <vt:lpstr>4f - ADIT True-up Proration</vt:lpstr>
      <vt:lpstr>6-True-Up Interest</vt:lpstr>
      <vt:lpstr>7 - PBOP</vt:lpstr>
      <vt:lpstr>8-Construction Loan</vt:lpstr>
      <vt:lpstr>9-Construction Loan True-up</vt:lpstr>
      <vt:lpstr>10-Dep Rates</vt:lpstr>
      <vt:lpstr>11-Wholesale Distribution</vt:lpstr>
      <vt:lpstr>11a-Wholesale Distribution </vt:lpstr>
      <vt:lpstr>12 Wholesale Dist True-Up</vt:lpstr>
      <vt:lpstr>'10-Dep Rates'!Print_Area</vt:lpstr>
      <vt:lpstr>'11a-Wholesale Distribution '!Print_Area</vt:lpstr>
      <vt:lpstr>'11-Wholesale Distribution'!Print_Area</vt:lpstr>
      <vt:lpstr>'1-Project Rev Req'!Print_Area</vt:lpstr>
      <vt:lpstr>'2-Incentive ROE'!Print_Area</vt:lpstr>
      <vt:lpstr>'4- Rate Base'!Print_Area</vt:lpstr>
      <vt:lpstr>'5-P3 Support'!Print_Area</vt:lpstr>
      <vt:lpstr>'7 - PBOP'!Print_Area</vt:lpstr>
      <vt:lpstr>'8-Construction Loan'!Print_Area</vt:lpstr>
      <vt:lpstr>'Attachment 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Loner</dc:creator>
  <cp:lastModifiedBy>Joe Loner</cp:lastModifiedBy>
  <dcterms:created xsi:type="dcterms:W3CDTF">2019-11-14T00:15:02Z</dcterms:created>
  <dcterms:modified xsi:type="dcterms:W3CDTF">2019-11-14T00:31:57Z</dcterms:modified>
</cp:coreProperties>
</file>